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ILLS\Source\Repos\AzureFoundation\"/>
    </mc:Choice>
  </mc:AlternateContent>
  <bookViews>
    <workbookView xWindow="0" yWindow="0" windowWidth="9600" windowHeight="3293" tabRatio="784" activeTab="5"/>
  </bookViews>
  <sheets>
    <sheet name="Notes" sheetId="39" r:id="rId1"/>
    <sheet name="Departments" sheetId="40" r:id="rId2"/>
    <sheet name="Subscriptions" sheetId="35" r:id="rId3"/>
    <sheet name="Partner" sheetId="53" r:id="rId4"/>
    <sheet name="Locations" sheetId="23" r:id="rId5"/>
    <sheet name="VNETS" sheetId="37" r:id="rId6"/>
    <sheet name="Subnets" sheetId="15" r:id="rId7"/>
    <sheet name="LclNtwrk" sheetId="38" r:id="rId8"/>
    <sheet name="NSG" sheetId="11" r:id="rId9"/>
    <sheet name="NSGRules" sheetId="41" r:id="rId10"/>
    <sheet name="Storage" sheetId="36" r:id="rId11"/>
    <sheet name="Users" sheetId="33" r:id="rId12"/>
    <sheet name="Role" sheetId="45" r:id="rId13"/>
    <sheet name="RBAC" sheetId="46" r:id="rId14"/>
    <sheet name="Personas" sheetId="29" r:id="rId15"/>
    <sheet name="ServerBuild Sheets" sheetId="7" r:id="rId16"/>
    <sheet name="Sum Azure Services" sheetId="28" r:id="rId17"/>
    <sheet name="Azure Specs" sheetId="22" r:id="rId18"/>
    <sheet name="sub_Forecast" sheetId="52" r:id="rId19"/>
    <sheet name="PowerShell" sheetId="19" r:id="rId20"/>
    <sheet name="PortConfig" sheetId="25" r:id="rId21"/>
    <sheet name="Risks" sheetId="4" r:id="rId22"/>
  </sheets>
  <externalReferences>
    <externalReference r:id="rId23"/>
  </externalReferences>
  <definedNames>
    <definedName name="_xlnm._FilterDatabase" localSheetId="20" hidden="1">PortConfig!$A$1:$J$235</definedName>
    <definedName name="_xlnm._FilterDatabase" localSheetId="15" hidden="1">'ServerBuild Sheets'!#REF!</definedName>
    <definedName name="AzureID" localSheetId="2">[1]!Table10[#All]</definedName>
    <definedName name="AzureID">AzureSpecs[#All]</definedName>
    <definedName name="LAR">#REF!</definedName>
    <definedName name="OMS">#REF!</definedName>
    <definedName name="Operations">#REF!</definedName>
    <definedName name="ParkingSpots">#REF!</definedName>
    <definedName name="PreProd">#REF!</definedName>
    <definedName name="SiteID" localSheetId="2">[1]!Table12[#All]</definedName>
    <definedName name="SiteID">Locations[#All]</definedName>
    <definedName name="SoftwareID" localSheetId="2">[1]Software!$A:$U</definedName>
    <definedName name="SoftwareID">#REF!</definedName>
    <definedName name="Transition">#REF!</definedName>
    <definedName name="VLANID" localSheetId="2">[1]VLANs!$D$1:$M$32</definedName>
    <definedName name="VLANID">Subnets!$I$1:$S$104</definedName>
    <definedName name="VLANs">Subnets!$I$1:$O$1</definedName>
  </definedNames>
  <calcPr calcId="171027"/>
  <pivotCaches>
    <pivotCache cacheId="0" r:id="rId24"/>
  </pivotCaches>
</workbook>
</file>

<file path=xl/calcChain.xml><?xml version="1.0" encoding="utf-8"?>
<calcChain xmlns="http://schemas.openxmlformats.org/spreadsheetml/2006/main">
  <c r="O21" i="15" l="1"/>
  <c r="P21" i="15"/>
  <c r="O22" i="15"/>
  <c r="P22" i="15"/>
  <c r="O23" i="15"/>
  <c r="P23" i="15"/>
  <c r="O24" i="15"/>
  <c r="P24" i="15"/>
  <c r="O25" i="15"/>
  <c r="P25" i="15"/>
  <c r="O26" i="15"/>
  <c r="P26" i="15"/>
  <c r="O27" i="15"/>
  <c r="P27" i="15"/>
  <c r="O28" i="15"/>
  <c r="P28" i="15"/>
  <c r="O29" i="15"/>
  <c r="P29" i="15"/>
  <c r="O30" i="15"/>
  <c r="P30" i="15"/>
  <c r="O31" i="15"/>
  <c r="P31" i="15"/>
  <c r="O32" i="15"/>
  <c r="P32" i="15"/>
  <c r="O33" i="15"/>
  <c r="P33" i="15"/>
  <c r="O34" i="15"/>
  <c r="P34" i="15"/>
  <c r="O35" i="15"/>
  <c r="P35" i="15"/>
  <c r="O36" i="15"/>
  <c r="P36" i="15"/>
  <c r="O37" i="15"/>
  <c r="P37" i="15"/>
  <c r="O38" i="15"/>
  <c r="P38" i="15"/>
  <c r="O39" i="15"/>
  <c r="P39" i="15"/>
  <c r="O40" i="15"/>
  <c r="P40" i="15"/>
  <c r="O41" i="15"/>
  <c r="P41" i="15"/>
  <c r="O42" i="15"/>
  <c r="P42" i="15"/>
  <c r="O43" i="15"/>
  <c r="P43" i="15"/>
  <c r="O44" i="15"/>
  <c r="P44" i="15"/>
  <c r="O45" i="15"/>
  <c r="P45" i="15"/>
  <c r="O46" i="15"/>
  <c r="P46" i="15"/>
  <c r="O47" i="15"/>
  <c r="P47" i="15"/>
  <c r="O48" i="15"/>
  <c r="P48" i="15"/>
  <c r="O49" i="15"/>
  <c r="P49" i="15"/>
  <c r="O50" i="15"/>
  <c r="P50" i="15"/>
  <c r="O51" i="15"/>
  <c r="P51" i="15"/>
  <c r="O52" i="15"/>
  <c r="P52" i="15"/>
  <c r="O53" i="15"/>
  <c r="P53" i="15"/>
  <c r="O54" i="15"/>
  <c r="P54" i="15"/>
  <c r="O55" i="15"/>
  <c r="P55" i="15"/>
  <c r="O56" i="15"/>
  <c r="P56" i="15"/>
  <c r="O57" i="15"/>
  <c r="P57" i="15"/>
  <c r="O58" i="15"/>
  <c r="P58" i="15"/>
  <c r="O59" i="15"/>
  <c r="P59" i="15"/>
  <c r="O60" i="15"/>
  <c r="P60" i="15"/>
  <c r="O61" i="15"/>
  <c r="P61" i="15"/>
  <c r="O62" i="15"/>
  <c r="P62" i="15"/>
  <c r="O63" i="15"/>
  <c r="P63" i="15"/>
  <c r="O64" i="15"/>
  <c r="P64" i="15"/>
  <c r="O65" i="15"/>
  <c r="P65" i="15"/>
  <c r="O66" i="15"/>
  <c r="P66" i="15"/>
  <c r="O67" i="15"/>
  <c r="P67" i="15"/>
  <c r="O68" i="15"/>
  <c r="P68" i="15"/>
  <c r="O69" i="15"/>
  <c r="P69" i="15"/>
  <c r="O70" i="15"/>
  <c r="P70" i="15"/>
  <c r="O71" i="15"/>
  <c r="P71" i="15"/>
  <c r="O72" i="15"/>
  <c r="P72" i="15"/>
  <c r="O73" i="15"/>
  <c r="P73" i="15"/>
  <c r="O74" i="15"/>
  <c r="P74" i="15"/>
  <c r="O75" i="15"/>
  <c r="P75" i="15"/>
  <c r="O76" i="15"/>
  <c r="P76" i="15"/>
  <c r="O77" i="15"/>
  <c r="P77" i="15"/>
  <c r="O78" i="15"/>
  <c r="P78" i="15"/>
  <c r="O79" i="15"/>
  <c r="P79" i="15"/>
  <c r="O80" i="15"/>
  <c r="P80" i="15"/>
  <c r="O81" i="15"/>
  <c r="P81" i="15"/>
  <c r="O82" i="15"/>
  <c r="P82" i="15"/>
  <c r="O83" i="15"/>
  <c r="P83" i="15"/>
  <c r="O84" i="15"/>
  <c r="P84" i="15"/>
  <c r="O85" i="15"/>
  <c r="P85" i="15"/>
  <c r="O86" i="15"/>
  <c r="P86" i="15"/>
  <c r="O87" i="15"/>
  <c r="P87" i="15"/>
  <c r="O88" i="15"/>
  <c r="P88" i="15"/>
  <c r="O89" i="15"/>
  <c r="P89" i="15"/>
  <c r="O90" i="15"/>
  <c r="P90" i="15"/>
  <c r="O91" i="15"/>
  <c r="P91" i="15"/>
  <c r="O92" i="15"/>
  <c r="P92" i="15"/>
  <c r="O93" i="15"/>
  <c r="P93" i="15"/>
  <c r="O94" i="15"/>
  <c r="P94" i="15"/>
  <c r="O95" i="15"/>
  <c r="P95" i="15"/>
  <c r="O96" i="15"/>
  <c r="P96" i="15"/>
  <c r="O97" i="15"/>
  <c r="P97" i="15"/>
  <c r="O98" i="15"/>
  <c r="P98" i="15"/>
  <c r="O99" i="15"/>
  <c r="P99" i="15"/>
  <c r="O100" i="15"/>
  <c r="P100" i="15"/>
  <c r="O101" i="15"/>
  <c r="P101" i="15"/>
  <c r="O102" i="15"/>
  <c r="P102" i="15"/>
  <c r="O103" i="15"/>
  <c r="P103" i="15"/>
  <c r="O104" i="15"/>
  <c r="P104" i="15"/>
  <c r="O2" i="15"/>
  <c r="P2" i="15"/>
  <c r="O3" i="15"/>
  <c r="P3" i="15"/>
  <c r="O4" i="15"/>
  <c r="P4" i="15"/>
  <c r="O5" i="15"/>
  <c r="P5" i="15"/>
  <c r="O6" i="15"/>
  <c r="P6" i="15"/>
  <c r="O7" i="15"/>
  <c r="P7" i="15"/>
  <c r="O8" i="15"/>
  <c r="P8" i="15"/>
  <c r="O9" i="15"/>
  <c r="P9" i="15"/>
  <c r="O10" i="15"/>
  <c r="P10" i="15"/>
  <c r="O11" i="15"/>
  <c r="P11" i="15"/>
  <c r="H2" i="15"/>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1" i="15"/>
  <c r="H82" i="15"/>
  <c r="H83" i="15"/>
  <c r="H84" i="15"/>
  <c r="H85" i="15"/>
  <c r="H86" i="15"/>
  <c r="H87" i="15"/>
  <c r="H88" i="15"/>
  <c r="H89" i="15"/>
  <c r="H90" i="15"/>
  <c r="H91" i="15"/>
  <c r="H92" i="15"/>
  <c r="H93" i="15"/>
  <c r="H94" i="15"/>
  <c r="H95" i="15"/>
  <c r="H96" i="15"/>
  <c r="H97" i="15"/>
  <c r="H98" i="15"/>
  <c r="H99" i="15"/>
  <c r="H100" i="15"/>
  <c r="H101" i="15"/>
  <c r="H102" i="15"/>
  <c r="H103" i="15"/>
  <c r="H104" i="15"/>
  <c r="L2" i="15" l="1"/>
  <c r="L10" i="15"/>
  <c r="L8" i="15"/>
  <c r="L6" i="15"/>
  <c r="L4" i="15"/>
  <c r="L9" i="15"/>
  <c r="L5" i="15"/>
  <c r="L11" i="15"/>
  <c r="L7" i="15"/>
  <c r="L3" i="15"/>
  <c r="H80" i="15"/>
  <c r="I2" i="22" l="1"/>
  <c r="I3" i="22"/>
  <c r="I4" i="22"/>
  <c r="I5" i="22"/>
  <c r="I6" i="22"/>
  <c r="I7" i="22"/>
  <c r="I8" i="22"/>
  <c r="I9" i="22"/>
  <c r="I10" i="22"/>
  <c r="I11" i="22"/>
  <c r="O13" i="15" l="1"/>
  <c r="P13" i="15"/>
  <c r="O14" i="15"/>
  <c r="P14" i="15"/>
  <c r="O15" i="15"/>
  <c r="P15" i="15"/>
  <c r="O16" i="15"/>
  <c r="P16" i="15"/>
  <c r="O17" i="15"/>
  <c r="P17" i="15"/>
  <c r="O18" i="15"/>
  <c r="P18" i="15"/>
  <c r="O19" i="15"/>
  <c r="P19" i="15"/>
  <c r="O20" i="15"/>
  <c r="P20" i="15"/>
  <c r="P12" i="15"/>
  <c r="O12" i="15"/>
  <c r="E3" i="15"/>
  <c r="E4" i="15"/>
  <c r="E5" i="15"/>
  <c r="E6" i="15"/>
  <c r="E7" i="15"/>
  <c r="E8" i="15"/>
  <c r="E9" i="15"/>
  <c r="E10" i="15"/>
  <c r="E11" i="15"/>
  <c r="E12" i="15"/>
  <c r="E13" i="15"/>
  <c r="E14" i="15"/>
  <c r="E15" i="15"/>
  <c r="E16" i="15"/>
  <c r="E17" i="15"/>
  <c r="E18" i="15"/>
  <c r="E19" i="15"/>
  <c r="E20" i="15"/>
  <c r="E2" i="15"/>
  <c r="V100" i="15" l="1"/>
  <c r="U100" i="15"/>
  <c r="V99" i="15"/>
  <c r="U99" i="15"/>
  <c r="V88" i="15"/>
  <c r="U88" i="15"/>
  <c r="V87" i="15"/>
  <c r="U87" i="15"/>
  <c r="V82" i="15"/>
  <c r="U82" i="15"/>
  <c r="V81" i="15"/>
  <c r="U81" i="15"/>
  <c r="U92" i="15"/>
  <c r="U93" i="15"/>
  <c r="V92" i="15"/>
  <c r="V93" i="15"/>
  <c r="U47" i="15"/>
  <c r="V47" i="15"/>
  <c r="U30" i="15"/>
  <c r="V30" i="15"/>
  <c r="L18" i="7" l="1"/>
  <c r="P18" i="7"/>
  <c r="Q18" i="7"/>
  <c r="C18" i="7" s="1"/>
  <c r="S18" i="7"/>
  <c r="T18" i="7"/>
  <c r="U18" i="7"/>
  <c r="V18" i="7"/>
  <c r="AD18" i="7"/>
  <c r="AE18" i="7"/>
  <c r="AD17" i="7"/>
  <c r="T17" i="7"/>
  <c r="AE17" i="7"/>
  <c r="AA18" i="7" l="1"/>
  <c r="F19" i="35"/>
  <c r="B19" i="35" s="1"/>
  <c r="D19" i="35"/>
  <c r="F18" i="35"/>
  <c r="D18" i="35"/>
  <c r="F17" i="35"/>
  <c r="D17" i="35"/>
  <c r="F16" i="35"/>
  <c r="D16" i="35"/>
  <c r="F15" i="35"/>
  <c r="B15" i="35" s="1"/>
  <c r="D15" i="35"/>
  <c r="F14" i="35"/>
  <c r="D14" i="35"/>
  <c r="F13" i="35"/>
  <c r="D13" i="35"/>
  <c r="F12" i="35"/>
  <c r="D12" i="35"/>
  <c r="F11" i="35"/>
  <c r="B11" i="35" s="1"/>
  <c r="D11" i="35"/>
  <c r="B13" i="35" l="1"/>
  <c r="B17" i="35"/>
  <c r="B12" i="35"/>
  <c r="B16" i="35"/>
  <c r="B14" i="35"/>
  <c r="B18" i="35"/>
  <c r="AB14" i="52" l="1"/>
  <c r="AA10" i="52"/>
  <c r="AA7" i="52"/>
  <c r="J14" i="52"/>
  <c r="K14" i="52"/>
  <c r="L14" i="52"/>
  <c r="M14" i="52"/>
  <c r="N14" i="52"/>
  <c r="O14" i="52"/>
  <c r="P14" i="52"/>
  <c r="Q14" i="52"/>
  <c r="R14" i="52"/>
  <c r="S14" i="52"/>
  <c r="T14" i="52"/>
  <c r="U14" i="52"/>
  <c r="V14" i="52"/>
  <c r="W14" i="52"/>
  <c r="X14" i="52"/>
  <c r="Y14" i="52"/>
  <c r="Z14" i="52"/>
  <c r="AA13" i="52"/>
  <c r="AA12" i="52"/>
  <c r="AA11" i="52"/>
  <c r="AA9" i="52"/>
  <c r="AA8" i="52"/>
  <c r="AA4" i="52" l="1"/>
  <c r="AA6" i="52" l="1"/>
  <c r="AA2" i="52"/>
  <c r="AA5" i="52"/>
  <c r="AA3" i="52"/>
  <c r="AA14" i="52" l="1"/>
  <c r="I65" i="22" l="1"/>
  <c r="I66" i="22"/>
  <c r="I54" i="22"/>
  <c r="I57" i="22"/>
  <c r="I58" i="22"/>
  <c r="I56" i="22"/>
  <c r="I50" i="22"/>
  <c r="I51" i="22"/>
  <c r="I55" i="22"/>
  <c r="I61" i="22"/>
  <c r="I62" i="22"/>
  <c r="I53" i="22"/>
  <c r="I59" i="22"/>
  <c r="I63" i="22"/>
  <c r="I64" i="22"/>
  <c r="I67" i="22"/>
  <c r="I88" i="22"/>
  <c r="I89" i="22"/>
  <c r="I79" i="22"/>
  <c r="I80" i="22"/>
  <c r="I87" i="22"/>
  <c r="I33" i="22"/>
  <c r="I128" i="22"/>
  <c r="I129" i="22"/>
  <c r="I130" i="22"/>
  <c r="I131" i="22"/>
  <c r="I52" i="22" l="1"/>
  <c r="I68" i="22"/>
  <c r="I15" i="22" l="1"/>
  <c r="I21" i="22"/>
  <c r="I18" i="22"/>
  <c r="I132" i="22"/>
  <c r="I133" i="22"/>
  <c r="I134" i="22"/>
  <c r="I135" i="22"/>
  <c r="I136" i="22"/>
  <c r="I43" i="22" l="1"/>
  <c r="I45" i="22"/>
  <c r="I48" i="22"/>
  <c r="I40" i="22"/>
  <c r="I137" i="22"/>
  <c r="I85" i="22" l="1"/>
  <c r="I86" i="22"/>
  <c r="AD11" i="7" l="1"/>
  <c r="AE11" i="7"/>
  <c r="AD12" i="7"/>
  <c r="AE12" i="7"/>
  <c r="AD13" i="7"/>
  <c r="AE13" i="7"/>
  <c r="AD14" i="7"/>
  <c r="AE14" i="7"/>
  <c r="AD15" i="7"/>
  <c r="AE15" i="7"/>
  <c r="AD16" i="7"/>
  <c r="AE16" i="7"/>
  <c r="AD9" i="7"/>
  <c r="AD10" i="7"/>
  <c r="E9" i="7"/>
  <c r="E10" i="7"/>
  <c r="E11" i="7"/>
  <c r="E12" i="7"/>
  <c r="E13" i="7"/>
  <c r="E14" i="7"/>
  <c r="E15" i="7"/>
  <c r="E16" i="7"/>
  <c r="T9" i="7"/>
  <c r="T10" i="7"/>
  <c r="T11" i="7"/>
  <c r="T12" i="7"/>
  <c r="T13" i="7"/>
  <c r="T14" i="7"/>
  <c r="T15" i="7"/>
  <c r="T16" i="7"/>
  <c r="AE9" i="7"/>
  <c r="AE10" i="7"/>
  <c r="G7" i="33" l="1"/>
  <c r="H7" i="33"/>
  <c r="K7" i="33"/>
  <c r="G6" i="33"/>
  <c r="L6" i="33" s="1"/>
  <c r="H6" i="33"/>
  <c r="K6" i="33"/>
  <c r="C7" i="33" l="1"/>
  <c r="M7" i="33" s="1"/>
  <c r="C6" i="33"/>
  <c r="M6" i="33" s="1"/>
  <c r="L7" i="33"/>
  <c r="U3" i="15"/>
  <c r="V3" i="15"/>
  <c r="U4" i="15"/>
  <c r="V4" i="15"/>
  <c r="U5" i="15"/>
  <c r="V5" i="15"/>
  <c r="U6" i="15"/>
  <c r="V6" i="15"/>
  <c r="U7" i="15"/>
  <c r="V7" i="15"/>
  <c r="U8" i="15"/>
  <c r="V8" i="15"/>
  <c r="U9" i="15"/>
  <c r="V9" i="15"/>
  <c r="U10" i="15"/>
  <c r="V10" i="15"/>
  <c r="U11" i="15"/>
  <c r="V11" i="15"/>
  <c r="U12" i="15"/>
  <c r="V12" i="15"/>
  <c r="U13" i="15"/>
  <c r="V13" i="15"/>
  <c r="U14" i="15"/>
  <c r="V14" i="15"/>
  <c r="U15" i="15"/>
  <c r="V15" i="15"/>
  <c r="U16" i="15"/>
  <c r="V16" i="15"/>
  <c r="U17" i="15"/>
  <c r="V17" i="15"/>
  <c r="U18" i="15"/>
  <c r="V18" i="15"/>
  <c r="U19" i="15"/>
  <c r="V19" i="15"/>
  <c r="U20" i="15"/>
  <c r="V20" i="15"/>
  <c r="U21" i="15"/>
  <c r="V21" i="15"/>
  <c r="U22" i="15"/>
  <c r="V22" i="15"/>
  <c r="U23" i="15"/>
  <c r="V23" i="15"/>
  <c r="U24" i="15"/>
  <c r="V24" i="15"/>
  <c r="U25" i="15"/>
  <c r="V25" i="15"/>
  <c r="U26" i="15"/>
  <c r="V26" i="15"/>
  <c r="U27" i="15"/>
  <c r="V27" i="15"/>
  <c r="U28" i="15"/>
  <c r="V28" i="15"/>
  <c r="U29" i="15"/>
  <c r="V29" i="15"/>
  <c r="U31" i="15"/>
  <c r="V31" i="15"/>
  <c r="U32" i="15"/>
  <c r="V32" i="15"/>
  <c r="U33" i="15"/>
  <c r="V33" i="15"/>
  <c r="U34" i="15"/>
  <c r="V34" i="15"/>
  <c r="U35" i="15"/>
  <c r="V35" i="15"/>
  <c r="U36" i="15"/>
  <c r="V36" i="15"/>
  <c r="U37" i="15"/>
  <c r="V37" i="15"/>
  <c r="U38" i="15"/>
  <c r="V38" i="15"/>
  <c r="U39" i="15"/>
  <c r="V39" i="15"/>
  <c r="U40" i="15"/>
  <c r="V40" i="15"/>
  <c r="U41" i="15"/>
  <c r="V41" i="15"/>
  <c r="U42" i="15"/>
  <c r="V42" i="15"/>
  <c r="U43" i="15"/>
  <c r="V43" i="15"/>
  <c r="U44" i="15"/>
  <c r="V44" i="15"/>
  <c r="U45" i="15"/>
  <c r="V45" i="15"/>
  <c r="U46" i="15"/>
  <c r="V46" i="15"/>
  <c r="U48" i="15"/>
  <c r="V48" i="15"/>
  <c r="U49" i="15"/>
  <c r="V49" i="15"/>
  <c r="U50" i="15"/>
  <c r="V50" i="15"/>
  <c r="U51" i="15"/>
  <c r="V51" i="15"/>
  <c r="U52" i="15"/>
  <c r="V52" i="15"/>
  <c r="U53" i="15"/>
  <c r="V53" i="15"/>
  <c r="U54" i="15"/>
  <c r="V54" i="15"/>
  <c r="U55" i="15"/>
  <c r="V55" i="15"/>
  <c r="U56" i="15"/>
  <c r="V56" i="15"/>
  <c r="U57" i="15"/>
  <c r="V57" i="15"/>
  <c r="U58" i="15"/>
  <c r="V58" i="15"/>
  <c r="U59" i="15"/>
  <c r="V59" i="15"/>
  <c r="U60" i="15"/>
  <c r="V60" i="15"/>
  <c r="U61" i="15"/>
  <c r="V61" i="15"/>
  <c r="U62" i="15"/>
  <c r="V62" i="15"/>
  <c r="U63" i="15"/>
  <c r="V63" i="15"/>
  <c r="U64" i="15"/>
  <c r="V64" i="15"/>
  <c r="U65" i="15"/>
  <c r="V65" i="15"/>
  <c r="U66" i="15"/>
  <c r="V66" i="15"/>
  <c r="U67" i="15"/>
  <c r="V67" i="15"/>
  <c r="U68" i="15"/>
  <c r="V68" i="15"/>
  <c r="U69" i="15"/>
  <c r="V69" i="15"/>
  <c r="U70" i="15"/>
  <c r="V70" i="15"/>
  <c r="U71" i="15"/>
  <c r="V71" i="15"/>
  <c r="U72" i="15"/>
  <c r="V72" i="15"/>
  <c r="U73" i="15"/>
  <c r="V73" i="15"/>
  <c r="U74" i="15"/>
  <c r="V74" i="15"/>
  <c r="U75" i="15"/>
  <c r="V75" i="15"/>
  <c r="U76" i="15"/>
  <c r="V76" i="15"/>
  <c r="U77" i="15"/>
  <c r="V77" i="15"/>
  <c r="U78" i="15"/>
  <c r="V78" i="15"/>
  <c r="U79" i="15"/>
  <c r="V79" i="15"/>
  <c r="U80" i="15"/>
  <c r="Q7" i="7" s="1"/>
  <c r="AA7" i="7" s="1"/>
  <c r="V80" i="15"/>
  <c r="U83" i="15"/>
  <c r="V83" i="15"/>
  <c r="U84" i="15"/>
  <c r="V84" i="15"/>
  <c r="U85" i="15"/>
  <c r="V85" i="15"/>
  <c r="U86" i="15"/>
  <c r="V86" i="15"/>
  <c r="U89" i="15"/>
  <c r="V89" i="15"/>
  <c r="U90" i="15"/>
  <c r="V90" i="15"/>
  <c r="U91" i="15"/>
  <c r="V91" i="15"/>
  <c r="U94" i="15"/>
  <c r="V94" i="15"/>
  <c r="U95" i="15"/>
  <c r="V95" i="15"/>
  <c r="U96" i="15"/>
  <c r="V96" i="15"/>
  <c r="U97" i="15"/>
  <c r="V97" i="15"/>
  <c r="U98" i="15"/>
  <c r="V98" i="15"/>
  <c r="U101" i="15"/>
  <c r="V101" i="15"/>
  <c r="U102" i="15"/>
  <c r="V102" i="15"/>
  <c r="U103" i="15"/>
  <c r="V103" i="15"/>
  <c r="U104" i="15"/>
  <c r="V104" i="15"/>
  <c r="V2" i="15"/>
  <c r="U2" i="15"/>
  <c r="Q5" i="7" l="1"/>
  <c r="AA5" i="7" s="1"/>
  <c r="Q17" i="7"/>
  <c r="R2" i="7"/>
  <c r="R17" i="7"/>
  <c r="Q8" i="7"/>
  <c r="AA8" i="7" s="1"/>
  <c r="Q10" i="7"/>
  <c r="Q9" i="7"/>
  <c r="Q11" i="7"/>
  <c r="Q12" i="7"/>
  <c r="R7" i="7"/>
  <c r="R8" i="7"/>
  <c r="R11" i="7"/>
  <c r="R12" i="7"/>
  <c r="R3" i="7"/>
  <c r="R6" i="7"/>
  <c r="R4" i="7"/>
  <c r="R5" i="7"/>
  <c r="R13" i="7"/>
  <c r="R14" i="7"/>
  <c r="R15" i="7"/>
  <c r="R16" i="7"/>
  <c r="R10" i="7"/>
  <c r="R9" i="7"/>
  <c r="Q13" i="7"/>
  <c r="Q14" i="7"/>
  <c r="Q16" i="7"/>
  <c r="Q15" i="7"/>
  <c r="Q3" i="7"/>
  <c r="AA3" i="7" s="1"/>
  <c r="Q4" i="7"/>
  <c r="AA4" i="7" s="1"/>
  <c r="Q6" i="7"/>
  <c r="AA6" i="7" s="1"/>
  <c r="Q2" i="7"/>
  <c r="C17" i="7" l="1"/>
  <c r="AA17" i="7"/>
  <c r="AA11" i="7"/>
  <c r="C11" i="7"/>
  <c r="C14" i="7"/>
  <c r="AA14" i="7"/>
  <c r="C12" i="7"/>
  <c r="AA12" i="7"/>
  <c r="C15" i="7"/>
  <c r="AA15" i="7"/>
  <c r="C9" i="7"/>
  <c r="AA9" i="7"/>
  <c r="AA13" i="7"/>
  <c r="C13" i="7"/>
  <c r="C16" i="7"/>
  <c r="AA16" i="7"/>
  <c r="C10" i="7"/>
  <c r="AA10" i="7"/>
  <c r="AE3" i="7"/>
  <c r="AE4" i="7"/>
  <c r="AE5" i="7"/>
  <c r="AE6" i="7"/>
  <c r="AE7" i="7"/>
  <c r="AE8" i="7"/>
  <c r="AE2" i="7"/>
  <c r="AD2" i="7"/>
  <c r="AD3" i="7"/>
  <c r="AD4" i="7"/>
  <c r="AD5" i="7"/>
  <c r="AD6" i="7"/>
  <c r="AD7" i="7"/>
  <c r="AD8" i="7"/>
  <c r="T2" i="7"/>
  <c r="T3" i="7"/>
  <c r="T4" i="7"/>
  <c r="T5" i="7"/>
  <c r="T6" i="7"/>
  <c r="T7" i="7"/>
  <c r="T8" i="7"/>
  <c r="K3" i="33"/>
  <c r="K4" i="33"/>
  <c r="K5" i="33"/>
  <c r="K2" i="33"/>
  <c r="E3" i="40"/>
  <c r="E2" i="40"/>
  <c r="F3" i="40"/>
  <c r="F2" i="40"/>
  <c r="J7" i="35" l="1"/>
  <c r="J19" i="35"/>
  <c r="J17" i="35"/>
  <c r="J18" i="35"/>
  <c r="J16" i="35"/>
  <c r="J2" i="35"/>
  <c r="J15" i="35"/>
  <c r="J11" i="35"/>
  <c r="J13" i="35"/>
  <c r="J12" i="35"/>
  <c r="J14" i="35"/>
  <c r="J6" i="35"/>
  <c r="J4" i="35"/>
  <c r="J10" i="35"/>
  <c r="J9" i="35"/>
  <c r="J5" i="35"/>
  <c r="J8" i="35"/>
  <c r="J3" i="35"/>
  <c r="I34" i="22" l="1"/>
  <c r="O138" i="22" l="1"/>
  <c r="O137" i="22"/>
  <c r="O136" i="22"/>
  <c r="I26" i="22"/>
  <c r="I27" i="22"/>
  <c r="I28" i="22"/>
  <c r="O139" i="22" l="1"/>
  <c r="I32" i="22"/>
  <c r="I29" i="22" l="1"/>
  <c r="I124" i="22" l="1"/>
  <c r="I123" i="22"/>
  <c r="I115" i="22"/>
  <c r="I114" i="22"/>
  <c r="I31" i="22" l="1"/>
  <c r="I25" i="22"/>
  <c r="I104" i="22"/>
  <c r="I105" i="22"/>
  <c r="I97" i="22"/>
  <c r="I99" i="22"/>
  <c r="I118" i="22" l="1"/>
  <c r="I119" i="22"/>
  <c r="I120" i="22"/>
  <c r="I41" i="22"/>
  <c r="I138" i="22"/>
  <c r="I121" i="22" l="1"/>
  <c r="I70" i="22" l="1"/>
  <c r="I69" i="22"/>
  <c r="I71" i="22"/>
  <c r="I72" i="22"/>
  <c r="I73" i="22"/>
  <c r="I23" i="22"/>
  <c r="I24" i="22"/>
  <c r="I108" i="22"/>
  <c r="I94" i="22"/>
  <c r="I49" i="22"/>
  <c r="I46" i="22"/>
  <c r="I12" i="22"/>
  <c r="I13" i="22"/>
  <c r="I14" i="22"/>
  <c r="I16" i="22"/>
  <c r="I17" i="22"/>
  <c r="I19" i="22"/>
  <c r="I20" i="22"/>
  <c r="I22" i="22"/>
  <c r="I116" i="22"/>
  <c r="I117" i="22"/>
  <c r="I113" i="22"/>
  <c r="I122" i="22"/>
  <c r="I111" i="22"/>
  <c r="I112" i="22"/>
  <c r="I82" i="22"/>
  <c r="I83" i="22"/>
  <c r="I84" i="22"/>
  <c r="I96" i="22"/>
  <c r="I102" i="22"/>
  <c r="I103" i="22"/>
  <c r="I100" i="22"/>
  <c r="I101" i="22"/>
  <c r="I98" i="22"/>
  <c r="I90" i="22"/>
  <c r="I91" i="22"/>
  <c r="I81" i="22"/>
  <c r="I75" i="22"/>
  <c r="I77" i="22"/>
  <c r="I78" i="22"/>
  <c r="I74" i="22"/>
  <c r="I76" i="22"/>
  <c r="I92" i="22"/>
  <c r="I110" i="22"/>
  <c r="I93" i="22"/>
  <c r="I95" i="22"/>
  <c r="I35" i="22"/>
  <c r="I42" i="22"/>
  <c r="I44" i="22"/>
  <c r="I47" i="22"/>
  <c r="I36" i="22"/>
  <c r="I37" i="22"/>
  <c r="I38" i="22"/>
  <c r="I39" i="22"/>
  <c r="I60" i="22"/>
  <c r="I106" i="22" l="1"/>
  <c r="I107" i="22"/>
  <c r="I109" i="22"/>
  <c r="F3" i="35"/>
  <c r="I3" i="37" s="1"/>
  <c r="G30" i="15" s="1"/>
  <c r="F4" i="35"/>
  <c r="I4" i="37" s="1"/>
  <c r="F5" i="35"/>
  <c r="I5" i="37" s="1"/>
  <c r="F6" i="35"/>
  <c r="I6" i="37" s="1"/>
  <c r="G82" i="15" l="1"/>
  <c r="G81" i="15"/>
  <c r="G92" i="15"/>
  <c r="G93" i="15"/>
  <c r="I8" i="37"/>
  <c r="G47" i="15" s="1"/>
  <c r="H2" i="33"/>
  <c r="H3" i="33"/>
  <c r="H4" i="33"/>
  <c r="H5" i="33"/>
  <c r="G3" i="33"/>
  <c r="G4" i="33"/>
  <c r="G5" i="33"/>
  <c r="G2" i="33"/>
  <c r="C2" i="33" l="1"/>
  <c r="C4" i="33"/>
  <c r="C5" i="33"/>
  <c r="C3" i="33"/>
  <c r="G80" i="15"/>
  <c r="I9" i="37"/>
  <c r="I10" i="37"/>
  <c r="F7" i="35"/>
  <c r="F8" i="35"/>
  <c r="F9" i="35"/>
  <c r="F10" i="35"/>
  <c r="F2" i="35"/>
  <c r="D3" i="35"/>
  <c r="D4" i="35"/>
  <c r="D5" i="35"/>
  <c r="D6" i="35"/>
  <c r="D7" i="35"/>
  <c r="D8" i="35"/>
  <c r="D9" i="35"/>
  <c r="D10" i="35"/>
  <c r="D2" i="35"/>
  <c r="G87" i="15" l="1"/>
  <c r="G88" i="15"/>
  <c r="B7" i="35"/>
  <c r="I2" i="37"/>
  <c r="G3" i="15" s="1"/>
  <c r="I7" i="37"/>
  <c r="G79" i="15"/>
  <c r="G23" i="15"/>
  <c r="G27" i="15"/>
  <c r="G32" i="15"/>
  <c r="G36" i="15"/>
  <c r="G22" i="15"/>
  <c r="G35" i="15"/>
  <c r="G24" i="15"/>
  <c r="G28" i="15"/>
  <c r="G33" i="15"/>
  <c r="G37" i="15"/>
  <c r="G26" i="15"/>
  <c r="G21" i="15"/>
  <c r="G25" i="15"/>
  <c r="G29" i="15"/>
  <c r="G34" i="15"/>
  <c r="G31" i="15"/>
  <c r="G95" i="15"/>
  <c r="G96" i="15"/>
  <c r="G94" i="15"/>
  <c r="G91" i="15"/>
  <c r="G97" i="15"/>
  <c r="G67" i="15"/>
  <c r="G71" i="15"/>
  <c r="G75" i="15"/>
  <c r="G70" i="15"/>
  <c r="G68" i="15"/>
  <c r="G72" i="15"/>
  <c r="G76" i="15"/>
  <c r="G74" i="15"/>
  <c r="G69" i="15"/>
  <c r="G73" i="15"/>
  <c r="G77" i="15"/>
  <c r="G78" i="15"/>
  <c r="G61" i="15"/>
  <c r="I11" i="37"/>
  <c r="G89" i="15"/>
  <c r="G62" i="15"/>
  <c r="G86" i="15"/>
  <c r="G84" i="15"/>
  <c r="G85" i="15"/>
  <c r="G83" i="15"/>
  <c r="G56" i="15"/>
  <c r="G90" i="15"/>
  <c r="G100" i="15" l="1"/>
  <c r="G99" i="15"/>
  <c r="G4" i="15"/>
  <c r="G10" i="15"/>
  <c r="G9" i="15"/>
  <c r="G11" i="15"/>
  <c r="G6" i="15"/>
  <c r="G5" i="15"/>
  <c r="G7" i="15"/>
  <c r="G2" i="15"/>
  <c r="G8" i="15"/>
  <c r="G59" i="15"/>
  <c r="G60" i="15"/>
  <c r="G64" i="15"/>
  <c r="G63" i="15"/>
  <c r="G12" i="15"/>
  <c r="G16" i="15"/>
  <c r="G20" i="15"/>
  <c r="G15" i="15"/>
  <c r="G13" i="15"/>
  <c r="G17" i="15"/>
  <c r="G19" i="15"/>
  <c r="G14" i="15"/>
  <c r="G18" i="15"/>
  <c r="G103" i="15"/>
  <c r="G98" i="15"/>
  <c r="G104" i="15"/>
  <c r="G102" i="15"/>
  <c r="G101" i="15"/>
  <c r="G55" i="15"/>
  <c r="G57" i="15"/>
  <c r="G66" i="15"/>
  <c r="G58" i="15"/>
  <c r="G65" i="15"/>
  <c r="G41" i="15"/>
  <c r="G45" i="15"/>
  <c r="G50" i="15"/>
  <c r="G54" i="15"/>
  <c r="G44" i="15"/>
  <c r="G38" i="15"/>
  <c r="G42" i="15"/>
  <c r="G46" i="15"/>
  <c r="G51" i="15"/>
  <c r="G49" i="15"/>
  <c r="G39" i="15"/>
  <c r="G43" i="15"/>
  <c r="G48" i="15"/>
  <c r="G52" i="15"/>
  <c r="G40" i="15"/>
  <c r="G53" i="15"/>
  <c r="M41" i="36" l="1"/>
  <c r="L41" i="36"/>
  <c r="G41" i="36"/>
  <c r="F41" i="36"/>
  <c r="M19" i="36"/>
  <c r="L19" i="36"/>
  <c r="G19" i="36"/>
  <c r="F19" i="36"/>
  <c r="F2" i="36"/>
  <c r="F3" i="36"/>
  <c r="F4" i="36"/>
  <c r="F5" i="36"/>
  <c r="F6" i="36"/>
  <c r="F7" i="36"/>
  <c r="F8" i="36"/>
  <c r="F9" i="36"/>
  <c r="F10" i="36"/>
  <c r="F11" i="36"/>
  <c r="F12" i="36"/>
  <c r="F13" i="36"/>
  <c r="F14" i="36"/>
  <c r="F15" i="36"/>
  <c r="F16" i="36"/>
  <c r="F17" i="36"/>
  <c r="F18" i="36"/>
  <c r="F20" i="36"/>
  <c r="F21" i="36"/>
  <c r="F22" i="36"/>
  <c r="F23" i="36"/>
  <c r="F24" i="36"/>
  <c r="F25" i="36"/>
  <c r="F26" i="36"/>
  <c r="F27" i="36"/>
  <c r="F28" i="36"/>
  <c r="F29" i="36"/>
  <c r="F30" i="36"/>
  <c r="F31" i="36"/>
  <c r="F32" i="36"/>
  <c r="F33" i="36"/>
  <c r="F34" i="36"/>
  <c r="F35" i="36"/>
  <c r="F36" i="36"/>
  <c r="F37" i="36"/>
  <c r="F38" i="36"/>
  <c r="F39" i="36"/>
  <c r="F40" i="36"/>
  <c r="F42" i="36"/>
  <c r="F43" i="36"/>
  <c r="F44" i="36"/>
  <c r="F45" i="36"/>
  <c r="F46" i="36"/>
  <c r="F47" i="36"/>
  <c r="F48" i="36"/>
  <c r="F49" i="36"/>
  <c r="F50" i="36"/>
  <c r="F51" i="36"/>
  <c r="F52" i="36"/>
  <c r="F53" i="36"/>
  <c r="F54" i="36"/>
  <c r="F55" i="36"/>
  <c r="F56" i="36"/>
  <c r="F57" i="36"/>
  <c r="G2" i="36"/>
  <c r="G3" i="36"/>
  <c r="G4" i="36"/>
  <c r="G5" i="36"/>
  <c r="G6" i="36"/>
  <c r="G7" i="36"/>
  <c r="G8" i="36"/>
  <c r="G9" i="36"/>
  <c r="G10" i="36"/>
  <c r="G11" i="36"/>
  <c r="G12" i="36"/>
  <c r="G13" i="36"/>
  <c r="G14" i="36"/>
  <c r="G15" i="36"/>
  <c r="G16" i="36"/>
  <c r="G17" i="36"/>
  <c r="G18" i="36"/>
  <c r="G20" i="36"/>
  <c r="G21" i="36"/>
  <c r="G22" i="36"/>
  <c r="G23" i="36"/>
  <c r="G24" i="36"/>
  <c r="G25" i="36"/>
  <c r="G26" i="36"/>
  <c r="G27" i="36"/>
  <c r="G28" i="36"/>
  <c r="G29" i="36"/>
  <c r="G30" i="36"/>
  <c r="G31" i="36"/>
  <c r="G32" i="36"/>
  <c r="G33" i="36"/>
  <c r="G34" i="36"/>
  <c r="G35" i="36"/>
  <c r="G36" i="36"/>
  <c r="G37" i="36"/>
  <c r="G38" i="36"/>
  <c r="G39" i="36"/>
  <c r="G40" i="36"/>
  <c r="G42" i="36"/>
  <c r="G43" i="36"/>
  <c r="G44" i="36"/>
  <c r="G45" i="36"/>
  <c r="G46" i="36"/>
  <c r="G47" i="36"/>
  <c r="G48" i="36"/>
  <c r="G49" i="36"/>
  <c r="G50" i="36"/>
  <c r="G51" i="36"/>
  <c r="G52" i="36"/>
  <c r="G53" i="36"/>
  <c r="G54" i="36"/>
  <c r="G55" i="36"/>
  <c r="G56" i="36"/>
  <c r="G57" i="36"/>
  <c r="E42" i="36" l="1"/>
  <c r="E37" i="36"/>
  <c r="E33" i="36"/>
  <c r="E29" i="36"/>
  <c r="E25" i="36"/>
  <c r="E21" i="36"/>
  <c r="E16" i="36"/>
  <c r="E12" i="36"/>
  <c r="E8" i="36"/>
  <c r="E4" i="36"/>
  <c r="E41" i="36"/>
  <c r="E43" i="36"/>
  <c r="E38" i="36"/>
  <c r="E34" i="36"/>
  <c r="E30" i="36"/>
  <c r="E26" i="36"/>
  <c r="E22" i="36"/>
  <c r="E17" i="36"/>
  <c r="E13" i="36"/>
  <c r="E9" i="36"/>
  <c r="E5" i="36"/>
  <c r="C41" i="36"/>
  <c r="C19" i="36"/>
  <c r="D19" i="36" s="1"/>
  <c r="E44" i="36"/>
  <c r="E39" i="36"/>
  <c r="E35" i="36"/>
  <c r="E31" i="36"/>
  <c r="E27" i="36"/>
  <c r="E23" i="36"/>
  <c r="E18" i="36"/>
  <c r="E14" i="36"/>
  <c r="E10" i="36"/>
  <c r="E6" i="36"/>
  <c r="E2" i="36"/>
  <c r="E19" i="36"/>
  <c r="E45" i="36"/>
  <c r="E40" i="36"/>
  <c r="E36" i="36"/>
  <c r="E32" i="36"/>
  <c r="E28" i="36"/>
  <c r="E24" i="36"/>
  <c r="E20" i="36"/>
  <c r="E15" i="36"/>
  <c r="E11" i="36"/>
  <c r="E7" i="36"/>
  <c r="E3" i="36"/>
  <c r="O41" i="36" l="1"/>
  <c r="D41" i="36"/>
  <c r="O19" i="36"/>
  <c r="M2" i="36" l="1"/>
  <c r="M3" i="36"/>
  <c r="M4" i="36"/>
  <c r="M5" i="36"/>
  <c r="M6" i="36"/>
  <c r="M7" i="36"/>
  <c r="M8" i="36"/>
  <c r="M9" i="36"/>
  <c r="M10" i="36"/>
  <c r="M11" i="36"/>
  <c r="M12" i="36"/>
  <c r="M13" i="36"/>
  <c r="M14" i="36"/>
  <c r="M15" i="36"/>
  <c r="M16" i="36"/>
  <c r="M17" i="36"/>
  <c r="M18" i="36"/>
  <c r="M20" i="36"/>
  <c r="M21" i="36"/>
  <c r="M22" i="36"/>
  <c r="M23" i="36"/>
  <c r="M24" i="36"/>
  <c r="M25" i="36"/>
  <c r="M26" i="36"/>
  <c r="M27" i="36"/>
  <c r="M28" i="36"/>
  <c r="M29" i="36"/>
  <c r="M30" i="36"/>
  <c r="M31" i="36"/>
  <c r="M32" i="36"/>
  <c r="M33" i="36"/>
  <c r="M34" i="36"/>
  <c r="M35" i="36"/>
  <c r="M36" i="36"/>
  <c r="M37" i="36"/>
  <c r="M38" i="36"/>
  <c r="M39" i="36"/>
  <c r="M40" i="36"/>
  <c r="M42" i="36"/>
  <c r="M43" i="36"/>
  <c r="M44" i="36"/>
  <c r="M45" i="36"/>
  <c r="M46" i="36"/>
  <c r="M47" i="36"/>
  <c r="M48" i="36"/>
  <c r="M49" i="36"/>
  <c r="M50" i="36"/>
  <c r="M51" i="36"/>
  <c r="M52" i="36"/>
  <c r="M53" i="36"/>
  <c r="M54" i="36"/>
  <c r="M55" i="36"/>
  <c r="M56" i="36"/>
  <c r="M57" i="36"/>
  <c r="L2" i="36"/>
  <c r="C2" i="36" s="1"/>
  <c r="O2" i="36" s="1"/>
  <c r="L3" i="36"/>
  <c r="C3" i="36" s="1"/>
  <c r="L4" i="36"/>
  <c r="C4" i="36" s="1"/>
  <c r="L5" i="36"/>
  <c r="C5" i="36" s="1"/>
  <c r="L6" i="36"/>
  <c r="C6" i="36" s="1"/>
  <c r="O6" i="36" s="1"/>
  <c r="L7" i="36"/>
  <c r="C7" i="36" s="1"/>
  <c r="L8" i="36"/>
  <c r="C8" i="36" s="1"/>
  <c r="L9" i="36"/>
  <c r="C9" i="36" s="1"/>
  <c r="L10" i="36"/>
  <c r="C10" i="36" s="1"/>
  <c r="O10" i="36" s="1"/>
  <c r="L11" i="36"/>
  <c r="C11" i="36" s="1"/>
  <c r="L12" i="36"/>
  <c r="C12" i="36" s="1"/>
  <c r="L13" i="36"/>
  <c r="C13" i="36" s="1"/>
  <c r="L14" i="36"/>
  <c r="C14" i="36" s="1"/>
  <c r="O14" i="36" s="1"/>
  <c r="L15" i="36"/>
  <c r="C15" i="36" s="1"/>
  <c r="L16" i="36"/>
  <c r="C16" i="36" s="1"/>
  <c r="L17" i="36"/>
  <c r="C17" i="36" s="1"/>
  <c r="L18" i="36"/>
  <c r="C18" i="36" s="1"/>
  <c r="O18" i="36" s="1"/>
  <c r="L20" i="36"/>
  <c r="C20" i="36" s="1"/>
  <c r="L21" i="36"/>
  <c r="C21" i="36" s="1"/>
  <c r="L22" i="36"/>
  <c r="C22" i="36" s="1"/>
  <c r="L23" i="36"/>
  <c r="C23" i="36" s="1"/>
  <c r="O23" i="36" s="1"/>
  <c r="L24" i="36"/>
  <c r="C24" i="36" s="1"/>
  <c r="L25" i="36"/>
  <c r="C25" i="36" s="1"/>
  <c r="L26" i="36"/>
  <c r="C26" i="36" s="1"/>
  <c r="L27" i="36"/>
  <c r="C27" i="36" s="1"/>
  <c r="O27" i="36" s="1"/>
  <c r="L28" i="36"/>
  <c r="C28" i="36" s="1"/>
  <c r="L29" i="36"/>
  <c r="C29" i="36" s="1"/>
  <c r="L30" i="36"/>
  <c r="C30" i="36" s="1"/>
  <c r="L31" i="36"/>
  <c r="C31" i="36" s="1"/>
  <c r="O31" i="36" s="1"/>
  <c r="L32" i="36"/>
  <c r="C32" i="36" s="1"/>
  <c r="L33" i="36"/>
  <c r="C33" i="36" s="1"/>
  <c r="L34" i="36"/>
  <c r="C34" i="36" s="1"/>
  <c r="L35" i="36"/>
  <c r="C35" i="36" s="1"/>
  <c r="O35" i="36" s="1"/>
  <c r="L36" i="36"/>
  <c r="C36" i="36" s="1"/>
  <c r="L37" i="36"/>
  <c r="C37" i="36" s="1"/>
  <c r="L38" i="36"/>
  <c r="C38" i="36" s="1"/>
  <c r="L39" i="36"/>
  <c r="C39" i="36" s="1"/>
  <c r="O39" i="36" s="1"/>
  <c r="L40" i="36"/>
  <c r="C40" i="36" s="1"/>
  <c r="L42" i="36"/>
  <c r="C42" i="36" s="1"/>
  <c r="L43" i="36"/>
  <c r="C43" i="36" s="1"/>
  <c r="L44" i="36"/>
  <c r="C44" i="36" s="1"/>
  <c r="O44" i="36" s="1"/>
  <c r="L45" i="36"/>
  <c r="C45" i="36" s="1"/>
  <c r="L46" i="36"/>
  <c r="C46" i="36" s="1"/>
  <c r="L47" i="36"/>
  <c r="C47" i="36" s="1"/>
  <c r="L48" i="36"/>
  <c r="C48" i="36" s="1"/>
  <c r="O48" i="36" s="1"/>
  <c r="L49" i="36"/>
  <c r="C49" i="36" s="1"/>
  <c r="L50" i="36"/>
  <c r="C50" i="36" s="1"/>
  <c r="L51" i="36"/>
  <c r="C51" i="36" s="1"/>
  <c r="L52" i="36"/>
  <c r="C52" i="36" s="1"/>
  <c r="O52" i="36" s="1"/>
  <c r="L53" i="36"/>
  <c r="C53" i="36" s="1"/>
  <c r="L54" i="36"/>
  <c r="C54" i="36" s="1"/>
  <c r="L55" i="36"/>
  <c r="C55" i="36" s="1"/>
  <c r="L56" i="36"/>
  <c r="C56" i="36" s="1"/>
  <c r="O56" i="36" s="1"/>
  <c r="L57" i="36"/>
  <c r="C57" i="36" s="1"/>
  <c r="O54" i="36" l="1"/>
  <c r="O50" i="36"/>
  <c r="O46" i="36"/>
  <c r="O42" i="36"/>
  <c r="O37" i="36"/>
  <c r="O33" i="36"/>
  <c r="O29" i="36"/>
  <c r="O25" i="36"/>
  <c r="O21" i="36"/>
  <c r="O16" i="36"/>
  <c r="O12" i="36"/>
  <c r="O8" i="36"/>
  <c r="O4" i="36"/>
  <c r="O55" i="36"/>
  <c r="O51" i="36"/>
  <c r="O47" i="36"/>
  <c r="O43" i="36"/>
  <c r="O38" i="36"/>
  <c r="O34" i="36"/>
  <c r="O30" i="36"/>
  <c r="O26" i="36"/>
  <c r="O22" i="36"/>
  <c r="O17" i="36"/>
  <c r="O13" i="36"/>
  <c r="O9" i="36"/>
  <c r="O5" i="36"/>
  <c r="O57" i="36"/>
  <c r="O53" i="36"/>
  <c r="O49" i="36"/>
  <c r="O45" i="36"/>
  <c r="O40" i="36"/>
  <c r="O36" i="36"/>
  <c r="O32" i="36"/>
  <c r="O28" i="36"/>
  <c r="O24" i="36"/>
  <c r="O20" i="36"/>
  <c r="O15" i="36"/>
  <c r="O11" i="36"/>
  <c r="O7" i="36"/>
  <c r="O3" i="36"/>
  <c r="E9" i="37"/>
  <c r="M2" i="37"/>
  <c r="M3" i="37"/>
  <c r="M4" i="37"/>
  <c r="M5" i="37"/>
  <c r="M6" i="37"/>
  <c r="M7" i="37"/>
  <c r="M8" i="37"/>
  <c r="M9" i="37"/>
  <c r="M10" i="37"/>
  <c r="M11" i="37"/>
  <c r="E11" i="37"/>
  <c r="H11" i="37"/>
  <c r="E10" i="37"/>
  <c r="H10" i="37"/>
  <c r="H9" i="37"/>
  <c r="E8" i="37"/>
  <c r="H8" i="37"/>
  <c r="F47" i="15" s="1"/>
  <c r="E7" i="37"/>
  <c r="H7" i="37"/>
  <c r="L47" i="15" l="1"/>
  <c r="L100" i="15"/>
  <c r="L99" i="15"/>
  <c r="L30" i="15"/>
  <c r="L88" i="15"/>
  <c r="L87" i="15"/>
  <c r="L92" i="15"/>
  <c r="L93" i="15"/>
  <c r="L82" i="15"/>
  <c r="L81" i="15"/>
  <c r="D47" i="15"/>
  <c r="F88" i="15"/>
  <c r="F87" i="15"/>
  <c r="D87" i="15" s="1"/>
  <c r="F100" i="15"/>
  <c r="F99" i="15"/>
  <c r="P17" i="7"/>
  <c r="D18" i="36"/>
  <c r="D28" i="36"/>
  <c r="D25" i="36"/>
  <c r="D44" i="36"/>
  <c r="D32" i="36"/>
  <c r="D5" i="36"/>
  <c r="D29" i="36"/>
  <c r="D9" i="36"/>
  <c r="D45" i="36"/>
  <c r="D27" i="36"/>
  <c r="D31" i="36"/>
  <c r="D34" i="36"/>
  <c r="D36" i="36"/>
  <c r="D30" i="36"/>
  <c r="D33" i="36"/>
  <c r="D26" i="36"/>
  <c r="D39" i="36"/>
  <c r="D42" i="36"/>
  <c r="D35" i="36"/>
  <c r="D24" i="36"/>
  <c r="D40" i="36"/>
  <c r="D43" i="36"/>
  <c r="D37" i="36"/>
  <c r="D38" i="36"/>
  <c r="D99" i="15" l="1"/>
  <c r="D100" i="15"/>
  <c r="D88" i="15"/>
  <c r="P14" i="7"/>
  <c r="P13" i="7"/>
  <c r="P11" i="7"/>
  <c r="P12" i="7"/>
  <c r="P9" i="7"/>
  <c r="P10" i="7"/>
  <c r="P15" i="7"/>
  <c r="P16" i="7"/>
  <c r="P8" i="7"/>
  <c r="P7" i="7"/>
  <c r="P5" i="7"/>
  <c r="P6" i="7"/>
  <c r="P2" i="7"/>
  <c r="P3" i="7"/>
  <c r="P4" i="7"/>
  <c r="I2" i="39"/>
  <c r="K2" i="39" s="1"/>
  <c r="S104" i="15"/>
  <c r="S66" i="15"/>
  <c r="S11" i="15"/>
  <c r="S37" i="15"/>
  <c r="S97" i="15"/>
  <c r="S84" i="15"/>
  <c r="S78" i="15"/>
  <c r="S20" i="15"/>
  <c r="S90" i="15"/>
  <c r="S54" i="15"/>
  <c r="S67" i="15"/>
  <c r="S98" i="15" l="1"/>
  <c r="S85" i="15"/>
  <c r="S38" i="15"/>
  <c r="S12" i="15"/>
  <c r="S79" i="15"/>
  <c r="S91" i="15"/>
  <c r="S21" i="15"/>
  <c r="S2" i="15"/>
  <c r="S55" i="15"/>
  <c r="L56" i="15"/>
  <c r="L57" i="15"/>
  <c r="L58" i="15"/>
  <c r="L59" i="15"/>
  <c r="L60" i="15"/>
  <c r="L61" i="15"/>
  <c r="L62" i="15"/>
  <c r="L63" i="15"/>
  <c r="L64" i="15"/>
  <c r="L65" i="15"/>
  <c r="L66" i="15"/>
  <c r="L21" i="15"/>
  <c r="L22" i="15"/>
  <c r="L23" i="15"/>
  <c r="L24" i="15"/>
  <c r="L25" i="15"/>
  <c r="L26" i="15"/>
  <c r="L27" i="15"/>
  <c r="L28" i="15"/>
  <c r="L29" i="15"/>
  <c r="L31" i="15"/>
  <c r="L32" i="15"/>
  <c r="L33" i="15"/>
  <c r="L34" i="15"/>
  <c r="L35" i="15"/>
  <c r="L36" i="15"/>
  <c r="L37" i="15"/>
  <c r="L91" i="15"/>
  <c r="L94" i="15"/>
  <c r="L95" i="15"/>
  <c r="L96" i="15"/>
  <c r="L97" i="15"/>
  <c r="L79" i="15"/>
  <c r="V17" i="7" s="1"/>
  <c r="L80" i="15"/>
  <c r="L83" i="15"/>
  <c r="L84" i="15"/>
  <c r="L67" i="15"/>
  <c r="L68" i="15"/>
  <c r="L69" i="15"/>
  <c r="L70" i="15"/>
  <c r="L71" i="15"/>
  <c r="L72" i="15"/>
  <c r="L73" i="15"/>
  <c r="L74" i="15"/>
  <c r="L75" i="15"/>
  <c r="L76" i="15"/>
  <c r="L77" i="15"/>
  <c r="L78" i="15"/>
  <c r="L12" i="15"/>
  <c r="L13" i="15"/>
  <c r="L14" i="15"/>
  <c r="L15" i="15"/>
  <c r="L16" i="15"/>
  <c r="L17" i="15"/>
  <c r="L18" i="15"/>
  <c r="L19" i="15"/>
  <c r="L20" i="15"/>
  <c r="L38" i="15"/>
  <c r="L39" i="15"/>
  <c r="L40" i="15"/>
  <c r="L41" i="15"/>
  <c r="L42" i="15"/>
  <c r="L43" i="15"/>
  <c r="L44" i="15"/>
  <c r="L45" i="15"/>
  <c r="L46" i="15"/>
  <c r="L48" i="15"/>
  <c r="L49" i="15"/>
  <c r="L50" i="15"/>
  <c r="L51" i="15"/>
  <c r="L52" i="15"/>
  <c r="L53" i="15"/>
  <c r="L54" i="15"/>
  <c r="L98" i="15"/>
  <c r="L101" i="15"/>
  <c r="L102" i="15"/>
  <c r="L103" i="15"/>
  <c r="L104" i="15"/>
  <c r="L85" i="15"/>
  <c r="L86" i="15"/>
  <c r="L89" i="15"/>
  <c r="L90" i="15"/>
  <c r="L55" i="15"/>
  <c r="H3" i="37"/>
  <c r="F30" i="15" s="1"/>
  <c r="D30" i="15" s="1"/>
  <c r="H4" i="37"/>
  <c r="H5" i="37"/>
  <c r="H6" i="37"/>
  <c r="H2" i="37"/>
  <c r="F92" i="15" l="1"/>
  <c r="D92" i="15" s="1"/>
  <c r="F93" i="15"/>
  <c r="D93" i="15" s="1"/>
  <c r="F82" i="15"/>
  <c r="D82" i="15" s="1"/>
  <c r="F81" i="15"/>
  <c r="D81" i="15" s="1"/>
  <c r="V9" i="7"/>
  <c r="V10" i="7"/>
  <c r="V13" i="7"/>
  <c r="V14" i="7"/>
  <c r="V15" i="7"/>
  <c r="V16" i="7"/>
  <c r="V11" i="7"/>
  <c r="V12" i="7"/>
  <c r="V5" i="7"/>
  <c r="V2" i="7"/>
  <c r="V6" i="7"/>
  <c r="V3" i="7"/>
  <c r="V4" i="7"/>
  <c r="V7" i="7"/>
  <c r="V8" i="7"/>
  <c r="F23" i="15"/>
  <c r="F27" i="15"/>
  <c r="F32" i="15"/>
  <c r="F36" i="15"/>
  <c r="F38" i="15"/>
  <c r="F42" i="15"/>
  <c r="F46" i="15"/>
  <c r="F51" i="15"/>
  <c r="F24" i="15"/>
  <c r="F28" i="15"/>
  <c r="F33" i="15"/>
  <c r="F37" i="15"/>
  <c r="F29" i="15"/>
  <c r="F49" i="15"/>
  <c r="F26" i="15"/>
  <c r="F41" i="15"/>
  <c r="F50" i="15"/>
  <c r="F39" i="15"/>
  <c r="F43" i="15"/>
  <c r="F48" i="15"/>
  <c r="F52" i="15"/>
  <c r="F21" i="15"/>
  <c r="F34" i="15"/>
  <c r="F40" i="15"/>
  <c r="F53" i="15"/>
  <c r="F22" i="15"/>
  <c r="F35" i="15"/>
  <c r="F45" i="15"/>
  <c r="F54" i="15"/>
  <c r="F25" i="15"/>
  <c r="F44" i="15"/>
  <c r="F31" i="15"/>
  <c r="F80" i="15"/>
  <c r="F90" i="15"/>
  <c r="F86" i="15"/>
  <c r="F83" i="15"/>
  <c r="F85" i="15"/>
  <c r="F84" i="15"/>
  <c r="F89" i="15"/>
  <c r="F79" i="15"/>
  <c r="F2" i="15"/>
  <c r="F6" i="15"/>
  <c r="F10" i="15"/>
  <c r="F13" i="15"/>
  <c r="F17" i="15"/>
  <c r="F3" i="15"/>
  <c r="F7" i="15"/>
  <c r="F11" i="15"/>
  <c r="F8" i="15"/>
  <c r="F19" i="15"/>
  <c r="F12" i="15"/>
  <c r="F16" i="15"/>
  <c r="F14" i="15"/>
  <c r="F18" i="15"/>
  <c r="F20" i="15"/>
  <c r="F4" i="15"/>
  <c r="F15" i="15"/>
  <c r="F5" i="15"/>
  <c r="F9" i="15"/>
  <c r="F95" i="15"/>
  <c r="F98" i="15"/>
  <c r="F104" i="15"/>
  <c r="F96" i="15"/>
  <c r="F97" i="15"/>
  <c r="F94" i="15"/>
  <c r="F103" i="15"/>
  <c r="F101" i="15"/>
  <c r="F91" i="15"/>
  <c r="F102" i="15"/>
  <c r="F59" i="15"/>
  <c r="F63" i="15"/>
  <c r="F68" i="15"/>
  <c r="F72" i="15"/>
  <c r="F76" i="15"/>
  <c r="F56" i="15"/>
  <c r="F60" i="15"/>
  <c r="F64" i="15"/>
  <c r="F57" i="15"/>
  <c r="F65" i="15"/>
  <c r="F74" i="15"/>
  <c r="F71" i="15"/>
  <c r="F69" i="15"/>
  <c r="F73" i="15"/>
  <c r="F77" i="15"/>
  <c r="F55" i="15"/>
  <c r="F61" i="15"/>
  <c r="F78" i="15"/>
  <c r="F62" i="15"/>
  <c r="F66" i="15"/>
  <c r="F67" i="15"/>
  <c r="F75" i="15"/>
  <c r="F70" i="15"/>
  <c r="F58" i="15"/>
  <c r="L2" i="33"/>
  <c r="L3" i="33"/>
  <c r="L4" i="33"/>
  <c r="L5" i="33"/>
  <c r="E8" i="7" l="1"/>
  <c r="E7" i="7"/>
  <c r="E6" i="7"/>
  <c r="E5" i="7"/>
  <c r="E4" i="7"/>
  <c r="E3" i="7"/>
  <c r="E2" i="7"/>
  <c r="D24" i="38"/>
  <c r="B8" i="35"/>
  <c r="B9" i="35"/>
  <c r="B10" i="35"/>
  <c r="G19" i="7" l="1"/>
  <c r="B3" i="35"/>
  <c r="G8" i="37" s="1"/>
  <c r="N47" i="15" s="1"/>
  <c r="B4" i="35"/>
  <c r="G9" i="37" s="1"/>
  <c r="B5" i="35"/>
  <c r="G10" i="37" s="1"/>
  <c r="B6" i="35"/>
  <c r="G11" i="37" s="1"/>
  <c r="B2" i="35"/>
  <c r="G7" i="37" s="1"/>
  <c r="N88" i="15" l="1"/>
  <c r="N87" i="15"/>
  <c r="N100" i="15"/>
  <c r="N99" i="15"/>
  <c r="C10" i="37"/>
  <c r="N85" i="15"/>
  <c r="N86" i="15"/>
  <c r="N90" i="15"/>
  <c r="N89" i="15"/>
  <c r="C7" i="37"/>
  <c r="N15" i="15"/>
  <c r="N19" i="15"/>
  <c r="N12" i="15"/>
  <c r="N16" i="15"/>
  <c r="N20" i="15"/>
  <c r="N14" i="15"/>
  <c r="N13" i="15"/>
  <c r="N17" i="15"/>
  <c r="N18" i="15"/>
  <c r="C8" i="37"/>
  <c r="N40" i="15"/>
  <c r="N44" i="15"/>
  <c r="N49" i="15"/>
  <c r="N53" i="15"/>
  <c r="N48" i="15"/>
  <c r="N52" i="15"/>
  <c r="N41" i="15"/>
  <c r="N45" i="15"/>
  <c r="N50" i="15"/>
  <c r="N54" i="15"/>
  <c r="N43" i="15"/>
  <c r="N38" i="15"/>
  <c r="N42" i="15"/>
  <c r="N46" i="15"/>
  <c r="N51" i="15"/>
  <c r="N39" i="15"/>
  <c r="C11" i="37"/>
  <c r="N103" i="15"/>
  <c r="N102" i="15"/>
  <c r="N98" i="15"/>
  <c r="N104" i="15"/>
  <c r="N101" i="15"/>
  <c r="C9" i="37"/>
  <c r="N67" i="15"/>
  <c r="N71" i="15"/>
  <c r="N75" i="15"/>
  <c r="N72" i="15"/>
  <c r="N68" i="15"/>
  <c r="N76" i="15"/>
  <c r="N74" i="15"/>
  <c r="N77" i="15"/>
  <c r="N78" i="15"/>
  <c r="N69" i="15"/>
  <c r="N70" i="15"/>
  <c r="N73" i="15"/>
  <c r="M2" i="33"/>
  <c r="M3" i="33"/>
  <c r="M4" i="33"/>
  <c r="M5" i="33"/>
  <c r="G5" i="37" l="1"/>
  <c r="G6" i="37"/>
  <c r="G4" i="37"/>
  <c r="E2" i="37"/>
  <c r="E3" i="37"/>
  <c r="E4" i="37"/>
  <c r="E5" i="37"/>
  <c r="E6" i="37"/>
  <c r="N93" i="15" l="1"/>
  <c r="N92" i="15"/>
  <c r="N82" i="15"/>
  <c r="N81" i="15"/>
  <c r="C5" i="37"/>
  <c r="N79" i="15"/>
  <c r="S17" i="7" s="1"/>
  <c r="N84" i="15"/>
  <c r="N80" i="15"/>
  <c r="N83" i="15"/>
  <c r="N57" i="15"/>
  <c r="N58" i="15"/>
  <c r="N60" i="15"/>
  <c r="N55" i="15"/>
  <c r="N59" i="15"/>
  <c r="N56" i="15"/>
  <c r="C6" i="37"/>
  <c r="N91" i="15"/>
  <c r="N97" i="15"/>
  <c r="N94" i="15"/>
  <c r="N95" i="15"/>
  <c r="N96" i="15"/>
  <c r="C4" i="37"/>
  <c r="N63" i="15"/>
  <c r="N61" i="15"/>
  <c r="N64" i="15"/>
  <c r="N66" i="15"/>
  <c r="N62" i="15"/>
  <c r="N65" i="15"/>
  <c r="D98" i="15"/>
  <c r="D95" i="15"/>
  <c r="D97" i="15"/>
  <c r="D96" i="15"/>
  <c r="D102" i="15"/>
  <c r="D101" i="15"/>
  <c r="D94" i="15"/>
  <c r="D91" i="15"/>
  <c r="D103" i="15"/>
  <c r="D104" i="15"/>
  <c r="D4" i="15"/>
  <c r="D16" i="15"/>
  <c r="D5" i="15"/>
  <c r="E5" i="11" s="1"/>
  <c r="C5" i="11" s="1"/>
  <c r="D17" i="15"/>
  <c r="D12" i="15"/>
  <c r="E12" i="11" s="1"/>
  <c r="C12" i="11" s="1"/>
  <c r="D10" i="15"/>
  <c r="E10" i="11" s="1"/>
  <c r="C10" i="11" s="1"/>
  <c r="D9" i="15"/>
  <c r="E9" i="11" s="1"/>
  <c r="C9" i="11" s="1"/>
  <c r="D7" i="15"/>
  <c r="E7" i="11" s="1"/>
  <c r="C7" i="11" s="1"/>
  <c r="D15" i="15"/>
  <c r="D14" i="15"/>
  <c r="D3" i="15"/>
  <c r="D13" i="15"/>
  <c r="D2" i="15"/>
  <c r="D11" i="15"/>
  <c r="E11" i="11" s="1"/>
  <c r="C11" i="11" s="1"/>
  <c r="D19" i="15"/>
  <c r="D6" i="15"/>
  <c r="E6" i="11" s="1"/>
  <c r="C6" i="11" s="1"/>
  <c r="D18" i="15"/>
  <c r="D8" i="15"/>
  <c r="E8" i="11" s="1"/>
  <c r="C8" i="11" s="1"/>
  <c r="D20" i="15"/>
  <c r="D83" i="15"/>
  <c r="D86" i="15"/>
  <c r="D85" i="15"/>
  <c r="D89" i="15"/>
  <c r="E3" i="11" s="1"/>
  <c r="C3" i="11" s="1"/>
  <c r="D79" i="15"/>
  <c r="U17" i="7" s="1"/>
  <c r="D80" i="15"/>
  <c r="D90" i="15"/>
  <c r="D84" i="15"/>
  <c r="D72" i="15"/>
  <c r="D59" i="15"/>
  <c r="D67" i="15"/>
  <c r="D78" i="15"/>
  <c r="D65" i="15"/>
  <c r="D77" i="15"/>
  <c r="D64" i="15"/>
  <c r="D56" i="15"/>
  <c r="D68" i="15"/>
  <c r="D66" i="15"/>
  <c r="D74" i="15"/>
  <c r="D61" i="15"/>
  <c r="D73" i="15"/>
  <c r="D60" i="15"/>
  <c r="D76" i="15"/>
  <c r="D71" i="15"/>
  <c r="D58" i="15"/>
  <c r="D55" i="15"/>
  <c r="D75" i="15"/>
  <c r="D62" i="15"/>
  <c r="D70" i="15"/>
  <c r="D57" i="15"/>
  <c r="D69" i="15"/>
  <c r="D63" i="15"/>
  <c r="D22" i="15"/>
  <c r="D38" i="15"/>
  <c r="D29" i="15"/>
  <c r="D50" i="15"/>
  <c r="D28" i="15"/>
  <c r="D44" i="15"/>
  <c r="D23" i="15"/>
  <c r="D43" i="15"/>
  <c r="D26" i="15"/>
  <c r="D51" i="15"/>
  <c r="D25" i="15"/>
  <c r="D45" i="15"/>
  <c r="D24" i="15"/>
  <c r="D40" i="15"/>
  <c r="D36" i="15"/>
  <c r="D39" i="15"/>
  <c r="D34" i="15"/>
  <c r="D54" i="15"/>
  <c r="D33" i="15"/>
  <c r="D46" i="15"/>
  <c r="D21" i="15"/>
  <c r="D41" i="15"/>
  <c r="D37" i="15"/>
  <c r="D53" i="15"/>
  <c r="D32" i="15"/>
  <c r="D52" i="15"/>
  <c r="D35" i="15"/>
  <c r="D42" i="15"/>
  <c r="D49" i="15"/>
  <c r="D27" i="15"/>
  <c r="D48" i="15"/>
  <c r="D31" i="15"/>
  <c r="D14" i="38"/>
  <c r="D18" i="38"/>
  <c r="D22" i="38"/>
  <c r="D5" i="38"/>
  <c r="D9" i="38"/>
  <c r="D17" i="38"/>
  <c r="D4" i="38"/>
  <c r="D11" i="38"/>
  <c r="D15" i="38"/>
  <c r="D19" i="38"/>
  <c r="D23" i="38"/>
  <c r="D6" i="38"/>
  <c r="D10" i="38"/>
  <c r="D13" i="38"/>
  <c r="D21" i="38"/>
  <c r="D8" i="38"/>
  <c r="D12" i="38"/>
  <c r="D16" i="38"/>
  <c r="D20" i="38"/>
  <c r="D3" i="38"/>
  <c r="D7" i="38"/>
  <c r="D2" i="38"/>
  <c r="G2" i="37"/>
  <c r="G3" i="37"/>
  <c r="N30" i="15" s="1"/>
  <c r="E4" i="11" l="1"/>
  <c r="C4" i="11" s="1"/>
  <c r="S13" i="7"/>
  <c r="S14" i="7"/>
  <c r="U15" i="7"/>
  <c r="U16" i="7"/>
  <c r="S11" i="7"/>
  <c r="S12" i="7"/>
  <c r="S9" i="7"/>
  <c r="S10" i="7"/>
  <c r="U9" i="7"/>
  <c r="U10" i="7"/>
  <c r="S15" i="7"/>
  <c r="S16" i="7"/>
  <c r="U13" i="7"/>
  <c r="U14" i="7"/>
  <c r="U11" i="7"/>
  <c r="U12" i="7"/>
  <c r="C2" i="37"/>
  <c r="N3" i="15"/>
  <c r="N7" i="15"/>
  <c r="N11" i="15"/>
  <c r="N10" i="15"/>
  <c r="N4" i="15"/>
  <c r="N8" i="15"/>
  <c r="N2" i="15"/>
  <c r="N5" i="15"/>
  <c r="N9" i="15"/>
  <c r="N6" i="15"/>
  <c r="S7" i="7"/>
  <c r="S8" i="7"/>
  <c r="S6" i="7"/>
  <c r="S5" i="7"/>
  <c r="S3" i="7"/>
  <c r="S4" i="7"/>
  <c r="C3" i="37"/>
  <c r="N23" i="15"/>
  <c r="N27" i="15"/>
  <c r="N32" i="15"/>
  <c r="N36" i="15"/>
  <c r="N22" i="15"/>
  <c r="N35" i="15"/>
  <c r="N24" i="15"/>
  <c r="N28" i="15"/>
  <c r="N33" i="15"/>
  <c r="N37" i="15"/>
  <c r="N26" i="15"/>
  <c r="N21" i="15"/>
  <c r="N25" i="15"/>
  <c r="N29" i="15"/>
  <c r="N34" i="15"/>
  <c r="N31" i="15"/>
  <c r="U7" i="7"/>
  <c r="U8" i="7"/>
  <c r="U3" i="7"/>
  <c r="U4" i="7"/>
  <c r="U5" i="7"/>
  <c r="U2" i="7"/>
  <c r="U6" i="7"/>
  <c r="E2" i="11"/>
  <c r="C2" i="11" s="1"/>
  <c r="S2" i="7"/>
  <c r="D49" i="36" l="1"/>
  <c r="D17" i="36"/>
  <c r="D7" i="36"/>
  <c r="D53" i="36"/>
  <c r="D8" i="36"/>
  <c r="D54" i="36"/>
  <c r="D14" i="36"/>
  <c r="D51" i="36"/>
  <c r="D11" i="36"/>
  <c r="D22" i="36"/>
  <c r="D57" i="36"/>
  <c r="D21" i="36"/>
  <c r="D46" i="36"/>
  <c r="D50" i="36"/>
  <c r="D4" i="36"/>
  <c r="D47" i="36"/>
  <c r="D55" i="36"/>
  <c r="D6" i="36"/>
  <c r="D20" i="36"/>
  <c r="D48" i="36"/>
  <c r="D52" i="36"/>
  <c r="D56" i="36"/>
  <c r="D2" i="36"/>
  <c r="D16" i="36" l="1"/>
  <c r="D23" i="36"/>
  <c r="D10" i="36"/>
  <c r="D15" i="36"/>
  <c r="D3" i="36"/>
  <c r="D12" i="36"/>
  <c r="D13" i="36"/>
  <c r="K7" i="7"/>
  <c r="K6" i="7"/>
  <c r="K5" i="7"/>
  <c r="C2" i="7" l="1"/>
  <c r="AA2" i="7"/>
  <c r="C5" i="7"/>
  <c r="C6" i="7"/>
  <c r="C7" i="7"/>
  <c r="C3" i="7"/>
  <c r="C4" i="7"/>
  <c r="K4" i="7" l="1"/>
  <c r="K3" i="7"/>
  <c r="AE19" i="7" s="1"/>
  <c r="Q19" i="7" l="1"/>
  <c r="C8" i="7" l="1"/>
  <c r="E19" i="7" s="1"/>
</calcChain>
</file>

<file path=xl/sharedStrings.xml><?xml version="1.0" encoding="utf-8"?>
<sst xmlns="http://schemas.openxmlformats.org/spreadsheetml/2006/main" count="2644" uniqueCount="1051">
  <si>
    <t>Title</t>
  </si>
  <si>
    <t>Description</t>
  </si>
  <si>
    <t>Priority</t>
  </si>
  <si>
    <t xml:space="preserve">Phase </t>
  </si>
  <si>
    <t>ID</t>
  </si>
  <si>
    <t>Tracability</t>
  </si>
  <si>
    <t>IP Address</t>
  </si>
  <si>
    <t xml:space="preserve"> </t>
  </si>
  <si>
    <t>RSK01</t>
  </si>
  <si>
    <t>RSK02</t>
  </si>
  <si>
    <t>RSK03</t>
  </si>
  <si>
    <t>RSK04</t>
  </si>
  <si>
    <t>RSK05</t>
  </si>
  <si>
    <t>RSK06</t>
  </si>
  <si>
    <t>RSK07</t>
  </si>
  <si>
    <t>RSK08</t>
  </si>
  <si>
    <t>RSK09</t>
  </si>
  <si>
    <t>RSK10</t>
  </si>
  <si>
    <t>RSK11</t>
  </si>
  <si>
    <t>RSK12</t>
  </si>
  <si>
    <t>RSK13</t>
  </si>
  <si>
    <t>RSK14</t>
  </si>
  <si>
    <t>RSK15</t>
  </si>
  <si>
    <t>RSK16</t>
  </si>
  <si>
    <t>RSK17</t>
  </si>
  <si>
    <t>RSK18</t>
  </si>
  <si>
    <t>RSK19</t>
  </si>
  <si>
    <t>RSK20</t>
  </si>
  <si>
    <t>RSK21</t>
  </si>
  <si>
    <t>RSK22</t>
  </si>
  <si>
    <t>RSK23</t>
  </si>
  <si>
    <t>RSK24</t>
  </si>
  <si>
    <t>RSK25</t>
  </si>
  <si>
    <t>RSK26</t>
  </si>
  <si>
    <t>RSK27</t>
  </si>
  <si>
    <t>RSK28</t>
  </si>
  <si>
    <t>Owner</t>
  </si>
  <si>
    <t>Phase</t>
  </si>
  <si>
    <t>Physical Location</t>
  </si>
  <si>
    <t>Risk ID</t>
  </si>
  <si>
    <t>Assigned To</t>
  </si>
  <si>
    <t>Status</t>
  </si>
  <si>
    <t>Category</t>
  </si>
  <si>
    <t>Impact (Magnitude)</t>
  </si>
  <si>
    <t>Probability (%)</t>
  </si>
  <si>
    <t>Cost</t>
  </si>
  <si>
    <t>Mitigation Plan</t>
  </si>
  <si>
    <t>Contingency Plan</t>
  </si>
  <si>
    <t>Trigger Description</t>
  </si>
  <si>
    <t>Trigger (date or custom)</t>
  </si>
  <si>
    <t>Stake Holder(s)</t>
  </si>
  <si>
    <t>Type</t>
  </si>
  <si>
    <t xml:space="preserve">Inability to make timely and coordinated project decisions </t>
  </si>
  <si>
    <t>Lack of Participation in Discovery</t>
  </si>
  <si>
    <t>Lack of Participation in Analysis</t>
  </si>
  <si>
    <t>Inability to achieve consensus on Final Vision – Scope – and Design</t>
  </si>
  <si>
    <t xml:space="preserve">• Lack of leadership and focus to complete Engagement
• Splintered communication and splintered guidance
</t>
  </si>
  <si>
    <t xml:space="preserve">• Establish a Steering Committee with voting members to effectively lead engagement
• Establish communication requirements and escalation path to support awareness – timely review – and timely decisions 
</t>
  </si>
  <si>
    <t xml:space="preserve">• Requirements may be missed
• Current environment not fully defined or understood
• Failure to capture complete vision/scope of engagement 
• Failure to understand the current environment and future vision for the solution
</t>
  </si>
  <si>
    <t xml:space="preserve">• Each school will identify a technology and business lead to represent key stakeholders
• Allocate time for technical and business leads to fully support engagement
• Identify backup technology and business leads to be available – if needed  
</t>
  </si>
  <si>
    <t xml:space="preserve">• Failure to achieve full understanding of data captured during discovery
• Decisions around potential solutions and actions may not meet the requirements of all participants
• Potential collaboration and synergy will be lost without full participation
</t>
  </si>
  <si>
    <t xml:space="preserve">• Final solution will not fully meet requirements of all schools
• Vendors will be unable to provide detailed and cost-effective solutions for a full implementation
</t>
  </si>
  <si>
    <t xml:space="preserve">• Use Steering Committee to provide the structure to provide timely and effective project governance and timely decisions
• Fully engage each school’s technical and business leads to represent key 
stakeholders from across each school
• Provide timely and effective communication
</t>
  </si>
  <si>
    <t>Server</t>
  </si>
  <si>
    <t>Name</t>
  </si>
  <si>
    <t>IP</t>
  </si>
  <si>
    <t>Subnet</t>
  </si>
  <si>
    <t>OCTECT4</t>
  </si>
  <si>
    <t>OCTECT1</t>
  </si>
  <si>
    <t>OCTECT2</t>
  </si>
  <si>
    <t>OCTECT3</t>
  </si>
  <si>
    <t>Production</t>
  </si>
  <si>
    <t>Services</t>
  </si>
  <si>
    <t>Web</t>
  </si>
  <si>
    <t>App</t>
  </si>
  <si>
    <t>Database</t>
  </si>
  <si>
    <t>DMZ</t>
  </si>
  <si>
    <t>HTTP and HTTPS services</t>
  </si>
  <si>
    <t>/24</t>
  </si>
  <si>
    <t>Web Services, OEM applications</t>
  </si>
  <si>
    <t>Data for Applications</t>
  </si>
  <si>
    <t>Test</t>
  </si>
  <si>
    <t>Dev</t>
  </si>
  <si>
    <t>Subscription</t>
  </si>
  <si>
    <t>Class</t>
  </si>
  <si>
    <t>Software SKU</t>
  </si>
  <si>
    <t>Does ACS allow an Oauth request (Google Docs) and be presented a Federation with ADFS</t>
  </si>
  <si>
    <t>ADFS is presenting a SAML where GoogleDocs is an OAUTH 2.0.</t>
  </si>
  <si>
    <t>IaaS</t>
  </si>
  <si>
    <t>Service Model</t>
  </si>
  <si>
    <t>d</t>
  </si>
  <si>
    <t>Internet EndPoint Machines</t>
  </si>
  <si>
    <t>Command</t>
  </si>
  <si>
    <t>REM</t>
  </si>
  <si>
    <t>Location</t>
  </si>
  <si>
    <t>East US</t>
  </si>
  <si>
    <t>TimeZone</t>
  </si>
  <si>
    <t>Eastern Standard Time</t>
  </si>
  <si>
    <t>Column1</t>
  </si>
  <si>
    <t>Column2</t>
  </si>
  <si>
    <t>CertThumbprint</t>
  </si>
  <si>
    <t>MyCert</t>
  </si>
  <si>
    <t>AffinityGroup</t>
  </si>
  <si>
    <t>ADFS-Affinity</t>
  </si>
  <si>
    <t>City</t>
  </si>
  <si>
    <t>Department</t>
  </si>
  <si>
    <t>Email</t>
  </si>
  <si>
    <t>EmployeeType</t>
  </si>
  <si>
    <t>EndDate</t>
  </si>
  <si>
    <t>mailNickname</t>
  </si>
  <si>
    <t>Manager</t>
  </si>
  <si>
    <t>mobilePhone</t>
  </si>
  <si>
    <t>username</t>
  </si>
  <si>
    <t>Zip code</t>
  </si>
  <si>
    <t>Group</t>
  </si>
  <si>
    <t>AzureID</t>
  </si>
  <si>
    <t>A0</t>
  </si>
  <si>
    <t>A1</t>
  </si>
  <si>
    <t>A2</t>
  </si>
  <si>
    <t>A3</t>
  </si>
  <si>
    <t>A4</t>
  </si>
  <si>
    <t>A5</t>
  </si>
  <si>
    <t>A6</t>
  </si>
  <si>
    <t>A7</t>
  </si>
  <si>
    <t>Instance Name</t>
  </si>
  <si>
    <t>Medium Memory Intensive</t>
  </si>
  <si>
    <t>Extra Large Memory Intensive</t>
  </si>
  <si>
    <t>RAM (GB)</t>
  </si>
  <si>
    <t>Free Web Site</t>
  </si>
  <si>
    <t>Shared Web Instance</t>
  </si>
  <si>
    <t>Basic Web Instnace</t>
  </si>
  <si>
    <t>Standard Web Instance</t>
  </si>
  <si>
    <t>W4</t>
  </si>
  <si>
    <t>SNI SSL Certificates</t>
  </si>
  <si>
    <t>W5</t>
  </si>
  <si>
    <t>IP SSL Certificates</t>
  </si>
  <si>
    <t>M0</t>
  </si>
  <si>
    <t>Free Mobile Service</t>
  </si>
  <si>
    <t>M1</t>
  </si>
  <si>
    <t>Basic Mobile Service</t>
  </si>
  <si>
    <t>M2</t>
  </si>
  <si>
    <t>Standard Mobile Service</t>
  </si>
  <si>
    <t>Geographiclly Redundant, Block Blobs</t>
  </si>
  <si>
    <r>
      <t>Read Access Geographically Redundant</t>
    </r>
    <r>
      <rPr>
        <b/>
        <sz val="11"/>
        <color theme="1"/>
        <rFont val="Calibri"/>
        <family val="2"/>
        <scheme val="minor"/>
      </rPr>
      <t>, Block Blobs</t>
    </r>
  </si>
  <si>
    <t>S2.1</t>
  </si>
  <si>
    <t>S3.1</t>
  </si>
  <si>
    <t>S4</t>
  </si>
  <si>
    <t>Storage Transactions</t>
  </si>
  <si>
    <t>SLA</t>
  </si>
  <si>
    <t>SSO</t>
  </si>
  <si>
    <t>Instance</t>
  </si>
  <si>
    <t>a</t>
  </si>
  <si>
    <t>b</t>
  </si>
  <si>
    <t>p</t>
  </si>
  <si>
    <t>Active Directory Federated Services Farm</t>
  </si>
  <si>
    <t>Visual Studio Online</t>
  </si>
  <si>
    <t>Function</t>
  </si>
  <si>
    <t>SiteID</t>
  </si>
  <si>
    <t>ST1</t>
  </si>
  <si>
    <t>ST2</t>
  </si>
  <si>
    <t>ST3</t>
  </si>
  <si>
    <t>ST4</t>
  </si>
  <si>
    <t>ST5</t>
  </si>
  <si>
    <t>ST6</t>
  </si>
  <si>
    <t>ST7</t>
  </si>
  <si>
    <t>ST8</t>
  </si>
  <si>
    <t>ST9</t>
  </si>
  <si>
    <t>ST10</t>
  </si>
  <si>
    <t>Abbreviation</t>
  </si>
  <si>
    <t>SiteID (Computed)</t>
  </si>
  <si>
    <t>Hr/Mo (&lt;=744)</t>
  </si>
  <si>
    <t>Active Directory Federated Services Proxy - External</t>
  </si>
  <si>
    <t>Active Directory Domain Services - Internal DS</t>
  </si>
  <si>
    <t>Storage (GB)</t>
  </si>
  <si>
    <t>Microsoft Azure Directory Syncronization</t>
  </si>
  <si>
    <t>Switch</t>
  </si>
  <si>
    <t>Module</t>
  </si>
  <si>
    <t>Port</t>
  </si>
  <si>
    <t>VLAN</t>
  </si>
  <si>
    <t>Speed</t>
  </si>
  <si>
    <t>Duplex</t>
  </si>
  <si>
    <t>6506-sw1</t>
  </si>
  <si>
    <t>6506-sw2</t>
  </si>
  <si>
    <t>WS-X6724-SFP</t>
  </si>
  <si>
    <t>VS-SUP2T-10G</t>
  </si>
  <si>
    <t>ServerName (Computed:  Site)
"Sitename + function+uid+instance"</t>
  </si>
  <si>
    <t>Admin Name</t>
  </si>
  <si>
    <t>VS1</t>
  </si>
  <si>
    <t>SB1</t>
  </si>
  <si>
    <t>Service Bus</t>
  </si>
  <si>
    <t>SharePoint Online</t>
  </si>
  <si>
    <t>SPOL1</t>
  </si>
  <si>
    <t>OS</t>
  </si>
  <si>
    <t>VM</t>
  </si>
  <si>
    <t>Mem (computed)</t>
  </si>
  <si>
    <t>Cores (computed)</t>
  </si>
  <si>
    <t>sw29</t>
  </si>
  <si>
    <t>Row Labels</t>
  </si>
  <si>
    <t>Grand Total</t>
  </si>
  <si>
    <t>Count of Size</t>
  </si>
  <si>
    <t>Average of Hr/Mo (&lt;=744)</t>
  </si>
  <si>
    <t>sw37</t>
  </si>
  <si>
    <t>D3</t>
  </si>
  <si>
    <t>D1</t>
  </si>
  <si>
    <t>D2</t>
  </si>
  <si>
    <t>D4</t>
  </si>
  <si>
    <t>PersonaID</t>
  </si>
  <si>
    <t>Secondary SKU</t>
  </si>
  <si>
    <t>D13</t>
  </si>
  <si>
    <t>Sum of Cores (computed)</t>
  </si>
  <si>
    <t>Sum of Storage (GB)</t>
  </si>
  <si>
    <t>Storage</t>
  </si>
  <si>
    <t>Prsn1</t>
  </si>
  <si>
    <t>Count</t>
  </si>
  <si>
    <t>Prsn2</t>
  </si>
  <si>
    <t>Prsn3</t>
  </si>
  <si>
    <t>Prsn4</t>
  </si>
  <si>
    <t>Prsn5</t>
  </si>
  <si>
    <t>Prsn6</t>
  </si>
  <si>
    <t>Prsn7</t>
  </si>
  <si>
    <t>Prsn8</t>
  </si>
  <si>
    <t>Prsn9</t>
  </si>
  <si>
    <t>Prsn10</t>
  </si>
  <si>
    <t>Prsn11</t>
  </si>
  <si>
    <t>G2</t>
  </si>
  <si>
    <t>D11</t>
  </si>
  <si>
    <t>Azure MAG1</t>
  </si>
  <si>
    <t>Azure MAG2</t>
  </si>
  <si>
    <t>Iowa</t>
  </si>
  <si>
    <t>Tier</t>
  </si>
  <si>
    <t>aads</t>
  </si>
  <si>
    <t>adds</t>
  </si>
  <si>
    <t>adfs</t>
  </si>
  <si>
    <t>prxy</t>
  </si>
  <si>
    <t>Action</t>
  </si>
  <si>
    <t>DisplayName</t>
  </si>
  <si>
    <t>EffectiveDate</t>
  </si>
  <si>
    <t xml:space="preserve">EmailType </t>
  </si>
  <si>
    <t>Organizational</t>
  </si>
  <si>
    <t>EmployeeID</t>
  </si>
  <si>
    <t>EmployeeStatus</t>
  </si>
  <si>
    <t>FirstName</t>
  </si>
  <si>
    <t>JobDescription</t>
  </si>
  <si>
    <t>JobFamily</t>
  </si>
  <si>
    <t>JobFunction</t>
  </si>
  <si>
    <t>LanguageCode</t>
  </si>
  <si>
    <t>LastName</t>
  </si>
  <si>
    <t>MiddleName</t>
  </si>
  <si>
    <t>PhoneNumber</t>
  </si>
  <si>
    <t>PreferredName</t>
  </si>
  <si>
    <t>RoleCode</t>
  </si>
  <si>
    <t>StreetAddress</t>
  </si>
  <si>
    <t>D12</t>
  </si>
  <si>
    <t>D14</t>
  </si>
  <si>
    <t>GUID5</t>
  </si>
  <si>
    <t>GUID6</t>
  </si>
  <si>
    <t>GUID7</t>
  </si>
  <si>
    <t>GUID9</t>
  </si>
  <si>
    <t>GUID11</t>
  </si>
  <si>
    <t>GUID12</t>
  </si>
  <si>
    <t>GUID13</t>
  </si>
  <si>
    <t xml:space="preserve">Active Directory Domain Services - Internal DS </t>
  </si>
  <si>
    <t>Enterprise Enrollment</t>
  </si>
  <si>
    <t>Account</t>
  </si>
  <si>
    <t>Environment</t>
  </si>
  <si>
    <t>ServiceAdmin</t>
  </si>
  <si>
    <t>MAG</t>
  </si>
  <si>
    <t>Name (Computed)</t>
  </si>
  <si>
    <t>prod</t>
  </si>
  <si>
    <t>Used to host highly sensitive data that is also highly accessed.</t>
  </si>
  <si>
    <t>Used to host public facing highly accecible workloads</t>
  </si>
  <si>
    <t>StorID</t>
  </si>
  <si>
    <t xml:space="preserve">Name (Computed) </t>
  </si>
  <si>
    <t>SubID</t>
  </si>
  <si>
    <t>SubName (Computed)</t>
  </si>
  <si>
    <t>Type (Blob, Table, Queue, File)</t>
  </si>
  <si>
    <t>Redundance (LR, GR, ROGR, ZR)</t>
  </si>
  <si>
    <t>stor1</t>
  </si>
  <si>
    <t>SubscriptionName</t>
  </si>
  <si>
    <t>Blob</t>
  </si>
  <si>
    <t>stor2</t>
  </si>
  <si>
    <t>stor3</t>
  </si>
  <si>
    <t>stor5</t>
  </si>
  <si>
    <t>stor11</t>
  </si>
  <si>
    <t>stor12</t>
  </si>
  <si>
    <t>stor13</t>
  </si>
  <si>
    <t>stor14</t>
  </si>
  <si>
    <t>stor15</t>
  </si>
  <si>
    <t>stor19</t>
  </si>
  <si>
    <t>stor20</t>
  </si>
  <si>
    <t>stor21</t>
  </si>
  <si>
    <t>This storage account in the Services Subscription is used to host VHD's for Virtual Machines</t>
  </si>
  <si>
    <t>Purpose</t>
  </si>
  <si>
    <t>Images</t>
  </si>
  <si>
    <t>Data</t>
  </si>
  <si>
    <t>Used to host Images</t>
  </si>
  <si>
    <t>Used to Host Data</t>
  </si>
  <si>
    <t>Virginia</t>
  </si>
  <si>
    <t>Austin</t>
  </si>
  <si>
    <t>Domain Joined</t>
  </si>
  <si>
    <t>Future</t>
  </si>
  <si>
    <t>Future Consideration</t>
  </si>
  <si>
    <t>/21</t>
  </si>
  <si>
    <t>Service Name #</t>
  </si>
  <si>
    <t>WAPVA</t>
  </si>
  <si>
    <t>ServiceName (Computed)</t>
  </si>
  <si>
    <t>ReservedIP/InternalLB</t>
  </si>
  <si>
    <t>st1</t>
  </si>
  <si>
    <t>VNETID</t>
  </si>
  <si>
    <t>vnet01</t>
  </si>
  <si>
    <t>vnet02</t>
  </si>
  <si>
    <t>vnet03</t>
  </si>
  <si>
    <t>vnet04</t>
  </si>
  <si>
    <t>vnet05</t>
  </si>
  <si>
    <t>vnet06</t>
  </si>
  <si>
    <t>vnet07</t>
  </si>
  <si>
    <t>vnet08</t>
  </si>
  <si>
    <t>vnet09</t>
  </si>
  <si>
    <t>vnet10</t>
  </si>
  <si>
    <t>sub01</t>
  </si>
  <si>
    <t>sub02</t>
  </si>
  <si>
    <t>sub03</t>
  </si>
  <si>
    <t>sub04</t>
  </si>
  <si>
    <t>sub05</t>
  </si>
  <si>
    <t>sub06</t>
  </si>
  <si>
    <t>sub07</t>
  </si>
  <si>
    <t>sub08</t>
  </si>
  <si>
    <t>sub09</t>
  </si>
  <si>
    <t>On premise connected to Azure Storage</t>
  </si>
  <si>
    <t>stor22</t>
  </si>
  <si>
    <t>stor23</t>
  </si>
  <si>
    <t>stor29</t>
  </si>
  <si>
    <t>stor30</t>
  </si>
  <si>
    <t>stor31</t>
  </si>
  <si>
    <t>stor32</t>
  </si>
  <si>
    <t>stor33</t>
  </si>
  <si>
    <t>stor38</t>
  </si>
  <si>
    <t>stor39</t>
  </si>
  <si>
    <t>stor40</t>
  </si>
  <si>
    <t>stor41</t>
  </si>
  <si>
    <t>stor42</t>
  </si>
  <si>
    <t>stor48</t>
  </si>
  <si>
    <t>stor49</t>
  </si>
  <si>
    <t>stor50</t>
  </si>
  <si>
    <t>stor51</t>
  </si>
  <si>
    <t>stor52</t>
  </si>
  <si>
    <t>stor58</t>
  </si>
  <si>
    <t>stor59</t>
  </si>
  <si>
    <t>stor60</t>
  </si>
  <si>
    <t>stor61</t>
  </si>
  <si>
    <t>stor62</t>
  </si>
  <si>
    <t>stor68</t>
  </si>
  <si>
    <t>stor69</t>
  </si>
  <si>
    <t>stor70</t>
  </si>
  <si>
    <t>stor71</t>
  </si>
  <si>
    <t>stor72</t>
  </si>
  <si>
    <t>stor78</t>
  </si>
  <si>
    <t>stor79</t>
  </si>
  <si>
    <t>stor80</t>
  </si>
  <si>
    <t>stor81</t>
  </si>
  <si>
    <t>stor82</t>
  </si>
  <si>
    <t>stor88</t>
  </si>
  <si>
    <t>stor89</t>
  </si>
  <si>
    <t>stor90</t>
  </si>
  <si>
    <t>stor91</t>
  </si>
  <si>
    <t>stor92</t>
  </si>
  <si>
    <t>stor100</t>
  </si>
  <si>
    <t>stor102</t>
  </si>
  <si>
    <t>stor103</t>
  </si>
  <si>
    <t>stor104</t>
  </si>
  <si>
    <t>stor105</t>
  </si>
  <si>
    <t>stor106</t>
  </si>
  <si>
    <t>Managed</t>
  </si>
  <si>
    <t>/22</t>
  </si>
  <si>
    <t>Srvcs</t>
  </si>
  <si>
    <t>The primary Azure VNET for the compute workloads associated with the Subscription</t>
  </si>
  <si>
    <t>Address Range</t>
  </si>
  <si>
    <t>Bits</t>
  </si>
  <si>
    <t>Octet1</t>
  </si>
  <si>
    <t>Octet2</t>
  </si>
  <si>
    <t>Octet3</t>
  </si>
  <si>
    <t>Octet4</t>
  </si>
  <si>
    <t>PreProd</t>
  </si>
  <si>
    <t>/20</t>
  </si>
  <si>
    <t>Subscription Name (Computed)</t>
  </si>
  <si>
    <t>Location (Computed)</t>
  </si>
  <si>
    <t>ADC</t>
  </si>
  <si>
    <t>Tenant (.onmicrosoft.com)</t>
  </si>
  <si>
    <t>SubscriptionName (Computed)</t>
  </si>
  <si>
    <t>LANID</t>
  </si>
  <si>
    <t>/25</t>
  </si>
  <si>
    <t>Prod</t>
  </si>
  <si>
    <t>LAN01</t>
  </si>
  <si>
    <t>user01</t>
  </si>
  <si>
    <t>user02</t>
  </si>
  <si>
    <t>user03</t>
  </si>
  <si>
    <t>user04</t>
  </si>
  <si>
    <t>CJIS</t>
  </si>
  <si>
    <t>vnet582</t>
  </si>
  <si>
    <t>/29</t>
  </si>
  <si>
    <t>snet01</t>
  </si>
  <si>
    <t>snet02</t>
  </si>
  <si>
    <t>snet03</t>
  </si>
  <si>
    <t>snet04</t>
  </si>
  <si>
    <t>snet05</t>
  </si>
  <si>
    <t>snet06</t>
  </si>
  <si>
    <t>snet07</t>
  </si>
  <si>
    <t>snet08</t>
  </si>
  <si>
    <t>snet09</t>
  </si>
  <si>
    <t>snet10</t>
  </si>
  <si>
    <t>snet11</t>
  </si>
  <si>
    <t>snet12</t>
  </si>
  <si>
    <t>snet13</t>
  </si>
  <si>
    <t>snet14</t>
  </si>
  <si>
    <t>snet15</t>
  </si>
  <si>
    <t>snet16</t>
  </si>
  <si>
    <t>snet17</t>
  </si>
  <si>
    <t>snet18</t>
  </si>
  <si>
    <t>snet19</t>
  </si>
  <si>
    <t>snet20</t>
  </si>
  <si>
    <t>snet21</t>
  </si>
  <si>
    <t>snet22</t>
  </si>
  <si>
    <t>snet23</t>
  </si>
  <si>
    <t>snet24</t>
  </si>
  <si>
    <t>snet25</t>
  </si>
  <si>
    <t>snet26</t>
  </si>
  <si>
    <t>snet27</t>
  </si>
  <si>
    <t>snet28</t>
  </si>
  <si>
    <t>snet29</t>
  </si>
  <si>
    <t>snet30</t>
  </si>
  <si>
    <t>snet32</t>
  </si>
  <si>
    <t>snet33</t>
  </si>
  <si>
    <t>snet34</t>
  </si>
  <si>
    <t>snet35</t>
  </si>
  <si>
    <t>snet36</t>
  </si>
  <si>
    <t>snet37</t>
  </si>
  <si>
    <t>snet38</t>
  </si>
  <si>
    <t>snet39</t>
  </si>
  <si>
    <t>snet40</t>
  </si>
  <si>
    <t>snet41</t>
  </si>
  <si>
    <t>snet42</t>
  </si>
  <si>
    <t>snet43</t>
  </si>
  <si>
    <t>snet44</t>
  </si>
  <si>
    <t>snet45</t>
  </si>
  <si>
    <t>snet46</t>
  </si>
  <si>
    <t>snet47</t>
  </si>
  <si>
    <t>snet48</t>
  </si>
  <si>
    <t>snet49</t>
  </si>
  <si>
    <t>snet50</t>
  </si>
  <si>
    <t>snet51</t>
  </si>
  <si>
    <t>snet52</t>
  </si>
  <si>
    <t>snet53</t>
  </si>
  <si>
    <t>snet54</t>
  </si>
  <si>
    <t>snet55</t>
  </si>
  <si>
    <t>snet56</t>
  </si>
  <si>
    <t>snet57</t>
  </si>
  <si>
    <t>snet58</t>
  </si>
  <si>
    <t>snet61</t>
  </si>
  <si>
    <t>snet62</t>
  </si>
  <si>
    <t>snet63</t>
  </si>
  <si>
    <t>snet64</t>
  </si>
  <si>
    <t>snet65</t>
  </si>
  <si>
    <t>snet66</t>
  </si>
  <si>
    <t>snet67</t>
  </si>
  <si>
    <t>snet68</t>
  </si>
  <si>
    <t>snet69</t>
  </si>
  <si>
    <t>snet70</t>
  </si>
  <si>
    <t>snet73</t>
  </si>
  <si>
    <t>snet74</t>
  </si>
  <si>
    <t>snet75</t>
  </si>
  <si>
    <t>snet76</t>
  </si>
  <si>
    <t>snet77</t>
  </si>
  <si>
    <t>snet78</t>
  </si>
  <si>
    <t>snet79</t>
  </si>
  <si>
    <t>snet80</t>
  </si>
  <si>
    <t>snet81</t>
  </si>
  <si>
    <t>snet82</t>
  </si>
  <si>
    <t>snet83</t>
  </si>
  <si>
    <t>snet84</t>
  </si>
  <si>
    <t>snet85</t>
  </si>
  <si>
    <t>snet86</t>
  </si>
  <si>
    <t>snet87</t>
  </si>
  <si>
    <t>snet88</t>
  </si>
  <si>
    <t>snet89</t>
  </si>
  <si>
    <t>snet90</t>
  </si>
  <si>
    <t>snet91</t>
  </si>
  <si>
    <t>snet92</t>
  </si>
  <si>
    <t>snet93</t>
  </si>
  <si>
    <t>DB</t>
  </si>
  <si>
    <t>/23</t>
  </si>
  <si>
    <t>Storage appliances</t>
  </si>
  <si>
    <t>Dept (Computed)</t>
  </si>
  <si>
    <t>LAN02</t>
  </si>
  <si>
    <t>LAN03</t>
  </si>
  <si>
    <t>LAN04</t>
  </si>
  <si>
    <t>LAN05</t>
  </si>
  <si>
    <t>LAN06</t>
  </si>
  <si>
    <t>LAN07</t>
  </si>
  <si>
    <t>LAN08</t>
  </si>
  <si>
    <t>LAN09</t>
  </si>
  <si>
    <t>10.128.0.0/20</t>
  </si>
  <si>
    <t>Gateway</t>
  </si>
  <si>
    <t>10.132.0.0/14</t>
  </si>
  <si>
    <t>Local Network Name</t>
  </si>
  <si>
    <t>CH</t>
  </si>
  <si>
    <t>RA</t>
  </si>
  <si>
    <t>144.45.0.0/16</t>
  </si>
  <si>
    <t>192.168.0.0/16</t>
  </si>
  <si>
    <t>172.16.0.0/12</t>
  </si>
  <si>
    <t>10.0.0.0/9</t>
  </si>
  <si>
    <t>10.128.0.0/12</t>
  </si>
  <si>
    <t>10.192.0.0/10</t>
  </si>
  <si>
    <t>10.160.0.0/11</t>
  </si>
  <si>
    <t>10.152.0.0/13</t>
  </si>
  <si>
    <t>10.148.0.0/14</t>
  </si>
  <si>
    <t>10.144.0.0/17</t>
  </si>
  <si>
    <t>10.144.128.0/18</t>
  </si>
  <si>
    <t>10.144.208.0/20</t>
  </si>
  <si>
    <t>10.144.224.0/19</t>
  </si>
  <si>
    <t>10.145.0.0/17</t>
  </si>
  <si>
    <t>10.145.128.0/18</t>
  </si>
  <si>
    <t>10.145.208.0/20</t>
  </si>
  <si>
    <t>10.145.224.0/19</t>
  </si>
  <si>
    <t>LAN10</t>
  </si>
  <si>
    <t>LAN11</t>
  </si>
  <si>
    <t>LAN12</t>
  </si>
  <si>
    <t>LAN13</t>
  </si>
  <si>
    <t>LAN14</t>
  </si>
  <si>
    <t>LAN15</t>
  </si>
  <si>
    <t>LAN16</t>
  </si>
  <si>
    <t>LAN17</t>
  </si>
  <si>
    <t>LAN18</t>
  </si>
  <si>
    <t>LAN19</t>
  </si>
  <si>
    <t>LAN20</t>
  </si>
  <si>
    <t>LAN21</t>
  </si>
  <si>
    <t>LAN22</t>
  </si>
  <si>
    <t>10.0.0.0/8</t>
  </si>
  <si>
    <t>Dept. (Computed)</t>
  </si>
  <si>
    <t>RoleSize</t>
  </si>
  <si>
    <t>DataDiskSize (GB)</t>
  </si>
  <si>
    <t>ImageDiskSize (GB)</t>
  </si>
  <si>
    <t>Enterprise Administrator</t>
  </si>
  <si>
    <t>Role</t>
  </si>
  <si>
    <t>Create an account for the Technical Enterprise Administrator and assign them the role of Enterprise Administrator</t>
  </si>
  <si>
    <t>Task</t>
  </si>
  <si>
    <t>Portal</t>
  </si>
  <si>
    <t>https://ea.azure.com</t>
  </si>
  <si>
    <t>Create the Department for each Agency, with the name of the Department Administrator assgined to the Department</t>
  </si>
  <si>
    <t>Create the Account for each Department called "Managed"</t>
  </si>
  <si>
    <t>DA</t>
  </si>
  <si>
    <t>AA</t>
  </si>
  <si>
    <t>Go to the Active Directory for the Enterprise Enrollment and create the new users for the Department and Account Administrators for each agency, along with a general user for each agency, use the users tab in this spreadsheet for the naming convention.</t>
  </si>
  <si>
    <t>https://manage.windowsazure.us/</t>
  </si>
  <si>
    <t>Account Administrators</t>
  </si>
  <si>
    <t>Gateway Services to Local Networks</t>
  </si>
  <si>
    <t>Latency</t>
  </si>
  <si>
    <t>Speed of Light</t>
  </si>
  <si>
    <t>Distance</t>
  </si>
  <si>
    <t>Milliseconds</t>
  </si>
  <si>
    <t>St1</t>
  </si>
  <si>
    <t>Location Name (Computed)</t>
  </si>
  <si>
    <t>St2</t>
  </si>
  <si>
    <t>va</t>
  </si>
  <si>
    <t>ia</t>
  </si>
  <si>
    <t>LocationID (Computed)</t>
  </si>
  <si>
    <t>st2</t>
  </si>
  <si>
    <t>StorSimple</t>
  </si>
  <si>
    <t>PowerShell</t>
  </si>
  <si>
    <t>AzureLocationName</t>
  </si>
  <si>
    <t>AzureName</t>
  </si>
  <si>
    <t>USGov Iowa</t>
  </si>
  <si>
    <t>USGov Virginia</t>
  </si>
  <si>
    <t>Standard_LRS</t>
  </si>
  <si>
    <t>Length</t>
  </si>
  <si>
    <t>Agency (Computed)</t>
  </si>
  <si>
    <t>Go to the EA Portal, logged in with your Account Administrator user account.  Change your password if required and also accept the Warning message agreing your authority to buy resources.</t>
  </si>
  <si>
    <t>https://account.windowsazure.us</t>
  </si>
  <si>
    <t>Select Account Center|Add Subscription|Click|Click|Wait 5 min</t>
  </si>
  <si>
    <t>Navigate back to homepage of Account Portal</t>
  </si>
  <si>
    <t>Select Edit Subscription Details and Change the name to (CJIS, PreProd, Prod, Services, Storage)</t>
  </si>
  <si>
    <t>Repeat Step 6-8</t>
  </si>
  <si>
    <t>How to Create the Subscriptions For Each Department</t>
  </si>
  <si>
    <t>DeptID</t>
  </si>
  <si>
    <t>Dept01</t>
  </si>
  <si>
    <t>Dept02</t>
  </si>
  <si>
    <t>Department Administratro</t>
  </si>
  <si>
    <t>Account Administrator</t>
  </si>
  <si>
    <t>Department (Computed)</t>
  </si>
  <si>
    <t>dept01</t>
  </si>
  <si>
    <t>Document the departments required</t>
  </si>
  <si>
    <t>NSGID</t>
  </si>
  <si>
    <t>nsg01</t>
  </si>
  <si>
    <t>nsg02</t>
  </si>
  <si>
    <t>nsg03</t>
  </si>
  <si>
    <t>nsg04</t>
  </si>
  <si>
    <t>nsg05</t>
  </si>
  <si>
    <t>nsg06</t>
  </si>
  <si>
    <t>nsg07</t>
  </si>
  <si>
    <t>nsg08</t>
  </si>
  <si>
    <t>nsg09</t>
  </si>
  <si>
    <t>nsg10</t>
  </si>
  <si>
    <t>nsg11</t>
  </si>
  <si>
    <t>SNetID</t>
  </si>
  <si>
    <t>SubnetName</t>
  </si>
  <si>
    <t>NSGRID</t>
  </si>
  <si>
    <t>nsgr01</t>
  </si>
  <si>
    <t>nsgr02</t>
  </si>
  <si>
    <t>nsgr03</t>
  </si>
  <si>
    <t>nsgr04</t>
  </si>
  <si>
    <t>nsgr05</t>
  </si>
  <si>
    <t>nsgr06</t>
  </si>
  <si>
    <t>nsgr07</t>
  </si>
  <si>
    <t>nsgr08</t>
  </si>
  <si>
    <t>nsgr09</t>
  </si>
  <si>
    <t>nsgr10</t>
  </si>
  <si>
    <t>nsgr11</t>
  </si>
  <si>
    <t>nsgr12</t>
  </si>
  <si>
    <t>nsgr13</t>
  </si>
  <si>
    <t>nsgr14</t>
  </si>
  <si>
    <t>nsgr15</t>
  </si>
  <si>
    <t>nsgr16</t>
  </si>
  <si>
    <t>nsgr17</t>
  </si>
  <si>
    <t>nsgr18</t>
  </si>
  <si>
    <t>nsgr19</t>
  </si>
  <si>
    <t>nsgr20</t>
  </si>
  <si>
    <t>nsgr21</t>
  </si>
  <si>
    <t>RDP_S*_D3389</t>
  </si>
  <si>
    <t>Inbound</t>
  </si>
  <si>
    <t>Allow</t>
  </si>
  <si>
    <t>HTTPS_S443_D443</t>
  </si>
  <si>
    <t>&lt;tenant&gt;</t>
  </si>
  <si>
    <t>Customer Data Center 1</t>
  </si>
  <si>
    <t>BDC</t>
  </si>
  <si>
    <t>Customer Data Center 2</t>
  </si>
  <si>
    <t>Primary Datacenter</t>
  </si>
  <si>
    <t>Secondary Datacenter</t>
  </si>
  <si>
    <t>DOT Local</t>
  </si>
  <si>
    <t>networkDEVDOT1</t>
  </si>
  <si>
    <t>&lt;tenant&gt;.onmicrosoft.com</t>
  </si>
  <si>
    <t>Description of the Organization</t>
  </si>
  <si>
    <t>dept02</t>
  </si>
  <si>
    <t xml:space="preserve">Used to host CJIS compliant workloads </t>
  </si>
  <si>
    <t>Used to host PreProd compliant workloads</t>
  </si>
  <si>
    <t>Used to host production workloads.</t>
  </si>
  <si>
    <t>Used to host workloads that are highly sensitive however require broad access, for example enterprise identity.</t>
  </si>
  <si>
    <t>Used to host storage workloads, including hybrid storage solutions</t>
  </si>
  <si>
    <t>Account (Computed)</t>
  </si>
  <si>
    <t>SubNetNumber</t>
  </si>
  <si>
    <t>SubNetID</t>
  </si>
  <si>
    <t>snet31</t>
  </si>
  <si>
    <t>&lt;TBD&gt;</t>
  </si>
  <si>
    <t>DepartmentName (Computed)</t>
  </si>
  <si>
    <t>AccountName (Computed)</t>
  </si>
  <si>
    <t>Alias</t>
  </si>
  <si>
    <t>LRSPage</t>
  </si>
  <si>
    <t>GRSPage</t>
  </si>
  <si>
    <t>GRSRPage</t>
  </si>
  <si>
    <t>LRSBlock</t>
  </si>
  <si>
    <t>GRSBlock</t>
  </si>
  <si>
    <t>GRSRBlock</t>
  </si>
  <si>
    <t>G2 Memory Intensive (4C/56GB)</t>
  </si>
  <si>
    <t>G1</t>
  </si>
  <si>
    <t>G1 Memory Intensive (2C/28GB)</t>
  </si>
  <si>
    <t>G3</t>
  </si>
  <si>
    <t>G3 Memory Intensive (8C/112GB)</t>
  </si>
  <si>
    <t>G4</t>
  </si>
  <si>
    <t>G4 Compute Inensive (16C/224GB)</t>
  </si>
  <si>
    <t>G5</t>
  </si>
  <si>
    <t>G5 Compute Intensive (32C/448GB)</t>
  </si>
  <si>
    <t>A8</t>
  </si>
  <si>
    <t>A8 Compute Intensive (8C/56GB)</t>
  </si>
  <si>
    <t>A9</t>
  </si>
  <si>
    <t>A9 Compute Intensive (16C/112GB)</t>
  </si>
  <si>
    <t>ERM200</t>
  </si>
  <si>
    <t>ExpressRoute Metered (200MBPS)</t>
  </si>
  <si>
    <t>ERM1000</t>
  </si>
  <si>
    <t>ExpressRoute Metered (1GBPS)</t>
  </si>
  <si>
    <t>VPNB</t>
  </si>
  <si>
    <t>SSDP10</t>
  </si>
  <si>
    <t>128GB Azure Premium Storage</t>
  </si>
  <si>
    <t>SSDP20</t>
  </si>
  <si>
    <t>512GB Azure Premium Storage</t>
  </si>
  <si>
    <t>SSDP30</t>
  </si>
  <si>
    <t>1TB Azure Premium Storage</t>
  </si>
  <si>
    <t>D3-SQL</t>
  </si>
  <si>
    <t>Large D-Series with SQL (4C/14GB)</t>
  </si>
  <si>
    <t>Snapshot</t>
  </si>
  <si>
    <t>DataXfer</t>
  </si>
  <si>
    <t>MACPrice</t>
  </si>
  <si>
    <t>MAGPrice</t>
  </si>
  <si>
    <t>Price Difference</t>
  </si>
  <si>
    <t>Cores</t>
  </si>
  <si>
    <t>VPN Basic (Per Month)</t>
  </si>
  <si>
    <t>Extra Small (1c/.768GB)</t>
  </si>
  <si>
    <t>Small (1C/1.7GB)</t>
  </si>
  <si>
    <t>Medium (2C/3.5)</t>
  </si>
  <si>
    <t>Large (4C/7GB)</t>
  </si>
  <si>
    <t>Extra Large (8C/14GB)</t>
  </si>
  <si>
    <t>WF0</t>
  </si>
  <si>
    <t>WF1</t>
  </si>
  <si>
    <t>WB1</t>
  </si>
  <si>
    <t>WS1</t>
  </si>
  <si>
    <t>WP4</t>
  </si>
  <si>
    <t>WP1</t>
  </si>
  <si>
    <t>WP2</t>
  </si>
  <si>
    <t>WP3</t>
  </si>
  <si>
    <t>AppServices Premium 1</t>
  </si>
  <si>
    <t>AppServices Premium 2</t>
  </si>
  <si>
    <t>AppServices Premium 3</t>
  </si>
  <si>
    <t>AppServices Premium 4</t>
  </si>
  <si>
    <t>SQLB1</t>
  </si>
  <si>
    <t>SQLS0</t>
  </si>
  <si>
    <t>SQLS1</t>
  </si>
  <si>
    <t>SQLS2</t>
  </si>
  <si>
    <t>SQLS3</t>
  </si>
  <si>
    <t>SQLP4</t>
  </si>
  <si>
    <t>SQL Basic Databases 5 DTU (Per Month)</t>
  </si>
  <si>
    <t>SQLP1</t>
  </si>
  <si>
    <t>SQL Standard 0 Database 100 DTU (Per Month)</t>
  </si>
  <si>
    <t>SQL Standard 1 Database 100 DTU (Per Month)</t>
  </si>
  <si>
    <t>SQL Standard 2 Database 100 DTU (Per Month)</t>
  </si>
  <si>
    <t>SQL Standard 3 Database 100 DTU (Per Month)</t>
  </si>
  <si>
    <t>SQL Premium 1 Database 125 DTU (per Month)</t>
  </si>
  <si>
    <t>SQLP2</t>
  </si>
  <si>
    <t>SQLP6</t>
  </si>
  <si>
    <t>SQLP11</t>
  </si>
  <si>
    <t>SQL Premium 2 Database 250 DTU (per Month)</t>
  </si>
  <si>
    <t>SQL Premium 1 Database 1000 DTU (per Month)</t>
  </si>
  <si>
    <t>Extra Large Compute Intensive (8C/56GB)</t>
  </si>
  <si>
    <t>Link</t>
  </si>
  <si>
    <t>AAIP</t>
  </si>
  <si>
    <t>Azure Application Insight Premium (50M Datapoints)</t>
  </si>
  <si>
    <t>AOIP</t>
  </si>
  <si>
    <t>Azure Operational Insight Premium (1GB)</t>
  </si>
  <si>
    <t>Locally Redundant, Page Blobs and Disks (1 TB)</t>
  </si>
  <si>
    <t>Geographiclly Redundant, Page Blobs and Disks (1 TB)</t>
  </si>
  <si>
    <t>Read Access Geographically Redundant, Page Blobs and Disks (1 TB)</t>
  </si>
  <si>
    <t>Locally Redundant Block Blob Storage (1 TB)</t>
  </si>
  <si>
    <t>Geographiclly Redundant Block Blob Storage (1 TB)</t>
  </si>
  <si>
    <t>Read Access Geographically Redundant Block Blob Storage (1 TB)</t>
  </si>
  <si>
    <t>ExpressRoute Egress Traffic (1 TB) Price goes down after 40TB</t>
  </si>
  <si>
    <t>Snapshots (1 TB)</t>
  </si>
  <si>
    <t>WB2</t>
  </si>
  <si>
    <t>WB3</t>
  </si>
  <si>
    <t>WS2</t>
  </si>
  <si>
    <t>WS3</t>
  </si>
  <si>
    <t>Spreadsheet VNET Tab Clolumn M and N</t>
  </si>
  <si>
    <t>Co-Admin</t>
  </si>
  <si>
    <t xml:space="preserve">Define the IP Space to use.  It should be a goal of the enterprise to make IP addresses unique across all departments, accounts, and subscriptions, now new workloads will not need to request IP space be created.  The authoritative source should be in charge of allocating IP addresses at the highest level of the Enterprise. </t>
  </si>
  <si>
    <t>Modify the XML for the network to replace the DNS Server (if required), DNS IP address (if required), first two Octets of IP addresses.  Do this for both files for the subscription (i.e. Step 1 and Step 2)</t>
  </si>
  <si>
    <t>XML Zip File</t>
  </si>
  <si>
    <t>https://manage.windowsazure.us</t>
  </si>
  <si>
    <t>Step 1 XML:  Open the Management Portal and select New|Network Services| Virtual Network | Import Configuration, browse to the directory where the XML for the netork is stored on your file system.</t>
  </si>
  <si>
    <t>Step 1 XML:   Open the Management Portal and navigate to the newly created Virtual Network and configure the network to have a S2S connection to the Local Network.</t>
  </si>
  <si>
    <t>Step 1 XML:   Navigate to the the Virtual Network Dashboard and select "Create Gateway" and create a Dynamic Gateway.  Choose a Local network that is not the same as the cureent Virutal Network.</t>
  </si>
  <si>
    <t>Step 2 XML:  Modify the XML to populate the correct gateways for the specific Local Networks.</t>
  </si>
  <si>
    <t>How to Create the Network Foundation (W/ Portal)</t>
  </si>
  <si>
    <t>Repeat Step 2 through 5 for all five subscriptions.</t>
  </si>
  <si>
    <t>Loop</t>
  </si>
  <si>
    <t>SubnetID</t>
  </si>
  <si>
    <t>Subnet Number(Computed)</t>
  </si>
  <si>
    <t>Subnet Name (Computed)</t>
  </si>
  <si>
    <t>IP Subnet (Computed)</t>
  </si>
  <si>
    <t>ADFLF</t>
  </si>
  <si>
    <t>ADFHF</t>
  </si>
  <si>
    <t>ADFDM</t>
  </si>
  <si>
    <t>Azure Data Factory Low Frequency Pipeline, Cloud (PerActivity)</t>
  </si>
  <si>
    <t>Azure Data Factory High Frequency Pipeline, Cloud (PerActivity</t>
  </si>
  <si>
    <t>Azure Data Factory Data Movement (Hours)</t>
  </si>
  <si>
    <t>ASB</t>
  </si>
  <si>
    <t>AIOT</t>
  </si>
  <si>
    <t>Azure Service Bus (per Million)</t>
  </si>
  <si>
    <t>Azure IoT Hub (Per 1.5M/Day)</t>
  </si>
  <si>
    <t>AKVK</t>
  </si>
  <si>
    <t>Azure KeyVault Per Protected Key</t>
  </si>
  <si>
    <t>CRMS</t>
  </si>
  <si>
    <t>Dynamics CRM OnPremise</t>
  </si>
  <si>
    <t>Sandbox</t>
  </si>
  <si>
    <t>stor4</t>
  </si>
  <si>
    <t>Standard_GRS</t>
  </si>
  <si>
    <t>Backup</t>
  </si>
  <si>
    <t>Premium_LRS</t>
  </si>
  <si>
    <t>OnPremBackup</t>
  </si>
  <si>
    <t>OnPremHybrid</t>
  </si>
  <si>
    <t>UserID</t>
  </si>
  <si>
    <t>DepartmentDescription (Computed)</t>
  </si>
  <si>
    <t xml:space="preserve">Tenant </t>
  </si>
  <si>
    <t>ADFS</t>
  </si>
  <si>
    <t>SiteName</t>
  </si>
  <si>
    <t>SubID (Computed)</t>
  </si>
  <si>
    <t>RDS</t>
  </si>
  <si>
    <t>SRV13</t>
  </si>
  <si>
    <t>Remote Desktop Gateway and Web Proxy</t>
  </si>
  <si>
    <t>rdgw</t>
  </si>
  <si>
    <t>a1</t>
  </si>
  <si>
    <t>SRV14</t>
  </si>
  <si>
    <t>SRV15</t>
  </si>
  <si>
    <t>Remote Desktop Lic Server and File Server</t>
  </si>
  <si>
    <t>rdlc</t>
  </si>
  <si>
    <t>a2</t>
  </si>
  <si>
    <t>SRV16</t>
  </si>
  <si>
    <t xml:space="preserve">Remote Desktop Connection Broker </t>
  </si>
  <si>
    <t>rdcb</t>
  </si>
  <si>
    <t>SRV17</t>
  </si>
  <si>
    <t>Remote Desktop Session Desktop Collection</t>
  </si>
  <si>
    <t>rdsb</t>
  </si>
  <si>
    <t>SRV18</t>
  </si>
  <si>
    <t>SRV19</t>
  </si>
  <si>
    <t>RDS (HA)</t>
  </si>
  <si>
    <t>RDS SQL Server configured with Always On</t>
  </si>
  <si>
    <t>sqls</t>
  </si>
  <si>
    <t>SRV20</t>
  </si>
  <si>
    <t>RoleID</t>
  </si>
  <si>
    <t>RoleName</t>
  </si>
  <si>
    <t>RoleDescription</t>
  </si>
  <si>
    <t>RBACID</t>
  </si>
  <si>
    <t>RoleName(Computed)</t>
  </si>
  <si>
    <t>UserName(Computed)</t>
  </si>
  <si>
    <t>rbac01</t>
  </si>
  <si>
    <t>rbac02</t>
  </si>
  <si>
    <t>rbac03</t>
  </si>
  <si>
    <t>rbac04</t>
  </si>
  <si>
    <t>role01</t>
  </si>
  <si>
    <t>role02</t>
  </si>
  <si>
    <t>role03</t>
  </si>
  <si>
    <t>role04</t>
  </si>
  <si>
    <t>role05</t>
  </si>
  <si>
    <t>role06</t>
  </si>
  <si>
    <t>role07</t>
  </si>
  <si>
    <t>ServerAdmin</t>
  </si>
  <si>
    <t>NetworkAdmin</t>
  </si>
  <si>
    <t>NSGAdmin</t>
  </si>
  <si>
    <t>DatabaseAdmin</t>
  </si>
  <si>
    <t>user05</t>
  </si>
  <si>
    <t>user06</t>
  </si>
  <si>
    <t>ERM10000</t>
  </si>
  <si>
    <t>ExpressRoute Metered (10GBPS)</t>
  </si>
  <si>
    <t>LRS_Premium(512GB)</t>
  </si>
  <si>
    <t>MFAP</t>
  </si>
  <si>
    <t>Multifactor Authenticaion (by User)</t>
  </si>
  <si>
    <t>MFAA</t>
  </si>
  <si>
    <t>Multifactor Authenticaion (by Authentication)</t>
  </si>
  <si>
    <t>Back up the existing network in the subscription by "Exporting" it.  A subscription can only have one network configuration.</t>
  </si>
  <si>
    <t>D1 1 Core, 3.5GB RAM, 50GB Disk</t>
  </si>
  <si>
    <t>D2 2 Core, 7GB RAM, 100GB Disk</t>
  </si>
  <si>
    <t>D1OrclEnt</t>
  </si>
  <si>
    <t>D2OrclEnt</t>
  </si>
  <si>
    <t>D3OrclEnt</t>
  </si>
  <si>
    <t>D3 4 Core, 14GB RAM, 200GB Disk</t>
  </si>
  <si>
    <t>D14OrclEnt</t>
  </si>
  <si>
    <t>D14 16 Core, 128GB RAM, 800 Disk</t>
  </si>
  <si>
    <t>A2OcrlEnt</t>
  </si>
  <si>
    <t>A2 2 Cores, 3.5GB RAM, 135GB Disk</t>
  </si>
  <si>
    <t>A6OrclEnt</t>
  </si>
  <si>
    <t>A6 4 Cores, 28GB RAM, 285GB Disk</t>
  </si>
  <si>
    <t>A4OrclEnt</t>
  </si>
  <si>
    <t>A4 8 Cores, 14GB RAM, 605GB Disk</t>
  </si>
  <si>
    <t>ER200</t>
  </si>
  <si>
    <t>ExpressRoute per Month (200Mbps)</t>
  </si>
  <si>
    <t>ERMData</t>
  </si>
  <si>
    <t>ERM500</t>
  </si>
  <si>
    <t>ExpressRoute Metered (500Mbps)</t>
  </si>
  <si>
    <t>ER50</t>
  </si>
  <si>
    <t>ExpressRoute Metered (50Mbps)</t>
  </si>
  <si>
    <t>ERM50</t>
  </si>
  <si>
    <t>ERM100</t>
  </si>
  <si>
    <t>ExpressRoute Metered (100Mbps)</t>
  </si>
  <si>
    <t>ERM2000</t>
  </si>
  <si>
    <t>ExpressRoute Metered (2000Mbps)</t>
  </si>
  <si>
    <t>ERM5000</t>
  </si>
  <si>
    <t>ExpressRoute Metered (5000Mbps)</t>
  </si>
  <si>
    <t>ExpressRoute Data Egress (TB)</t>
  </si>
  <si>
    <t>ER1000</t>
  </si>
  <si>
    <t>ER10000</t>
  </si>
  <si>
    <t>ExpressRoute Unlimited (50Mbps)</t>
  </si>
  <si>
    <t>ER100</t>
  </si>
  <si>
    <t>ExpressRoute Unlimited (100Mbps)</t>
  </si>
  <si>
    <t>ExpressRoute Unlimited (200Mbps)</t>
  </si>
  <si>
    <t>ER500</t>
  </si>
  <si>
    <t>ExpressRoute Unlimited (500Mbps)</t>
  </si>
  <si>
    <t>ExpressRoute Unlimited (1Gbps)</t>
  </si>
  <si>
    <t>ER2000</t>
  </si>
  <si>
    <t>ExpressRoute Unlimited (2Gbps)</t>
  </si>
  <si>
    <t>ER5000</t>
  </si>
  <si>
    <t>ExpressRoute Unlimited (5Gbps)</t>
  </si>
  <si>
    <t>ExpressRoute Unlimnited (10Gbps)</t>
  </si>
  <si>
    <t>OMS</t>
  </si>
  <si>
    <t>Operational Management Suit (Server)</t>
  </si>
  <si>
    <t>LRSCool</t>
  </si>
  <si>
    <t>Locally Redundant Cool Block Blob Storage (1 TB)</t>
  </si>
  <si>
    <t>LRSCoolTX</t>
  </si>
  <si>
    <t>LRSt Cool Block Blob Storage TX (10,000,000)</t>
  </si>
  <si>
    <t xml:space="preserve">Large Memory Intensive 4 Cores, 28GB RAM, </t>
  </si>
  <si>
    <t>Extra Large D-Series (8C/28GB)</t>
  </si>
  <si>
    <t>Operational Management Suit (Datacenter) 10 VMs</t>
  </si>
  <si>
    <t>Medium D-Series (2C/7GB)</t>
  </si>
  <si>
    <t>Small D-Series (1C, 1.7GB)</t>
  </si>
  <si>
    <t>High Performance (2 Core 14GB)</t>
  </si>
  <si>
    <t>High Performance (4 Core 28GB)</t>
  </si>
  <si>
    <t>High Performance (16 Core 128GB)</t>
  </si>
  <si>
    <t>Large D-Series (4C/14GB)</t>
  </si>
  <si>
    <t>ML</t>
  </si>
  <si>
    <t>Machine Learning (1User/1Week a Month)</t>
  </si>
  <si>
    <t>Azure SQL Data Warehouse (1000 DWU/Hour)</t>
  </si>
  <si>
    <t>ASDW1000</t>
  </si>
  <si>
    <t>Region</t>
  </si>
  <si>
    <t>Basic_A0</t>
  </si>
  <si>
    <t>Basic_A1</t>
  </si>
  <si>
    <t>Basic _A2</t>
  </si>
  <si>
    <t>Basic_A3</t>
  </si>
  <si>
    <t>Basic_A4</t>
  </si>
  <si>
    <t>Summary</t>
  </si>
  <si>
    <t>208c1598-b019-41ba-874d-a605579077ce</t>
  </si>
  <si>
    <t>MAG_TXDOT_Managed_PreProd</t>
  </si>
  <si>
    <t>VA</t>
  </si>
  <si>
    <t>6df723ec-5900-41ce-b106-458d2ee7431b</t>
  </si>
  <si>
    <t>MAG_TXDOT_Managed_CJIS</t>
  </si>
  <si>
    <t>75420734-5450-42d9-a926-d4a43a880b85</t>
  </si>
  <si>
    <t>MAG_TXDOT_Managed_Prod</t>
  </si>
  <si>
    <t>a11f30d7-fe35-44f9-bc32-519d92c56f10</t>
  </si>
  <si>
    <t xml:space="preserve">MAG_TXDOT_Managed_Services </t>
  </si>
  <si>
    <t>78103eae-33ab-4b54-a7ec-8b8b98cde1fd</t>
  </si>
  <si>
    <t>MAG_TXDOT_Managed_Storage</t>
  </si>
  <si>
    <t>c70f9966-2c56-4401-95f5-9bb412a6aec3</t>
  </si>
  <si>
    <t>MS-AZR-USGov-0017p</t>
  </si>
  <si>
    <t>IA</t>
  </si>
  <si>
    <t>SubscriptionId (Computed)</t>
  </si>
  <si>
    <t>D5</t>
  </si>
  <si>
    <t>D5 Extra High Bandwidth (16C/56GB)</t>
  </si>
  <si>
    <t>Net New</t>
  </si>
  <si>
    <t>OMSDC</t>
  </si>
  <si>
    <t>Contributer</t>
  </si>
  <si>
    <t>Reader</t>
  </si>
  <si>
    <t>Contributor</t>
  </si>
  <si>
    <t>DevTeamA</t>
  </si>
  <si>
    <t>DevTeamB</t>
  </si>
  <si>
    <t>DevTeamC</t>
  </si>
  <si>
    <t>DevTeamD</t>
  </si>
  <si>
    <t>MAC</t>
  </si>
  <si>
    <t>HBI</t>
  </si>
  <si>
    <t>PartnerID</t>
  </si>
  <si>
    <t>PartnerName</t>
  </si>
  <si>
    <t>Azure Service Deploy Release Management Contributor</t>
  </si>
  <si>
    <t>API Management Service Contributor</t>
  </si>
  <si>
    <t>Application Insights Component Contributor</t>
  </si>
  <si>
    <t>Automation Operator</t>
  </si>
  <si>
    <t>BizTalk Contributor</t>
  </si>
  <si>
    <t>CDN Endpoint Contributor</t>
  </si>
  <si>
    <t>CDN Endpoint Reader</t>
  </si>
  <si>
    <t>CDN Profile Contributor</t>
  </si>
  <si>
    <t>CDN Profile Reader</t>
  </si>
  <si>
    <t>Classic Network Contributor</t>
  </si>
  <si>
    <t>Classic Storage Account Contributor</t>
  </si>
  <si>
    <t>Classic Virtual Machine Contributor</t>
  </si>
  <si>
    <t>ClearDB MySQL DB Contributor</t>
  </si>
  <si>
    <t>Data Factory Contributor</t>
  </si>
  <si>
    <t>Data Lake Analytics Developer</t>
  </si>
  <si>
    <t>DevTest Labs User</t>
  </si>
  <si>
    <t>DNS Zone Contributor</t>
  </si>
  <si>
    <t>DocumentDB Account Contributor</t>
  </si>
  <si>
    <t>Intelligent Systems Account Contributor</t>
  </si>
  <si>
    <t>Key Vault Contributor</t>
  </si>
  <si>
    <t>Logic App Contributor</t>
  </si>
  <si>
    <t>Logic App Operator</t>
  </si>
  <si>
    <t>Network Contributor</t>
  </si>
  <si>
    <t>New Relic APM Account Contributor</t>
  </si>
  <si>
    <t>Redis Cache Contributor</t>
  </si>
  <si>
    <t>Scheduler Job Collections Contributor</t>
  </si>
  <si>
    <t>Search Service Contributor</t>
  </si>
  <si>
    <t>Security Manager</t>
  </si>
  <si>
    <t>SQL DB Contributor</t>
  </si>
  <si>
    <t>SQL Security Manager</t>
  </si>
  <si>
    <t>SQL Server Contributor</t>
  </si>
  <si>
    <t>Storage Account Contributor</t>
  </si>
  <si>
    <t>Traffic Manager Contributor</t>
  </si>
  <si>
    <t>User Access Administrator</t>
  </si>
  <si>
    <t>Virtual Machine Contributor</t>
  </si>
  <si>
    <t>Web Plan Contributor</t>
  </si>
  <si>
    <t>Website Contributor</t>
  </si>
  <si>
    <t>EnrollmentNumber</t>
  </si>
  <si>
    <t>SubscriptionGUID</t>
  </si>
  <si>
    <t>atag</t>
  </si>
  <si>
    <t>Advanced Threat Analytics Gateway Appliance</t>
  </si>
  <si>
    <t>P</t>
  </si>
  <si>
    <t>The NSG for WEB Subnets in the CJIS Subscription</t>
  </si>
  <si>
    <t>The NSG for App Subnets in the CJIS Subscription</t>
  </si>
  <si>
    <t>The NSG for DB Subnets in the CJIS Subscription</t>
  </si>
  <si>
    <t>The NSG for DMZ Subnets in the CJIS Subscription</t>
  </si>
  <si>
    <t>The NSG for Admin Subnets in the CJIS Subscription</t>
  </si>
  <si>
    <t>The NSG for  Level 5 Subnets in the CJIS Subscription</t>
  </si>
  <si>
    <t>https://technet.microsoft.com/en-us/windows-server-docs/security/securing-privileged-access/privileged-access-workstations</t>
  </si>
  <si>
    <t>Users_Tier1</t>
  </si>
  <si>
    <t>Users_Tier2</t>
  </si>
  <si>
    <t>User_Tier0</t>
  </si>
  <si>
    <t>Tier 1 administrator - manage enterprise servers, services, and applications</t>
  </si>
  <si>
    <t>Tier 2 - Control of user workstations and devices. Tier 2 administrator accounts have administrative control of a significant amount of business value that is hosted on user workstations and devices</t>
  </si>
  <si>
    <t>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t>
  </si>
  <si>
    <t>Tier 3 - Development, Test, Acceptance and Production Lifecycle workstations</t>
  </si>
  <si>
    <t>Tier 4 - Corp Network users for employees</t>
  </si>
  <si>
    <t>User_Tier1</t>
  </si>
  <si>
    <t>Deprecated</t>
  </si>
  <si>
    <t>Users_Tier0</t>
  </si>
  <si>
    <t>User_Tier2</t>
  </si>
  <si>
    <t>dept</t>
  </si>
  <si>
    <t>PREPROD</t>
  </si>
  <si>
    <t>PROD</t>
  </si>
  <si>
    <t>SERVICES</t>
  </si>
  <si>
    <t>STORAGE</t>
  </si>
  <si>
    <t>Environment (Computed)</t>
  </si>
  <si>
    <t>A0LNX</t>
  </si>
  <si>
    <t>A1LNX</t>
  </si>
  <si>
    <t>A2LNX</t>
  </si>
  <si>
    <t>A3LNX</t>
  </si>
  <si>
    <t>A4LNX</t>
  </si>
  <si>
    <t>A5LNX</t>
  </si>
  <si>
    <t>A6LNX</t>
  </si>
  <si>
    <t>A7LNX</t>
  </si>
  <si>
    <t>A8LNX</t>
  </si>
  <si>
    <t>A9LNX</t>
  </si>
  <si>
    <t>Linux Extra Small (1c/.768GB)</t>
  </si>
  <si>
    <t>Linux Small (1C/1.7GB)</t>
  </si>
  <si>
    <t>Linux Medium (2C/3.5)</t>
  </si>
  <si>
    <t>Linux Large (4C/7GB)</t>
  </si>
  <si>
    <t>Linux Extra Large (8C/14GB)</t>
  </si>
  <si>
    <t>Linux Medium Memory Intensive</t>
  </si>
  <si>
    <t xml:space="preserve">Linux Large Memory Intensive 4 Cores, 28GB RAM, </t>
  </si>
  <si>
    <t>Linux Extra Large Memory Intensive</t>
  </si>
  <si>
    <t>Linux A8 Compute Intensive (8C/56GB)</t>
  </si>
  <si>
    <t>Linux A9 Compute Intensive (16C/112GB)</t>
  </si>
  <si>
    <t>User Jumpboxes Security</t>
  </si>
  <si>
    <t xml:space="preserve">https://technet.microsoft.com/en-us/windows-server-docs/security/securing-privileged-access/securing-privileged-access-reference-material </t>
  </si>
  <si>
    <t>Make a copy of the "InitiatePowerShell.PS1" file for each department</t>
  </si>
  <si>
    <t>Log into Azure via portal or PowerShell and list the subscriptions and populate the PowerShell variables for the subscriptions.</t>
  </si>
  <si>
    <t>snet59</t>
  </si>
  <si>
    <t>snet60</t>
  </si>
  <si>
    <t>snet71</t>
  </si>
  <si>
    <t>snet72</t>
  </si>
  <si>
    <t>snet94</t>
  </si>
  <si>
    <t>snet95</t>
  </si>
  <si>
    <t>snet96</t>
  </si>
  <si>
    <t>snet97</t>
  </si>
  <si>
    <t>snet98</t>
  </si>
  <si>
    <t>snet99</t>
  </si>
  <si>
    <t>13.72.190.48</t>
  </si>
  <si>
    <t>13.72.188.96</t>
  </si>
  <si>
    <t>13.72.54.61</t>
  </si>
  <si>
    <t>13.72.187.221</t>
  </si>
  <si>
    <t>13.72.49.181</t>
  </si>
  <si>
    <t>13.72.186.236</t>
  </si>
  <si>
    <t>13.72.187.44</t>
  </si>
  <si>
    <t>13.72.51.8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</si>
</sst>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17" x14ac:knownFonts="1">
    <font>
      <sz val="11"/>
      <color theme="1"/>
      <name val="Calibri"/>
      <family val="2"/>
      <scheme val="minor"/>
    </font>
    <font>
      <b/>
      <sz val="15"/>
      <color theme="3"/>
      <name val="Calibri"/>
      <family val="2"/>
      <scheme val="minor"/>
    </font>
    <font>
      <b/>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b/>
      <sz val="11"/>
      <color theme="1"/>
      <name val="Calibri"/>
      <family val="2"/>
      <scheme val="minor"/>
    </font>
    <font>
      <b/>
      <sz val="11"/>
      <color rgb="FF3D3D3E"/>
      <name val="Verdana"/>
      <family val="2"/>
    </font>
    <font>
      <sz val="18"/>
      <color theme="1"/>
      <name val="Calibri"/>
      <family val="2"/>
      <scheme val="minor"/>
    </font>
    <font>
      <b/>
      <sz val="11"/>
      <color theme="0"/>
      <name val="Calibri"/>
      <family val="2"/>
      <scheme val="minor"/>
    </font>
    <font>
      <sz val="11"/>
      <color rgb="FF1F497D"/>
      <name val="Calibri"/>
      <family val="2"/>
      <scheme val="minor"/>
    </font>
    <font>
      <u/>
      <sz val="11"/>
      <color theme="10"/>
      <name val="Calibri"/>
      <family val="2"/>
      <scheme val="minor"/>
    </font>
    <font>
      <sz val="8"/>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bgColor theme="4" tint="0.79998168889431442"/>
      </patternFill>
    </fill>
    <fill>
      <patternFill patternType="solid">
        <fgColor theme="4" tint="0.79998168889431442"/>
        <bgColor indexed="65"/>
      </patternFill>
    </fill>
    <fill>
      <patternFill patternType="solid">
        <fgColor rgb="FFFFFF00"/>
        <bgColor indexed="64"/>
      </patternFill>
    </fill>
  </fills>
  <borders count="5">
    <border>
      <left/>
      <right/>
      <top/>
      <bottom/>
      <diagonal/>
    </border>
    <border>
      <left/>
      <right/>
      <top/>
      <bottom style="thick">
        <color theme="4"/>
      </bottom>
      <diagonal/>
    </border>
    <border>
      <left/>
      <right/>
      <top style="thin">
        <color theme="4"/>
      </top>
      <bottom style="thin">
        <color theme="4"/>
      </bottom>
      <diagonal/>
    </border>
    <border>
      <left/>
      <right/>
      <top style="thin">
        <color theme="4" tint="0.39997558519241921"/>
      </top>
      <bottom style="thin">
        <color theme="4" tint="0.39997558519241921"/>
      </bottom>
      <diagonal/>
    </border>
    <border>
      <left/>
      <right/>
      <top style="thin">
        <color theme="4"/>
      </top>
      <bottom/>
      <diagonal/>
    </border>
  </borders>
  <cellStyleXfs count="7">
    <xf numFmtId="0" fontId="0" fillId="0" borderId="0"/>
    <xf numFmtId="0" fontId="1" fillId="0" borderId="1" applyNumberFormat="0" applyFill="0" applyAlignment="0" applyProtection="0"/>
    <xf numFmtId="43" fontId="3" fillId="0" borderId="0" applyFont="0" applyFill="0" applyBorder="0" applyAlignment="0" applyProtection="0"/>
    <xf numFmtId="9" fontId="3" fillId="0" borderId="0" applyFont="0" applyFill="0" applyBorder="0" applyAlignment="0" applyProtection="0"/>
    <xf numFmtId="0" fontId="11" fillId="0" borderId="0" applyNumberFormat="0" applyFill="0" applyBorder="0" applyAlignment="0" applyProtection="0"/>
    <xf numFmtId="44" fontId="3" fillId="0" borderId="0" applyFont="0" applyFill="0" applyBorder="0" applyAlignment="0" applyProtection="0"/>
    <xf numFmtId="0" fontId="3" fillId="6" borderId="0" applyNumberFormat="0" applyBorder="0" applyAlignment="0" applyProtection="0"/>
  </cellStyleXfs>
  <cellXfs count="79">
    <xf numFmtId="0" fontId="0" fillId="0" borderId="0" xfId="0"/>
    <xf numFmtId="0" fontId="0" fillId="0" borderId="0" xfId="0" applyAlignment="1">
      <alignment wrapText="1"/>
    </xf>
    <xf numFmtId="0" fontId="1" fillId="0" borderId="1" xfId="1"/>
    <xf numFmtId="0" fontId="1" fillId="0" borderId="1" xfId="1" applyAlignment="1">
      <alignment wrapText="1"/>
    </xf>
    <xf numFmtId="0" fontId="0" fillId="0" borderId="0" xfId="0" applyAlignment="1">
      <alignment textRotation="90"/>
    </xf>
    <xf numFmtId="14" fontId="0" fillId="0" borderId="0" xfId="0" applyNumberFormat="1" applyAlignment="1">
      <alignment wrapText="1"/>
    </xf>
    <xf numFmtId="0" fontId="1" fillId="0" borderId="1" xfId="1" applyAlignment="1">
      <alignment textRotation="90"/>
    </xf>
    <xf numFmtId="0" fontId="2" fillId="0" borderId="0" xfId="0" applyFont="1"/>
    <xf numFmtId="164" fontId="0" fillId="0" borderId="0" xfId="2" applyNumberFormat="1" applyFont="1"/>
    <xf numFmtId="0" fontId="0" fillId="0" borderId="0" xfId="0" quotePrefix="1"/>
    <xf numFmtId="0" fontId="5" fillId="3" borderId="0" xfId="0" applyFont="1" applyFill="1"/>
    <xf numFmtId="14" fontId="4" fillId="0" borderId="2" xfId="0" applyNumberFormat="1" applyFont="1" applyBorder="1" applyAlignment="1">
      <alignment wrapText="1"/>
    </xf>
    <xf numFmtId="14" fontId="4" fillId="0" borderId="0" xfId="0" applyNumberFormat="1" applyFont="1" applyFill="1" applyBorder="1" applyAlignment="1">
      <alignment wrapText="1"/>
    </xf>
    <xf numFmtId="0" fontId="0" fillId="0" borderId="0" xfId="0" applyAlignment="1">
      <alignment horizontal="left"/>
    </xf>
    <xf numFmtId="10" fontId="0" fillId="0" borderId="0" xfId="3" applyNumberFormat="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left" textRotation="90" wrapText="1"/>
      <protection locked="0"/>
    </xf>
    <xf numFmtId="0" fontId="0" fillId="0" borderId="0" xfId="0" applyAlignment="1" applyProtection="1">
      <alignment horizontal="left" textRotation="90"/>
      <protection locked="0"/>
    </xf>
    <xf numFmtId="14" fontId="0" fillId="0" borderId="0" xfId="0" applyNumberFormat="1" applyAlignment="1" applyProtection="1">
      <alignment horizontal="left" wrapText="1"/>
      <protection locked="0"/>
    </xf>
    <xf numFmtId="14" fontId="0" fillId="0" borderId="0" xfId="0" applyNumberFormat="1" applyAlignment="1" applyProtection="1">
      <alignment horizontal="left" textRotation="90" wrapText="1"/>
      <protection locked="0"/>
    </xf>
    <xf numFmtId="0" fontId="2" fillId="0" borderId="0" xfId="0" applyFont="1" applyAlignment="1" applyProtection="1">
      <alignment wrapText="1"/>
      <protection locked="0"/>
    </xf>
    <xf numFmtId="164" fontId="0" fillId="0" borderId="0" xfId="2" applyNumberFormat="1" applyFont="1" applyProtection="1">
      <protection locked="0"/>
    </xf>
    <xf numFmtId="0" fontId="0" fillId="0" borderId="0" xfId="0" applyAlignment="1" applyProtection="1">
      <alignment horizontal="left"/>
      <protection locked="0"/>
    </xf>
    <xf numFmtId="0" fontId="0" fillId="0" borderId="0" xfId="0" applyNumberFormat="1" applyProtection="1">
      <protection locked="0"/>
    </xf>
    <xf numFmtId="0" fontId="0" fillId="0" borderId="0" xfId="0" applyNumberFormat="1" applyAlignment="1" applyProtection="1">
      <alignment horizontal="left"/>
      <protection locked="0"/>
    </xf>
    <xf numFmtId="0" fontId="6" fillId="0" borderId="0" xfId="0" applyNumberFormat="1" applyFont="1" applyAlignment="1" applyProtection="1">
      <alignment wrapText="1"/>
      <protection locked="0"/>
    </xf>
    <xf numFmtId="43" fontId="0" fillId="0" borderId="0" xfId="0" applyNumberFormat="1" applyProtection="1">
      <protection locked="0"/>
    </xf>
    <xf numFmtId="0" fontId="0" fillId="0" borderId="0" xfId="0" pivotButton="1"/>
    <xf numFmtId="0" fontId="0" fillId="0" borderId="0" xfId="0" applyNumberFormat="1"/>
    <xf numFmtId="1" fontId="0" fillId="0" borderId="0" xfId="0" applyNumberFormat="1"/>
    <xf numFmtId="0" fontId="7" fillId="0" borderId="0" xfId="0" applyFont="1"/>
    <xf numFmtId="0" fontId="9" fillId="2" borderId="3" xfId="0" applyFont="1" applyFill="1" applyBorder="1" applyAlignment="1">
      <alignment wrapText="1"/>
    </xf>
    <xf numFmtId="0" fontId="0" fillId="4" borderId="0" xfId="0" applyFill="1"/>
    <xf numFmtId="0" fontId="0" fillId="5" borderId="3" xfId="0" applyFont="1" applyFill="1" applyBorder="1" applyAlignment="1">
      <alignment horizontal="left" vertical="center"/>
    </xf>
    <xf numFmtId="0" fontId="0" fillId="4" borderId="3" xfId="0" applyFont="1" applyFill="1" applyBorder="1" applyAlignment="1">
      <alignment horizontal="left" vertical="center"/>
    </xf>
    <xf numFmtId="0" fontId="10" fillId="0" borderId="0" xfId="0" applyFont="1" applyAlignment="1">
      <alignment vertical="center"/>
    </xf>
    <xf numFmtId="16" fontId="0" fillId="0" borderId="0" xfId="0" applyNumberFormat="1" applyAlignment="1">
      <alignment textRotation="90"/>
    </xf>
    <xf numFmtId="0" fontId="2" fillId="0" borderId="0" xfId="0" quotePrefix="1" applyFont="1"/>
    <xf numFmtId="0" fontId="2" fillId="0" borderId="0" xfId="0" applyNumberFormat="1" applyFont="1" applyAlignment="1" applyProtection="1">
      <alignment wrapText="1"/>
      <protection locked="0"/>
    </xf>
    <xf numFmtId="0" fontId="0" fillId="0" borderId="0" xfId="0" applyAlignment="1">
      <alignment horizontal="center"/>
    </xf>
    <xf numFmtId="0" fontId="11" fillId="0" borderId="0" xfId="4"/>
    <xf numFmtId="0" fontId="0" fillId="0" borderId="0" xfId="0" applyAlignment="1">
      <alignment horizontal="center"/>
    </xf>
    <xf numFmtId="0" fontId="0" fillId="0" borderId="4" xfId="0" applyFont="1" applyBorder="1"/>
    <xf numFmtId="0" fontId="9" fillId="2" borderId="4" xfId="0" applyFont="1" applyFill="1" applyBorder="1" applyAlignment="1">
      <alignment wrapText="1"/>
    </xf>
    <xf numFmtId="44" fontId="0" fillId="0" borderId="0" xfId="5" applyFont="1"/>
    <xf numFmtId="9" fontId="0" fillId="0" borderId="0" xfId="3" applyFont="1"/>
    <xf numFmtId="9" fontId="0" fillId="0" borderId="0" xfId="3" applyNumberFormat="1" applyFont="1"/>
    <xf numFmtId="43" fontId="0" fillId="0" borderId="0" xfId="2" applyNumberFormat="1" applyFont="1"/>
    <xf numFmtId="0" fontId="12" fillId="0" borderId="0" xfId="0" applyNumberFormat="1" applyFont="1" applyAlignment="1" applyProtection="1">
      <alignment horizontal="left" wrapText="1"/>
      <protection locked="0"/>
    </xf>
    <xf numFmtId="0" fontId="0" fillId="0" borderId="0" xfId="0" applyAlignment="1" applyProtection="1">
      <alignment textRotation="90"/>
      <protection locked="0"/>
    </xf>
    <xf numFmtId="0" fontId="13" fillId="0" borderId="0" xfId="0" applyFont="1" applyAlignment="1" applyProtection="1">
      <alignment wrapText="1"/>
      <protection locked="0"/>
    </xf>
    <xf numFmtId="14" fontId="0" fillId="0" borderId="0" xfId="0" applyNumberFormat="1" applyAlignment="1" applyProtection="1">
      <alignment textRotation="90" wrapText="1"/>
      <protection locked="0"/>
    </xf>
    <xf numFmtId="0" fontId="0" fillId="0" borderId="0" xfId="0" applyFill="1"/>
    <xf numFmtId="0" fontId="3" fillId="6" borderId="0" xfId="6" applyAlignment="1" applyProtection="1">
      <alignment horizontal="left" textRotation="90" wrapText="1"/>
      <protection locked="0"/>
    </xf>
    <xf numFmtId="0" fontId="12" fillId="6" borderId="0" xfId="6" applyFont="1"/>
    <xf numFmtId="0" fontId="12" fillId="0" borderId="0" xfId="0" applyFont="1"/>
    <xf numFmtId="0" fontId="12" fillId="0" borderId="0" xfId="0" applyFont="1" applyProtection="1">
      <protection locked="0"/>
    </xf>
    <xf numFmtId="14" fontId="3" fillId="6" borderId="0" xfId="6" applyNumberFormat="1" applyAlignment="1" applyProtection="1">
      <alignment horizontal="left" textRotation="90" wrapText="1"/>
      <protection locked="0"/>
    </xf>
    <xf numFmtId="0" fontId="3" fillId="6" borderId="0" xfId="6" applyAlignment="1" applyProtection="1">
      <alignment textRotation="90" wrapText="1"/>
      <protection locked="0"/>
    </xf>
    <xf numFmtId="0" fontId="0" fillId="6" borderId="0" xfId="6" applyFont="1" applyAlignment="1">
      <alignment textRotation="90"/>
    </xf>
    <xf numFmtId="14" fontId="3" fillId="6" borderId="0" xfId="6" applyNumberFormat="1" applyAlignment="1" applyProtection="1">
      <alignment wrapText="1"/>
      <protection locked="0"/>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wrapText="1"/>
    </xf>
    <xf numFmtId="0" fontId="0" fillId="0" borderId="0" xfId="0" applyAlignment="1"/>
    <xf numFmtId="0" fontId="0" fillId="7" borderId="0" xfId="0" applyFill="1"/>
    <xf numFmtId="0" fontId="0" fillId="0" borderId="0" xfId="0" quotePrefix="1" applyFill="1"/>
    <xf numFmtId="0" fontId="14" fillId="0" borderId="0" xfId="0" applyNumberFormat="1" applyFont="1" applyAlignment="1" applyProtection="1">
      <alignment wrapText="1"/>
      <protection locked="0"/>
    </xf>
    <xf numFmtId="0" fontId="13" fillId="0" borderId="0" xfId="0" applyNumberFormat="1" applyFont="1" applyAlignment="1" applyProtection="1">
      <alignment wrapText="1"/>
      <protection locked="0"/>
    </xf>
    <xf numFmtId="0" fontId="15" fillId="0" borderId="0" xfId="0" applyNumberFormat="1" applyFont="1" applyProtection="1">
      <protection locked="0"/>
    </xf>
    <xf numFmtId="0" fontId="15" fillId="0" borderId="0" xfId="0" applyNumberFormat="1" applyFont="1" applyAlignment="1" applyProtection="1">
      <alignment horizontal="left"/>
      <protection locked="0"/>
    </xf>
    <xf numFmtId="0" fontId="0" fillId="0" borderId="0" xfId="0" applyAlignment="1">
      <alignment horizontal="center" wrapText="1"/>
    </xf>
    <xf numFmtId="10" fontId="16" fillId="0" borderId="0" xfId="3" applyNumberFormat="1" applyFont="1"/>
    <xf numFmtId="44" fontId="16" fillId="0" borderId="0" xfId="5" applyFont="1"/>
    <xf numFmtId="9" fontId="16" fillId="0" borderId="0" xfId="3" applyNumberFormat="1" applyFont="1"/>
    <xf numFmtId="0" fontId="0" fillId="0" borderId="0" xfId="0" applyAlignment="1">
      <alignment horizontal="center"/>
    </xf>
    <xf numFmtId="0" fontId="0" fillId="0" borderId="0" xfId="0" applyAlignment="1">
      <alignment horizontal="center" wrapText="1"/>
    </xf>
    <xf numFmtId="0" fontId="8" fillId="0" borderId="0" xfId="0" applyFont="1" applyAlignment="1">
      <alignment horizontal="center"/>
    </xf>
  </cellXfs>
  <cellStyles count="7">
    <cellStyle name="20% - Accent1" xfId="6" builtinId="30"/>
    <cellStyle name="Comma" xfId="2" builtinId="3"/>
    <cellStyle name="Currency" xfId="5" builtinId="4"/>
    <cellStyle name="Heading 1" xfId="1" builtinId="16"/>
    <cellStyle name="Hyperlink" xfId="4" builtinId="8"/>
    <cellStyle name="Normal" xfId="0" builtinId="0"/>
    <cellStyle name="Percent" xfId="3" builtinId="5"/>
  </cellStyles>
  <dxfs count="9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
      <font>
        <b val="0"/>
        <i val="0"/>
        <strike val="0"/>
        <condense val="0"/>
        <extend val="0"/>
        <outline val="0"/>
        <shadow val="0"/>
        <u val="none"/>
        <vertAlign val="baseline"/>
        <sz val="11"/>
        <color theme="1"/>
        <name val="Calibri"/>
        <scheme val="minor"/>
      </font>
      <numFmt numFmtId="13" formatCode="0%"/>
    </dxf>
    <dxf>
      <numFmt numFmtId="164" formatCode="_(* #,##0_);_(* \(#,##0\);_(* &quot;-&quot;??_);_(@_)"/>
    </dxf>
    <dxf>
      <numFmt numFmtId="35" formatCode="_(* #,##0.00_);_(* \(#,##0.00\);_(* &quot;-&quot;??_);_(@_)"/>
    </dxf>
    <dxf>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numFmt numFmtId="1" formatCode="0"/>
    </dxf>
    <dxf>
      <numFmt numFmtId="1" formatCode="0"/>
    </dxf>
    <dxf>
      <protection locked="0" hidden="0"/>
    </dxf>
    <dxf>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4" formatCode="_(&quot;$&quot;* #,##0.00_);_(&quot;$&quot;* \(#,##0.00\);_(&quot;$&quot;* &quot;-&quot;??_);_(@_)"/>
    </dxf>
    <dxf>
      <protection locked="0" hidden="0"/>
    </dxf>
    <dxf>
      <protection locked="0" hidden="0"/>
    </dxf>
    <dxf>
      <numFmt numFmtId="0" formatCode="General"/>
      <protection locked="0" hidden="0"/>
    </dxf>
    <dxf>
      <protection locked="0" hidden="0"/>
    </dxf>
    <dxf>
      <protection locked="0" hidden="0"/>
    </dxf>
    <dxf>
      <protection locked="0" hidden="0"/>
    </dxf>
    <dxf>
      <alignment horizontal="general" vertical="bottom" textRotation="0" wrapText="1" indent="0" justifyLastLine="0" shrinkToFit="0" readingOrder="0"/>
      <protection locked="0" hidden="0"/>
    </dxf>
    <dxf>
      <font>
        <sz val="8"/>
      </font>
      <numFmt numFmtId="0" formatCode="General"/>
      <alignment horizontal="left" vertical="bottom" textRotation="0" wrapText="1" indent="0" justifyLastLine="0" shrinkToFit="0" readingOrder="0"/>
      <protection locked="0" hidden="0"/>
    </dxf>
    <dxf>
      <font>
        <strike val="0"/>
        <outline val="0"/>
        <shadow val="0"/>
        <u val="none"/>
        <vertAlign val="baseline"/>
        <sz val="8"/>
        <color theme="1"/>
        <name val="Calibri"/>
        <scheme val="minor"/>
      </font>
      <alignment horizontal="left" vertical="bottom" textRotation="0" wrapText="0" indent="0" justifyLastLine="0" shrinkToFit="0" readingOrder="0"/>
      <protection locked="0" hidden="0"/>
    </dxf>
    <dxf>
      <numFmt numFmtId="0" formatCode="General"/>
      <alignment horizontal="left" vertical="bottom" indent="0" justifyLastLine="0" shrinkToFit="0" readingOrder="0"/>
      <protection locked="0" hidden="0"/>
    </dxf>
    <dxf>
      <font>
        <strike val="0"/>
        <outline val="0"/>
        <shadow val="0"/>
        <u val="none"/>
        <vertAlign val="baseline"/>
        <sz val="8"/>
        <color theme="1"/>
        <name val="Calibri"/>
        <scheme val="minor"/>
      </font>
      <numFmt numFmtId="0" formatCode="General"/>
      <protection locked="0" hidden="0"/>
    </dxf>
    <dxf>
      <numFmt numFmtId="0" formatCode="General"/>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sz val="8"/>
      </font>
      <numFmt numFmtId="0" formatCode="General"/>
      <alignment horizontal="general" vertical="bottom" textRotation="0" wrapText="1" indent="0" justifyLastLine="0" shrinkToFit="0" readingOrder="0"/>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font>
        <b val="0"/>
        <i val="0"/>
        <strike val="0"/>
        <condense val="0"/>
        <extend val="0"/>
        <outline val="0"/>
        <shadow val="0"/>
        <u val="none"/>
        <vertAlign val="baseline"/>
        <sz val="11"/>
        <color theme="1"/>
        <name val="Calibri"/>
        <scheme val="minor"/>
      </font>
      <numFmt numFmtId="35" formatCode="_(* #,##0.00_);_(* \(#,##0.00\);_(* &quot;-&quot;??_);_(@_)"/>
    </dxf>
    <dxf>
      <protection locked="0" hidden="0"/>
    </dxf>
    <dxf>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numFmt numFmtId="0" formatCode="General"/>
      <protection locked="0" hidden="0"/>
    </dxf>
    <dxf>
      <protection locked="0" hidden="0"/>
    </dxf>
    <dxf>
      <numFmt numFmtId="19" formatCode="m/d/yyyy"/>
      <alignment horizontal="general" vertical="bottom" textRotation="0" wrapText="1" indent="0" justifyLastLine="0" shrinkToFit="0" readingOrder="0"/>
    </dxf>
    <dxf>
      <font>
        <color rgb="FF9C0006"/>
      </font>
      <fill>
        <patternFill>
          <bgColor rgb="FFFFC7CE"/>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patternFill>
      </fill>
      <alignment horizontal="lef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border>
        <left style="thin">
          <color rgb="FF4F81BD"/>
        </left>
      </border>
    </dxf>
    <dxf>
      <border>
        <left style="thin">
          <color rgb="FF4F81BD"/>
        </left>
      </border>
    </dxf>
    <dxf>
      <border>
        <top style="thin">
          <color rgb="FF4F81BD"/>
        </top>
      </border>
    </dxf>
    <dxf>
      <border>
        <top style="thin">
          <color rgb="FF4F81BD"/>
        </top>
      </border>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4F81BD"/>
        </left>
        <right style="thin">
          <color rgb="FF4F81BD"/>
        </right>
        <top style="thin">
          <color rgb="FF4F81BD"/>
        </top>
        <bottom style="thin">
          <color rgb="FF4F81BD"/>
        </bottom>
      </border>
    </dxf>
  </dxfs>
  <tableStyles count="1" defaultTableStyle="TableStyleMedium2" defaultPivotStyle="PivotStyleLight16">
    <tableStyle name="TableStyleLight9 2" pivot="0" count="9">
      <tableStyleElement type="wholeTable" dxfId="92"/>
      <tableStyleElement type="headerRow" dxfId="91"/>
      <tableStyleElement type="totalRow" dxfId="90"/>
      <tableStyleElement type="firstColumn" dxfId="89"/>
      <tableStyleElement type="lastColumn" dxfId="88"/>
      <tableStyleElement type="firstRowStripe" dxfId="87"/>
      <tableStyleElement type="secondRowStripe" dxfId="86"/>
      <tableStyleElement type="firstColumnStripe" dxfId="85"/>
      <tableStyleElement type="secondColumnStripe" dxfId="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400050</xdr:colOff>
      <xdr:row>6</xdr:row>
      <xdr:rowOff>0</xdr:rowOff>
    </xdr:from>
    <xdr:to>
      <xdr:col>16</xdr:col>
      <xdr:colOff>66675</xdr:colOff>
      <xdr:row>17</xdr:row>
      <xdr:rowOff>76200</xdr:rowOff>
    </xdr:to>
    <xdr:sp macro="" textlink="">
      <xdr:nvSpPr>
        <xdr:cNvPr id="2" name="TextBox 1"/>
        <xdr:cNvSpPr txBox="1"/>
      </xdr:nvSpPr>
      <xdr:spPr>
        <a:xfrm>
          <a:off x="9734550" y="1143000"/>
          <a:ext cx="5153025"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Ron will talk with</a:t>
          </a:r>
          <a:r>
            <a:rPr lang="en-US" sz="1100" baseline="0"/>
            <a:t> Bryan Spears and get a Route Dump and support for the IP ranges to use per agency</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icrosoft.sharepoint.com/teams/SLGCloudTeam/azure/central/Shared%20Documents/Customers/TX/Bexar_County/NICHE_System_Requirements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zure"/>
      <sheetName val="SLA "/>
      <sheetName val="Assumption"/>
      <sheetName val="Business"/>
      <sheetName val="Functional"/>
      <sheetName val="Users"/>
      <sheetName val="DataMap"/>
      <sheetName val="Software"/>
      <sheetName val="Licenses"/>
      <sheetName val="Personas"/>
      <sheetName val="ServerBuild Sheets"/>
      <sheetName val="Sum Azure Services"/>
      <sheetName val="Scenarios"/>
      <sheetName val="Locations"/>
      <sheetName val="Azure Specs"/>
      <sheetName val="PowerShell"/>
      <sheetName val="Gateways"/>
      <sheetName val="VLANs"/>
      <sheetName val="PortConfig"/>
      <sheetName val="Risks"/>
      <sheetName val="Security"/>
      <sheetName val="Information"/>
      <sheetName val="Services"/>
      <sheetName val="Use Cases"/>
      <sheetName val="Physical"/>
      <sheetName val="NICHE_System_Requirements_Worki"/>
      <sheetName val="Storage"/>
    </sheetNames>
    <sheetDataSet>
      <sheetData sheetId="0"/>
      <sheetData sheetId="1" refreshError="1"/>
      <sheetData sheetId="2" refreshError="1"/>
      <sheetData sheetId="3" refreshError="1"/>
      <sheetData sheetId="4" refreshError="1"/>
      <sheetData sheetId="5" refreshError="1"/>
      <sheetData sheetId="6" refreshError="1"/>
      <sheetData sheetId="7">
        <row r="1">
          <cell r="A1" t="str">
            <v>SoftwareID</v>
          </cell>
          <cell r="B1" t="str">
            <v>Software Item</v>
          </cell>
          <cell r="C1" t="str">
            <v xml:space="preserve">Environments (Development,
Test
UAT
Pre-Production 
Production)
</v>
          </cell>
          <cell r="D1" t="str">
            <v>Manufacturer</v>
          </cell>
          <cell r="E1" t="str">
            <v>License Type</v>
          </cell>
          <cell r="F1" t="str">
            <v>Brand Name</v>
          </cell>
          <cell r="G1" t="str">
            <v>Module Name</v>
          </cell>
          <cell r="H1" t="str">
            <v>Version</v>
          </cell>
          <cell r="I1" t="str">
            <v>Category (
Utility/ Systems Mgmt Software (ITSM), 
DBMS, 
Data Warehouse,  
Other )</v>
          </cell>
          <cell r="J1" t="str">
            <v>Detailed Description</v>
          </cell>
          <cell r="K1" t="str">
            <v>Frequency</v>
          </cell>
          <cell r="L1" t="str">
            <v>OS</v>
          </cell>
          <cell r="M1" t="str">
            <v>Date Needed</v>
          </cell>
          <cell r="N1" t="str">
            <v>Quantity</v>
          </cell>
          <cell r="O1" t="str">
            <v>Unit Price</v>
          </cell>
          <cell r="P1" t="str">
            <v>Extended Price</v>
          </cell>
          <cell r="Q1" t="str">
            <v>SKU</v>
          </cell>
        </row>
        <row r="2">
          <cell r="A2" t="str">
            <v>SW1</v>
          </cell>
          <cell r="B2" t="str">
            <v>.Net</v>
          </cell>
          <cell r="C2" t="str">
            <v>All</v>
          </cell>
          <cell r="D2" t="str">
            <v>MSFT</v>
          </cell>
          <cell r="E2" t="str">
            <v>NA</v>
          </cell>
          <cell r="F2" t="str">
            <v>.Net</v>
          </cell>
          <cell r="G2" t="str">
            <v>WIC 360 Hub</v>
          </cell>
          <cell r="H2">
            <v>2013</v>
          </cell>
          <cell r="I2" t="str">
            <v>Other</v>
          </cell>
          <cell r="J2" t="str">
            <v>The programing language used for integrating with the Azure, CRM and O365 Services.</v>
          </cell>
          <cell r="K2" t="str">
            <v>NA</v>
          </cell>
          <cell r="L2" t="str">
            <v>PaaS</v>
          </cell>
          <cell r="M2" t="str">
            <v>NA</v>
          </cell>
        </row>
        <row r="3">
          <cell r="A3" t="str">
            <v>SW2</v>
          </cell>
          <cell r="B3" t="str">
            <v>AAD</v>
          </cell>
          <cell r="C3" t="str">
            <v>All</v>
          </cell>
          <cell r="D3" t="str">
            <v>MSFT</v>
          </cell>
          <cell r="E3" t="str">
            <v>User</v>
          </cell>
          <cell r="F3" t="str">
            <v>Azure Active Directory Premium</v>
          </cell>
          <cell r="G3" t="str">
            <v>WIC 360 Hub</v>
          </cell>
          <cell r="H3" t="str">
            <v>Premium</v>
          </cell>
          <cell r="I3" t="str">
            <v>ITSM</v>
          </cell>
          <cell r="J3" t="str">
            <v>The identity store for the solution's users.  Azure AD will be populated with the onpremise AD and the licenced identities will have the ability to access the systems in WIC 360.</v>
          </cell>
          <cell r="K3" t="str">
            <v>Annual</v>
          </cell>
          <cell r="L3" t="str">
            <v>MOSG</v>
          </cell>
          <cell r="M3" t="str">
            <v>M9</v>
          </cell>
          <cell r="N3" t="str">
            <v>3000 (TX)
300 (LA)
300 (NM)
50 (WIC 360)</v>
          </cell>
          <cell r="O3">
            <v>1.5</v>
          </cell>
          <cell r="P3" t="e">
            <v>#VALUE!</v>
          </cell>
          <cell r="Q3" t="str">
            <v>Level D Pricing</v>
          </cell>
        </row>
        <row r="4">
          <cell r="A4" t="str">
            <v>SW3</v>
          </cell>
          <cell r="B4" t="str">
            <v>Azure Data Storage</v>
          </cell>
          <cell r="C4" t="str">
            <v>All</v>
          </cell>
          <cell r="D4" t="str">
            <v>MSFT</v>
          </cell>
          <cell r="E4" t="str">
            <v>GB</v>
          </cell>
          <cell r="F4" t="str">
            <v>Azure Data Storage</v>
          </cell>
          <cell r="G4" t="str">
            <v>WIC 360 Hub</v>
          </cell>
          <cell r="H4" t="str">
            <v>Geo Redundant</v>
          </cell>
          <cell r="I4" t="str">
            <v>Other</v>
          </cell>
          <cell r="J4" t="str">
            <v>The IaaS storage for OS, Data and other CDN requirements for the Azure IaaS instances</v>
          </cell>
          <cell r="K4" t="str">
            <v>minute</v>
          </cell>
          <cell r="L4" t="str">
            <v>MOSG</v>
          </cell>
          <cell r="M4" t="str">
            <v>M9</v>
          </cell>
          <cell r="N4">
            <v>7044</v>
          </cell>
          <cell r="O4">
            <v>0.12</v>
          </cell>
          <cell r="P4">
            <v>845.28</v>
          </cell>
          <cell r="Q4" t="str">
            <v>N9H-00005</v>
          </cell>
        </row>
        <row r="5">
          <cell r="A5" t="str">
            <v>SW4</v>
          </cell>
          <cell r="B5" t="str">
            <v>Azure Data Synch</v>
          </cell>
          <cell r="C5" t="str">
            <v>All</v>
          </cell>
          <cell r="D5" t="str">
            <v>MSFT</v>
          </cell>
          <cell r="E5" t="str">
            <v>GB</v>
          </cell>
          <cell r="F5" t="str">
            <v>Azure Data Synch</v>
          </cell>
          <cell r="G5" t="str">
            <v>WIC 360 Hub</v>
          </cell>
          <cell r="H5" t="str">
            <v>PaaS</v>
          </cell>
          <cell r="I5" t="str">
            <v>Other</v>
          </cell>
          <cell r="J5" t="str">
            <v>A data syncronization service that may be used to meet the requirements of syncing data.</v>
          </cell>
          <cell r="K5" t="str">
            <v>minute</v>
          </cell>
          <cell r="L5" t="str">
            <v>PaaS</v>
          </cell>
          <cell r="M5" t="str">
            <v>M9</v>
          </cell>
        </row>
        <row r="6">
          <cell r="A6" t="str">
            <v>SW5</v>
          </cell>
          <cell r="B6" t="str">
            <v>Azure SQL</v>
          </cell>
          <cell r="C6" t="str">
            <v>All</v>
          </cell>
          <cell r="D6" t="str">
            <v>MSFT</v>
          </cell>
          <cell r="E6" t="str">
            <v>VM</v>
          </cell>
          <cell r="F6" t="str">
            <v xml:space="preserve">Azure IaaS SQL Server </v>
          </cell>
          <cell r="G6" t="str">
            <v>WIC 360 Hub</v>
          </cell>
          <cell r="H6" t="str">
            <v>2014 Enterprise Edition</v>
          </cell>
          <cell r="I6" t="str">
            <v>DBMS</v>
          </cell>
          <cell r="J6" t="str">
            <v>Enterprise edition, which comes with "Always on" capability.</v>
          </cell>
          <cell r="K6" t="str">
            <v>minute</v>
          </cell>
          <cell r="L6" t="str">
            <v>Win12 R2 or Greater</v>
          </cell>
          <cell r="M6" t="str">
            <v>M9</v>
          </cell>
          <cell r="O6">
            <v>2.4E-2</v>
          </cell>
          <cell r="P6">
            <v>0</v>
          </cell>
        </row>
        <row r="7">
          <cell r="A7" t="str">
            <v>SW6</v>
          </cell>
          <cell r="B7" t="str">
            <v>Azure Service Bus</v>
          </cell>
          <cell r="C7" t="str">
            <v>All</v>
          </cell>
          <cell r="D7" t="str">
            <v>MSFT</v>
          </cell>
          <cell r="E7" t="str">
            <v>Transaction</v>
          </cell>
          <cell r="F7" t="str">
            <v>Azure Service Bus</v>
          </cell>
          <cell r="G7" t="str">
            <v>WIC 360 Hub</v>
          </cell>
          <cell r="H7" t="str">
            <v>Medium</v>
          </cell>
          <cell r="I7" t="str">
            <v>Other</v>
          </cell>
          <cell r="J7" t="str">
            <v>The service bus to link the WIC 360 data messaging together.  There will be subscriber queues for the Interfaces in scope.</v>
          </cell>
          <cell r="K7" t="str">
            <v>minute</v>
          </cell>
          <cell r="L7" t="str">
            <v>MOSG</v>
          </cell>
          <cell r="M7" t="str">
            <v>M9</v>
          </cell>
          <cell r="N7" t="str">
            <v xml:space="preserve">50M Messages (TX)
5M Messages (LA)
5M Message (NM)
60M Message (WIC 360)
</v>
          </cell>
          <cell r="O7">
            <v>0.03</v>
          </cell>
          <cell r="P7" t="e">
            <v>#VALUE!</v>
          </cell>
          <cell r="Q7" t="str">
            <v>Level D Pricing</v>
          </cell>
        </row>
        <row r="8">
          <cell r="A8" t="str">
            <v>SW7</v>
          </cell>
          <cell r="B8" t="str">
            <v>Azure VM</v>
          </cell>
          <cell r="C8" t="str">
            <v>All</v>
          </cell>
          <cell r="D8" t="str">
            <v>MSFT</v>
          </cell>
          <cell r="E8" t="str">
            <v>Subscription</v>
          </cell>
          <cell r="F8" t="str">
            <v>Azure VM</v>
          </cell>
          <cell r="G8" t="str">
            <v>WIC 360 Hub</v>
          </cell>
          <cell r="H8" t="str">
            <v>A1-A7</v>
          </cell>
          <cell r="I8" t="str">
            <v>Other</v>
          </cell>
          <cell r="J8" t="str">
            <v>The Virtual Machines used in the WIC 360 hub environemnt.  The services include ITSM, Data WareHouse and Identity services.</v>
          </cell>
          <cell r="K8" t="str">
            <v>minute</v>
          </cell>
          <cell r="L8" t="str">
            <v>Win12 R2 or Greater</v>
          </cell>
          <cell r="M8" t="str">
            <v>M9</v>
          </cell>
          <cell r="N8" t="str">
            <v>93 (WIC 360)</v>
          </cell>
          <cell r="O8">
            <v>9.6000000000000002E-2</v>
          </cell>
          <cell r="P8" t="e">
            <v>#VALUE!</v>
          </cell>
          <cell r="Q8" t="str">
            <v>Level D Pricing</v>
          </cell>
        </row>
        <row r="9">
          <cell r="A9" t="str">
            <v>SW8</v>
          </cell>
          <cell r="B9" t="str">
            <v>Azure VNET</v>
          </cell>
          <cell r="C9" t="str">
            <v>All</v>
          </cell>
          <cell r="D9" t="str">
            <v>MSFT</v>
          </cell>
          <cell r="E9" t="str">
            <v>Subscription</v>
          </cell>
          <cell r="F9" t="str">
            <v>Azure VNET</v>
          </cell>
          <cell r="G9" t="str">
            <v>WIC 360 Hub</v>
          </cell>
          <cell r="H9" t="str">
            <v>IaaS</v>
          </cell>
          <cell r="I9" t="str">
            <v>Other</v>
          </cell>
          <cell r="J9" t="str">
            <v xml:space="preserve"> Virtual Network between Azure and the external premises as required.</v>
          </cell>
          <cell r="K9" t="str">
            <v>GB/Mo</v>
          </cell>
          <cell r="L9" t="str">
            <v>MOSG</v>
          </cell>
          <cell r="M9" t="str">
            <v>M9</v>
          </cell>
          <cell r="N9" t="str">
            <v>744 hrs</v>
          </cell>
          <cell r="O9">
            <v>0.12</v>
          </cell>
          <cell r="P9" t="e">
            <v>#VALUE!</v>
          </cell>
          <cell r="Q9" t="str">
            <v>Q5H-00009</v>
          </cell>
        </row>
        <row r="10">
          <cell r="A10" t="str">
            <v>SW9</v>
          </cell>
          <cell r="B10" t="str">
            <v>Azure Web Site</v>
          </cell>
          <cell r="C10" t="str">
            <v>All</v>
          </cell>
          <cell r="D10" t="str">
            <v>MSFT</v>
          </cell>
          <cell r="E10" t="str">
            <v>Subscription</v>
          </cell>
          <cell r="F10" t="str">
            <v>Azure Web Site</v>
          </cell>
          <cell r="G10" t="str">
            <v>WIC 360 Hub</v>
          </cell>
          <cell r="H10" t="str">
            <v>PaaS</v>
          </cell>
          <cell r="I10" t="str">
            <v>Other</v>
          </cell>
          <cell r="J10" t="str">
            <v>Azure Web Role for hosting portal pages for the program and other anonymous or authenticated pages.</v>
          </cell>
          <cell r="K10" t="str">
            <v>Minute</v>
          </cell>
          <cell r="L10" t="str">
            <v>MOSG</v>
          </cell>
          <cell r="M10" t="str">
            <v>M9</v>
          </cell>
          <cell r="N10" t="str">
            <v>20 Basic</v>
          </cell>
          <cell r="P10" t="e">
            <v>#VALUE!</v>
          </cell>
        </row>
        <row r="11">
          <cell r="A11" t="str">
            <v>SW10</v>
          </cell>
          <cell r="B11" t="str">
            <v>CRMOLG1</v>
          </cell>
          <cell r="C11" t="str">
            <v>All</v>
          </cell>
          <cell r="D11" t="str">
            <v>MSFT</v>
          </cell>
          <cell r="E11" t="str">
            <v>User</v>
          </cell>
          <cell r="F11" t="str">
            <v>SharePoint Online Plan 1G (User SL)</v>
          </cell>
          <cell r="G11" t="str">
            <v>MIS</v>
          </cell>
          <cell r="H11" t="str">
            <v>Gov</v>
          </cell>
          <cell r="I11" t="str">
            <v>Other</v>
          </cell>
          <cell r="J11" t="str">
            <v>The primary transactional system for the WIC 360 Solution.</v>
          </cell>
          <cell r="K11" t="str">
            <v>Annual</v>
          </cell>
          <cell r="L11" t="str">
            <v>MOSG</v>
          </cell>
          <cell r="M11" t="str">
            <v>M17</v>
          </cell>
          <cell r="N11" t="str">
            <v xml:space="preserve">3000 users (TX)
300 users (LA)
300 users (NM)
</v>
          </cell>
        </row>
        <row r="12">
          <cell r="A12" t="str">
            <v>SW11</v>
          </cell>
          <cell r="B12" t="str">
            <v>MOCA Client</v>
          </cell>
          <cell r="C12" t="str">
            <v>All</v>
          </cell>
          <cell r="D12" t="str">
            <v>MSFT</v>
          </cell>
          <cell r="E12" t="str">
            <v>NA</v>
          </cell>
          <cell r="F12" t="str">
            <v>Microsoft Dynamics CRM MOCA Client</v>
          </cell>
          <cell r="G12" t="str">
            <v>Clinic</v>
          </cell>
          <cell r="H12" t="str">
            <v>CRM 2013</v>
          </cell>
          <cell r="I12" t="str">
            <v>Other</v>
          </cell>
          <cell r="J12" t="str">
            <v>This will be used for Mobile and tablet device access to Dynamics CRM Online.</v>
          </cell>
          <cell r="K12" t="str">
            <v>NA</v>
          </cell>
          <cell r="L12" t="str">
            <v>Windows Phone, Apple, Android</v>
          </cell>
          <cell r="M12" t="str">
            <v>M9</v>
          </cell>
        </row>
        <row r="13">
          <cell r="A13" t="str">
            <v>SW12</v>
          </cell>
          <cell r="B13" t="str">
            <v>O365 PowerBI</v>
          </cell>
          <cell r="C13" t="str">
            <v>All</v>
          </cell>
          <cell r="D13" t="str">
            <v>MSFT</v>
          </cell>
          <cell r="E13" t="str">
            <v>User</v>
          </cell>
          <cell r="F13" t="str">
            <v>Power BI for Office 365</v>
          </cell>
          <cell r="G13" t="str">
            <v>MIS</v>
          </cell>
          <cell r="H13" t="str">
            <v>SaaS</v>
          </cell>
          <cell r="I13" t="str">
            <v>Data Warehouse</v>
          </cell>
          <cell r="J13" t="str">
            <v>Power BI will be the analitic and reporting solution for many of the reporting requirements.</v>
          </cell>
          <cell r="K13" t="str">
            <v>Annual</v>
          </cell>
          <cell r="M13" t="str">
            <v>M9</v>
          </cell>
        </row>
        <row r="14">
          <cell r="A14" t="str">
            <v>SW13</v>
          </cell>
          <cell r="B14" t="str">
            <v>SPOLG</v>
          </cell>
          <cell r="C14" t="str">
            <v>All</v>
          </cell>
          <cell r="D14" t="str">
            <v>MSFT</v>
          </cell>
          <cell r="E14" t="str">
            <v>User</v>
          </cell>
          <cell r="F14" t="str">
            <v>O365 SharePoint Online</v>
          </cell>
          <cell r="G14" t="str">
            <v>MIS</v>
          </cell>
          <cell r="H14" t="str">
            <v>Gov</v>
          </cell>
          <cell r="I14" t="str">
            <v>Other</v>
          </cell>
          <cell r="J14" t="str">
            <v>Sharepoint online 2013 will be used for CRM online document Management and the knowledge base for the WIC 360 Services</v>
          </cell>
          <cell r="K14" t="str">
            <v>Annual</v>
          </cell>
          <cell r="L14" t="str">
            <v>MOSG</v>
          </cell>
          <cell r="M14" t="str">
            <v>M17</v>
          </cell>
          <cell r="N14" t="str">
            <v xml:space="preserve">3000 users (TX)
300 users (LA)
300 users (NM)
50 users (WIC 365)
</v>
          </cell>
          <cell r="P14" t="e">
            <v>#VALUE!</v>
          </cell>
        </row>
        <row r="15">
          <cell r="A15" t="str">
            <v>SW14</v>
          </cell>
          <cell r="B15" t="str">
            <v xml:space="preserve">SQL Express </v>
          </cell>
          <cell r="C15" t="str">
            <v>All</v>
          </cell>
          <cell r="D15" t="str">
            <v>MSFT</v>
          </cell>
          <cell r="E15" t="str">
            <v>NA</v>
          </cell>
          <cell r="F15" t="str">
            <v xml:space="preserve">SQL Server </v>
          </cell>
          <cell r="G15" t="str">
            <v>Clinic</v>
          </cell>
          <cell r="H15" t="str">
            <v>2014 Express Edition</v>
          </cell>
          <cell r="I15" t="str">
            <v>DBMS</v>
          </cell>
          <cell r="J15" t="str">
            <v>Express Edition for the Disconnected Clinc's database system</v>
          </cell>
          <cell r="K15" t="str">
            <v>NA</v>
          </cell>
          <cell r="L15" t="str">
            <v>Win12 R2 or Greater</v>
          </cell>
          <cell r="M15" t="str">
            <v>M9</v>
          </cell>
          <cell r="O15">
            <v>0</v>
          </cell>
          <cell r="P15">
            <v>0</v>
          </cell>
        </row>
        <row r="16">
          <cell r="A16" t="str">
            <v>SW15</v>
          </cell>
          <cell r="B16" t="str">
            <v>SSCM</v>
          </cell>
          <cell r="C16" t="str">
            <v>All</v>
          </cell>
          <cell r="D16" t="str">
            <v>MSFT</v>
          </cell>
          <cell r="E16" t="str">
            <v>Core</v>
          </cell>
          <cell r="F16" t="str">
            <v>System Center  Configuration Manager</v>
          </cell>
          <cell r="H16">
            <v>2012</v>
          </cell>
          <cell r="I16" t="str">
            <v>ITSM</v>
          </cell>
          <cell r="J16" t="str">
            <v>Configuration repository for keeping track of software distributions and server configurations</v>
          </cell>
          <cell r="K16" t="str">
            <v>Annual</v>
          </cell>
          <cell r="L16" t="str">
            <v>Win12 R2 or Greater</v>
          </cell>
          <cell r="M16" t="str">
            <v>M9</v>
          </cell>
          <cell r="P16">
            <v>0</v>
          </cell>
        </row>
        <row r="17">
          <cell r="A17" t="str">
            <v>SW16</v>
          </cell>
          <cell r="B17" t="str">
            <v>Orchestrator</v>
          </cell>
          <cell r="C17" t="str">
            <v>All</v>
          </cell>
          <cell r="D17" t="str">
            <v>MSFT</v>
          </cell>
          <cell r="E17" t="str">
            <v>Core</v>
          </cell>
          <cell r="F17" t="str">
            <v>System Center  Orchistrator</v>
          </cell>
          <cell r="G17" t="str">
            <v>WIC 360 Hub</v>
          </cell>
          <cell r="H17">
            <v>2012</v>
          </cell>
          <cell r="I17" t="str">
            <v>ITSM</v>
          </cell>
          <cell r="J17" t="str">
            <v>Workflow Orchitestration as required in ITSM.</v>
          </cell>
          <cell r="K17" t="str">
            <v>Annual</v>
          </cell>
          <cell r="L17" t="str">
            <v>Win12 R2 or Greater</v>
          </cell>
          <cell r="M17" t="str">
            <v>M9</v>
          </cell>
          <cell r="P17">
            <v>0</v>
          </cell>
        </row>
        <row r="18">
          <cell r="A18" t="str">
            <v>SW17</v>
          </cell>
          <cell r="B18" t="str">
            <v>SCOM</v>
          </cell>
          <cell r="C18" t="str">
            <v>All</v>
          </cell>
          <cell r="D18" t="str">
            <v>MSFT</v>
          </cell>
          <cell r="E18" t="str">
            <v>Core</v>
          </cell>
          <cell r="F18" t="str">
            <v>System Center Operations Manager</v>
          </cell>
          <cell r="G18" t="str">
            <v>WIC 360 Hub</v>
          </cell>
          <cell r="H18">
            <v>2012</v>
          </cell>
          <cell r="I18" t="str">
            <v>ITSM</v>
          </cell>
          <cell r="J18" t="str">
            <v>Monitoring for the IaaS and WIC 360 components.</v>
          </cell>
          <cell r="K18" t="str">
            <v>Annual</v>
          </cell>
          <cell r="L18" t="str">
            <v>Win12 R2 or Greater</v>
          </cell>
          <cell r="M18" t="str">
            <v>M9</v>
          </cell>
          <cell r="P18">
            <v>0</v>
          </cell>
        </row>
        <row r="19">
          <cell r="A19" t="str">
            <v>SW18</v>
          </cell>
          <cell r="B19" t="str">
            <v>SC Portal</v>
          </cell>
          <cell r="C19" t="str">
            <v>All</v>
          </cell>
          <cell r="D19" t="str">
            <v>MSFT</v>
          </cell>
          <cell r="E19" t="str">
            <v>Core</v>
          </cell>
          <cell r="F19" t="str">
            <v>System Center Portal</v>
          </cell>
          <cell r="G19" t="str">
            <v>WIC 360 Hub</v>
          </cell>
          <cell r="H19">
            <v>2012</v>
          </cell>
          <cell r="I19" t="str">
            <v>ITSM</v>
          </cell>
          <cell r="J19" t="str">
            <v>Interface for administrators</v>
          </cell>
          <cell r="K19" t="str">
            <v>Annual</v>
          </cell>
          <cell r="L19" t="str">
            <v>Win12 R2 or Greater</v>
          </cell>
          <cell r="M19" t="str">
            <v>M9</v>
          </cell>
          <cell r="P19">
            <v>0</v>
          </cell>
        </row>
        <row r="20">
          <cell r="A20" t="str">
            <v>SW19</v>
          </cell>
          <cell r="B20" t="str">
            <v>SCSM</v>
          </cell>
          <cell r="C20" t="str">
            <v>All</v>
          </cell>
          <cell r="D20" t="str">
            <v>MSFT</v>
          </cell>
          <cell r="E20" t="str">
            <v>Core</v>
          </cell>
          <cell r="F20" t="str">
            <v>System Center Service Manager</v>
          </cell>
          <cell r="G20" t="str">
            <v>WIC 360 Hub</v>
          </cell>
          <cell r="H20">
            <v>2012</v>
          </cell>
          <cell r="I20" t="str">
            <v>ITSM</v>
          </cell>
          <cell r="J20" t="str">
            <v>Helpdesk incident, problem, and change management system to support WIC 360.</v>
          </cell>
          <cell r="K20" t="str">
            <v>Annual</v>
          </cell>
          <cell r="L20" t="str">
            <v>Win12 R2 or Greater</v>
          </cell>
          <cell r="M20" t="str">
            <v>M9</v>
          </cell>
          <cell r="P20">
            <v>0</v>
          </cell>
        </row>
        <row r="21">
          <cell r="A21" t="str">
            <v>SW20</v>
          </cell>
          <cell r="B21" t="str">
            <v>SCVMM</v>
          </cell>
          <cell r="C21" t="str">
            <v>All</v>
          </cell>
          <cell r="D21" t="str">
            <v>MSFT</v>
          </cell>
          <cell r="E21" t="str">
            <v>Core</v>
          </cell>
          <cell r="F21" t="str">
            <v>System Center Virtual Machine Manager</v>
          </cell>
          <cell r="G21" t="str">
            <v>WIC 360 Hub</v>
          </cell>
          <cell r="H21">
            <v>2012</v>
          </cell>
          <cell r="I21" t="str">
            <v>ITSM</v>
          </cell>
          <cell r="J21" t="str">
            <v>Virtual Machine Manager will be used to deploy servers in the environment as required.</v>
          </cell>
          <cell r="K21" t="str">
            <v>Core</v>
          </cell>
          <cell r="L21" t="str">
            <v>Win12 R2 or Greater</v>
          </cell>
          <cell r="M21" t="str">
            <v>M9</v>
          </cell>
          <cell r="P21">
            <v>0</v>
          </cell>
        </row>
        <row r="22">
          <cell r="A22" t="str">
            <v>SW21</v>
          </cell>
          <cell r="B22" t="str">
            <v>WSUS</v>
          </cell>
          <cell r="C22" t="str">
            <v>All</v>
          </cell>
          <cell r="D22" t="str">
            <v>MSFT</v>
          </cell>
          <cell r="E22" t="str">
            <v>Core</v>
          </cell>
          <cell r="F22" t="str">
            <v>System Center Windows Server Update Service</v>
          </cell>
          <cell r="G22" t="str">
            <v>WIC 360 Hub</v>
          </cell>
          <cell r="H22">
            <v>2012</v>
          </cell>
          <cell r="I22" t="str">
            <v>ITSM</v>
          </cell>
          <cell r="J22" t="str">
            <v>Windows Software Update Service will keep the IaaS infrastructure current as required.</v>
          </cell>
          <cell r="K22" t="str">
            <v>Core</v>
          </cell>
          <cell r="L22" t="str">
            <v>Win12 R2 or Greater</v>
          </cell>
          <cell r="M22" t="str">
            <v>M9</v>
          </cell>
          <cell r="P22">
            <v>0</v>
          </cell>
        </row>
        <row r="23">
          <cell r="A23" t="str">
            <v>SW22</v>
          </cell>
          <cell r="B23" t="str">
            <v>VSOL</v>
          </cell>
          <cell r="C23" t="str">
            <v>All</v>
          </cell>
          <cell r="D23" t="str">
            <v>MSFT</v>
          </cell>
          <cell r="E23" t="str">
            <v>User</v>
          </cell>
          <cell r="F23" t="str">
            <v>Visual Studio Online</v>
          </cell>
          <cell r="G23" t="str">
            <v>WIC 360 Hub</v>
          </cell>
          <cell r="H23" t="str">
            <v>SaaS</v>
          </cell>
          <cell r="I23" t="str">
            <v>Other</v>
          </cell>
          <cell r="J23" t="str">
            <v>Azure Visual Studio Online is the code repository for the WIC 360 solution</v>
          </cell>
          <cell r="K23" t="str">
            <v>User</v>
          </cell>
          <cell r="L23" t="str">
            <v>MOSG</v>
          </cell>
          <cell r="M23" t="str">
            <v>M9</v>
          </cell>
          <cell r="P23">
            <v>0</v>
          </cell>
        </row>
        <row r="24">
          <cell r="A24" t="str">
            <v>SW23</v>
          </cell>
          <cell r="B24" t="str">
            <v>ADFS, ADDS, ADCS</v>
          </cell>
          <cell r="D24" t="str">
            <v>MSFT</v>
          </cell>
          <cell r="E24" t="str">
            <v>Server</v>
          </cell>
          <cell r="F24" t="str">
            <v>Windows Active Directory</v>
          </cell>
          <cell r="G24" t="str">
            <v>WIC 360 Hub</v>
          </cell>
          <cell r="H24" t="str">
            <v>2012 R2</v>
          </cell>
          <cell r="I24" t="str">
            <v>Other</v>
          </cell>
          <cell r="J24" t="str">
            <v>Active Directory Domain Services, Federated Services, Certificate Services to manage the WIC 360 helpdesk, federate identtiy management for access to the data hosted in the WIC 360 Hub, provide certificate servcies to provide secure communications between hosts and services.</v>
          </cell>
          <cell r="K24" t="str">
            <v>Minute</v>
          </cell>
          <cell r="L24" t="str">
            <v>Win12 R2 or Greater</v>
          </cell>
          <cell r="M24" t="str">
            <v>M9</v>
          </cell>
          <cell r="P24">
            <v>0</v>
          </cell>
        </row>
        <row r="25">
          <cell r="A25" t="str">
            <v>SW24</v>
          </cell>
          <cell r="B25" t="str">
            <v>RAS</v>
          </cell>
          <cell r="D25" t="str">
            <v>MSFT</v>
          </cell>
          <cell r="E25" t="str">
            <v>NA</v>
          </cell>
          <cell r="F25" t="str">
            <v>Windows Remote Access Service</v>
          </cell>
          <cell r="G25" t="str">
            <v>WIC 360 Hub</v>
          </cell>
          <cell r="H25">
            <v>2012</v>
          </cell>
          <cell r="I25" t="str">
            <v>Other</v>
          </cell>
          <cell r="J25" t="str">
            <v>Remote Access Servcies will abstract the internal network in WIC 360 with the ADFS Proxy Server, and provide secure access to Data Analysis tools by power users.</v>
          </cell>
          <cell r="K25" t="str">
            <v>NA</v>
          </cell>
          <cell r="L25" t="str">
            <v>Win12 R2 or Greater</v>
          </cell>
          <cell r="M25" t="str">
            <v>M9</v>
          </cell>
          <cell r="P25">
            <v>0</v>
          </cell>
        </row>
        <row r="26">
          <cell r="A26" t="str">
            <v>SW25</v>
          </cell>
          <cell r="B26" t="str">
            <v>Windows Server</v>
          </cell>
          <cell r="D26" t="str">
            <v>MSFT</v>
          </cell>
          <cell r="E26" t="str">
            <v>Core</v>
          </cell>
          <cell r="F26" t="str">
            <v>Windows Server</v>
          </cell>
          <cell r="G26" t="str">
            <v>WIC 360 Hub</v>
          </cell>
          <cell r="H26" t="str">
            <v>2012 R2 Data Center</v>
          </cell>
          <cell r="I26" t="str">
            <v>Other</v>
          </cell>
          <cell r="J26" t="str">
            <v>The premium operating system for all of the Virtual machine instances in Azure and all of the disconnected clinic's minimum requirements.</v>
          </cell>
          <cell r="K26" t="str">
            <v>Minute</v>
          </cell>
          <cell r="L26" t="str">
            <v>Win12 R2 or Greater</v>
          </cell>
          <cell r="M26" t="str">
            <v>M9</v>
          </cell>
          <cell r="P26">
            <v>0</v>
          </cell>
        </row>
        <row r="27">
          <cell r="A27" t="str">
            <v>SW26</v>
          </cell>
          <cell r="B27" t="str">
            <v>WASB</v>
          </cell>
          <cell r="D27" t="str">
            <v>MSFT</v>
          </cell>
          <cell r="E27" t="str">
            <v>Subscription</v>
          </cell>
          <cell r="F27" t="str">
            <v>Windows Service Bus</v>
          </cell>
          <cell r="G27" t="str">
            <v>Clinic</v>
          </cell>
          <cell r="H27" t="str">
            <v>2012 R2 Data Center</v>
          </cell>
          <cell r="I27" t="str">
            <v>Other</v>
          </cell>
          <cell r="J27" t="str">
            <v>A message queue for Odata and other RESTful modern messaging.</v>
          </cell>
          <cell r="K27" t="str">
            <v>NA</v>
          </cell>
          <cell r="L27" t="str">
            <v>Win12 R2 or Greater</v>
          </cell>
          <cell r="M27" t="str">
            <v>M9</v>
          </cell>
          <cell r="P27">
            <v>0</v>
          </cell>
        </row>
        <row r="28">
          <cell r="A28" t="str">
            <v>sw27</v>
          </cell>
          <cell r="B28" t="str">
            <v>WASQLIaaS-Ent</v>
          </cell>
          <cell r="C28" t="str">
            <v>Production</v>
          </cell>
          <cell r="D28" t="str">
            <v>MSFT</v>
          </cell>
          <cell r="E28" t="str">
            <v>Core</v>
          </cell>
          <cell r="F28" t="str">
            <v>Microsoft SQL Server Enterprise Edition</v>
          </cell>
          <cell r="G28" t="str">
            <v>WIC 360 Hub</v>
          </cell>
          <cell r="H28">
            <v>2014</v>
          </cell>
          <cell r="I28" t="str">
            <v>Data Warehouse</v>
          </cell>
          <cell r="M28" t="e">
            <v>#NAME?</v>
          </cell>
        </row>
        <row r="29">
          <cell r="A29" t="str">
            <v>sw28</v>
          </cell>
          <cell r="B29" t="str">
            <v>WASQLIaaS-Stnd</v>
          </cell>
          <cell r="C29" t="str">
            <v>Production</v>
          </cell>
          <cell r="D29" t="str">
            <v>MSFT</v>
          </cell>
          <cell r="E29" t="str">
            <v>Core</v>
          </cell>
          <cell r="F29" t="str">
            <v>Microsoft SQL Server, Standard Edition</v>
          </cell>
          <cell r="G29" t="str">
            <v>WIC 360 Hub</v>
          </cell>
          <cell r="H29" t="str">
            <v>Standard</v>
          </cell>
          <cell r="I29" t="str">
            <v>Reporting</v>
          </cell>
          <cell r="P29">
            <v>0</v>
          </cell>
        </row>
        <row r="30">
          <cell r="A30" t="str">
            <v>sw29</v>
          </cell>
          <cell r="B30" t="str">
            <v>MSDN Ultimate Subscription</v>
          </cell>
          <cell r="C30" t="str">
            <v>Pre-Production</v>
          </cell>
          <cell r="D30" t="str">
            <v>MSFT</v>
          </cell>
          <cell r="E30" t="str">
            <v>User</v>
          </cell>
          <cell r="F30" t="str">
            <v>Visual Studio Ultimate 2013 with MSDN</v>
          </cell>
          <cell r="G30" t="str">
            <v>WIC 360 Hub</v>
          </cell>
          <cell r="J30" t="str">
            <v>Preprodcution instances of WIC 360.</v>
          </cell>
          <cell r="P30">
            <v>0</v>
          </cell>
        </row>
        <row r="31">
          <cell r="A31" t="str">
            <v>sw30</v>
          </cell>
          <cell r="B31" t="str">
            <v>CRM-E</v>
          </cell>
          <cell r="F31" t="str">
            <v xml:space="preserve">Microsoft Dynamics CRM Online Essential (User SL) </v>
          </cell>
          <cell r="H31" t="str">
            <v>Essential</v>
          </cell>
          <cell r="J31" t="str">
            <v>Microsoft Dynamics CRM Essentials CAL (Device and User)</v>
          </cell>
          <cell r="P31">
            <v>0</v>
          </cell>
        </row>
        <row r="32">
          <cell r="A32" t="str">
            <v>sw31</v>
          </cell>
          <cell r="B32" t="str">
            <v>CRM-B</v>
          </cell>
          <cell r="F32" t="str">
            <v>Microsoft Dynamics CRM Online Basic (User SL)</v>
          </cell>
          <cell r="H32" t="str">
            <v>Basic</v>
          </cell>
          <cell r="P32">
            <v>0</v>
          </cell>
        </row>
        <row r="33">
          <cell r="A33" t="str">
            <v>sw32</v>
          </cell>
          <cell r="B33" t="str">
            <v>CRM-P</v>
          </cell>
          <cell r="F33" t="str">
            <v>Microsoft Dynamics CRM Online Professional for Government (User SL)</v>
          </cell>
          <cell r="H33" t="str">
            <v>Professional</v>
          </cell>
          <cell r="P33">
            <v>0</v>
          </cell>
        </row>
        <row r="34">
          <cell r="A34" t="str">
            <v>sw33</v>
          </cell>
          <cell r="B34" t="str">
            <v>AAD-B</v>
          </cell>
          <cell r="F34" t="str">
            <v>Micrsoft Azure Active Directory, Basic</v>
          </cell>
          <cell r="H34" t="str">
            <v>Basic</v>
          </cell>
          <cell r="P34">
            <v>0</v>
          </cell>
        </row>
        <row r="35">
          <cell r="A35" t="str">
            <v>sw34</v>
          </cell>
          <cell r="B35" t="str">
            <v>O365-K1</v>
          </cell>
          <cell r="F35" t="str">
            <v>Microsoft Office 365, K1</v>
          </cell>
          <cell r="H35" t="str">
            <v>K1</v>
          </cell>
          <cell r="P35">
            <v>0</v>
          </cell>
        </row>
        <row r="36">
          <cell r="A36" t="str">
            <v>sw35</v>
          </cell>
          <cell r="B36" t="str">
            <v>O365-E3</v>
          </cell>
          <cell r="F36" t="str">
            <v>Microsoft Office 365, E3</v>
          </cell>
          <cell r="H36" t="str">
            <v>E3</v>
          </cell>
          <cell r="P36">
            <v>0</v>
          </cell>
        </row>
        <row r="37">
          <cell r="A37" t="str">
            <v>sw36</v>
          </cell>
          <cell r="B37" t="str">
            <v>AAD-F</v>
          </cell>
          <cell r="F37" t="str">
            <v>Micrsoft Azure Active Directory</v>
          </cell>
          <cell r="H37" t="str">
            <v>Free</v>
          </cell>
          <cell r="P37">
            <v>0</v>
          </cell>
        </row>
        <row r="38">
          <cell r="A38" t="str">
            <v>sw37</v>
          </cell>
          <cell r="B38" t="str">
            <v>WinAzure</v>
          </cell>
          <cell r="F38" t="str">
            <v>Microsoft Azure Windows Server</v>
          </cell>
          <cell r="H38" t="str">
            <v>IaaS</v>
          </cell>
          <cell r="P38">
            <v>0</v>
          </cell>
        </row>
        <row r="39">
          <cell r="A39" t="str">
            <v>sw38</v>
          </cell>
          <cell r="B39" t="str">
            <v>SharePoint</v>
          </cell>
          <cell r="C39" t="str">
            <v>all</v>
          </cell>
          <cell r="D39" t="str">
            <v>MSFT</v>
          </cell>
          <cell r="E39" t="str">
            <v>Core</v>
          </cell>
          <cell r="F39" t="str">
            <v>SharePoint Server 2013</v>
          </cell>
          <cell r="H39">
            <v>2013</v>
          </cell>
          <cell r="I39" t="str">
            <v>Collaboration</v>
          </cell>
          <cell r="L39" t="str">
            <v>Win12 R2 or Greater</v>
          </cell>
          <cell r="M39" t="str">
            <v>M2</v>
          </cell>
          <cell r="P39">
            <v>0</v>
          </cell>
        </row>
        <row r="40">
          <cell r="A40" t="str">
            <v>sw39</v>
          </cell>
          <cell r="B40" t="str">
            <v>CRM-NonProd</v>
          </cell>
          <cell r="F40" t="str">
            <v>Microsoft Dynamics CRM Online Non-Production Instance (Add-on SL)</v>
          </cell>
          <cell r="P40">
            <v>0</v>
          </cell>
        </row>
        <row r="41">
          <cell r="A41" t="str">
            <v>sw40</v>
          </cell>
          <cell r="B41" t="str">
            <v>AzureBU</v>
          </cell>
          <cell r="F41" t="str">
            <v>Microsoft Azure Backup</v>
          </cell>
          <cell r="J41" t="str">
            <v>Governement Instance of SharePoint Online</v>
          </cell>
          <cell r="P41">
            <v>0</v>
          </cell>
        </row>
        <row r="42">
          <cell r="A42" t="str">
            <v>sw41</v>
          </cell>
          <cell r="B42" t="str">
            <v>AzureSrv</v>
          </cell>
          <cell r="F42" t="str">
            <v>Microsoft Azure Services</v>
          </cell>
          <cell r="P42">
            <v>0</v>
          </cell>
        </row>
        <row r="43">
          <cell r="A43" t="str">
            <v>sw42</v>
          </cell>
          <cell r="B43" t="str">
            <v>SC-OSE</v>
          </cell>
          <cell r="F43" t="str">
            <v>System Center 2012 R2 Client Management Suite (Client ML) per OSE</v>
          </cell>
          <cell r="J43" t="str">
            <v>2 Cores per license for the machine</v>
          </cell>
          <cell r="P43">
            <v>0</v>
          </cell>
        </row>
        <row r="44">
          <cell r="A44" t="str">
            <v>sw43</v>
          </cell>
          <cell r="B44" t="str">
            <v>SPS-Ecal</v>
          </cell>
          <cell r="F44" t="str">
            <v>SharePoint Server 2013 Enterprise CAL (Device and User)</v>
          </cell>
          <cell r="P44">
            <v>0</v>
          </cell>
        </row>
        <row r="45">
          <cell r="A45" t="str">
            <v>sw44</v>
          </cell>
          <cell r="P45">
            <v>0</v>
          </cell>
        </row>
      </sheetData>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ow r="1">
          <cell r="D1" t="str">
            <v>SiteName (Computed)</v>
          </cell>
          <cell r="E1" t="str">
            <v>Title</v>
          </cell>
          <cell r="F1" t="str">
            <v>Tier</v>
          </cell>
          <cell r="G1" t="str">
            <v>Description</v>
          </cell>
          <cell r="H1" t="str">
            <v>IP Summary</v>
          </cell>
          <cell r="I1" t="str">
            <v>IP</v>
          </cell>
          <cell r="J1" t="str">
            <v>Subnet</v>
          </cell>
          <cell r="K1" t="str">
            <v>OCTECT1</v>
          </cell>
          <cell r="L1" t="str">
            <v>OCTECT2</v>
          </cell>
          <cell r="M1" t="str">
            <v>OCTECT3</v>
          </cell>
        </row>
        <row r="2">
          <cell r="D2" t="str">
            <v>g1</v>
          </cell>
          <cell r="E2" t="str">
            <v>Web</v>
          </cell>
          <cell r="F2">
            <v>0</v>
          </cell>
          <cell r="G2" t="str">
            <v>HTTP and HTTPS services</v>
          </cell>
          <cell r="H2" t="str">
            <v>x.x.2.0</v>
          </cell>
          <cell r="I2" t="str">
            <v>10.11.2.0</v>
          </cell>
          <cell r="J2" t="str">
            <v>/24</v>
          </cell>
          <cell r="K2">
            <v>10</v>
          </cell>
          <cell r="L2">
            <v>11</v>
          </cell>
          <cell r="M2">
            <v>2</v>
          </cell>
        </row>
        <row r="3">
          <cell r="D3" t="str">
            <v>g1</v>
          </cell>
          <cell r="E3" t="str">
            <v>App</v>
          </cell>
          <cell r="F3">
            <v>2</v>
          </cell>
          <cell r="G3" t="str">
            <v>Web Services, OEM applications</v>
          </cell>
          <cell r="H3" t="str">
            <v>x.x.4.0</v>
          </cell>
          <cell r="I3" t="str">
            <v>10.11.4.0</v>
          </cell>
          <cell r="J3" t="str">
            <v>/24</v>
          </cell>
          <cell r="K3">
            <v>10</v>
          </cell>
          <cell r="L3">
            <v>11</v>
          </cell>
          <cell r="M3">
            <v>4</v>
          </cell>
        </row>
        <row r="4">
          <cell r="D4" t="str">
            <v>g1</v>
          </cell>
          <cell r="E4" t="str">
            <v>Database</v>
          </cell>
          <cell r="F4">
            <v>1</v>
          </cell>
          <cell r="G4" t="str">
            <v>Data for Applications</v>
          </cell>
          <cell r="H4" t="str">
            <v>x.x.6.0</v>
          </cell>
          <cell r="I4" t="str">
            <v>10.11.6.0</v>
          </cell>
          <cell r="J4" t="str">
            <v>/24</v>
          </cell>
          <cell r="K4">
            <v>10</v>
          </cell>
          <cell r="L4">
            <v>11</v>
          </cell>
          <cell r="M4">
            <v>6</v>
          </cell>
        </row>
        <row r="5">
          <cell r="D5" t="str">
            <v>g1</v>
          </cell>
          <cell r="E5" t="str">
            <v>DMZ</v>
          </cell>
          <cell r="F5">
            <v>1</v>
          </cell>
          <cell r="G5" t="str">
            <v>Internet EndPoint Machines</v>
          </cell>
          <cell r="H5" t="str">
            <v>x.x.7.0</v>
          </cell>
          <cell r="I5" t="str">
            <v>10.11.7.0</v>
          </cell>
          <cell r="J5" t="str">
            <v>/24</v>
          </cell>
          <cell r="K5">
            <v>10</v>
          </cell>
          <cell r="L5">
            <v>11</v>
          </cell>
          <cell r="M5">
            <v>7</v>
          </cell>
        </row>
        <row r="6">
          <cell r="D6" t="str">
            <v>g1</v>
          </cell>
          <cell r="E6" t="str">
            <v>Web</v>
          </cell>
          <cell r="G6" t="str">
            <v>HTTP and HTTPS services</v>
          </cell>
          <cell r="H6" t="str">
            <v>x.x.8.0</v>
          </cell>
          <cell r="I6" t="str">
            <v>10.11.8.0</v>
          </cell>
          <cell r="J6" t="str">
            <v>/24</v>
          </cell>
          <cell r="K6">
            <v>10</v>
          </cell>
          <cell r="L6">
            <v>11</v>
          </cell>
          <cell r="M6">
            <v>8</v>
          </cell>
        </row>
        <row r="7">
          <cell r="D7" t="str">
            <v>g1</v>
          </cell>
          <cell r="E7" t="str">
            <v>App</v>
          </cell>
          <cell r="G7" t="str">
            <v>Web Services, OEM applications</v>
          </cell>
          <cell r="H7" t="str">
            <v>x.x.104.0</v>
          </cell>
          <cell r="I7" t="str">
            <v>10.11.104.0</v>
          </cell>
          <cell r="J7" t="str">
            <v>/24</v>
          </cell>
          <cell r="K7">
            <v>10</v>
          </cell>
          <cell r="L7">
            <v>11</v>
          </cell>
          <cell r="M7">
            <v>104</v>
          </cell>
        </row>
        <row r="8">
          <cell r="D8" t="str">
            <v>g1</v>
          </cell>
          <cell r="E8" t="str">
            <v>Database</v>
          </cell>
          <cell r="G8" t="str">
            <v>Data for Applications</v>
          </cell>
          <cell r="H8" t="str">
            <v>x.x.106.0</v>
          </cell>
          <cell r="I8" t="str">
            <v>10.11.106.0</v>
          </cell>
          <cell r="J8" t="str">
            <v>/24</v>
          </cell>
          <cell r="K8">
            <v>10</v>
          </cell>
          <cell r="L8">
            <v>11</v>
          </cell>
          <cell r="M8">
            <v>106</v>
          </cell>
        </row>
        <row r="9">
          <cell r="D9" t="str">
            <v>g1</v>
          </cell>
          <cell r="E9" t="str">
            <v>DMZ</v>
          </cell>
          <cell r="G9" t="str">
            <v>Internet EndPoint Machines</v>
          </cell>
          <cell r="H9" t="str">
            <v>x.x.108.0</v>
          </cell>
          <cell r="I9" t="str">
            <v>10.11.108.0</v>
          </cell>
          <cell r="J9" t="str">
            <v>/24</v>
          </cell>
          <cell r="K9">
            <v>10</v>
          </cell>
          <cell r="L9">
            <v>11</v>
          </cell>
          <cell r="M9">
            <v>108</v>
          </cell>
        </row>
        <row r="10">
          <cell r="D10" t="str">
            <v>g1</v>
          </cell>
          <cell r="E10" t="str">
            <v>Web</v>
          </cell>
          <cell r="G10" t="str">
            <v>HTTP and HTTPS services</v>
          </cell>
          <cell r="H10" t="str">
            <v>x.x.112.0</v>
          </cell>
          <cell r="I10" t="str">
            <v>10.11.112.0</v>
          </cell>
          <cell r="J10" t="str">
            <v>/24</v>
          </cell>
          <cell r="K10">
            <v>10</v>
          </cell>
          <cell r="L10">
            <v>11</v>
          </cell>
          <cell r="M10">
            <v>112</v>
          </cell>
        </row>
        <row r="11">
          <cell r="D11" t="str">
            <v>g1</v>
          </cell>
          <cell r="E11" t="str">
            <v>App</v>
          </cell>
          <cell r="G11" t="str">
            <v>Web Services, OEM applications</v>
          </cell>
          <cell r="H11" t="str">
            <v>x.x.114.0</v>
          </cell>
          <cell r="I11" t="str">
            <v>10.11.114.0</v>
          </cell>
          <cell r="J11" t="str">
            <v>/24</v>
          </cell>
          <cell r="K11">
            <v>10</v>
          </cell>
          <cell r="L11">
            <v>11</v>
          </cell>
          <cell r="M11">
            <v>114</v>
          </cell>
        </row>
        <row r="12">
          <cell r="D12" t="str">
            <v>g1</v>
          </cell>
          <cell r="E12" t="str">
            <v>Database</v>
          </cell>
          <cell r="G12" t="str">
            <v>Data for Applications</v>
          </cell>
          <cell r="H12" t="str">
            <v>x.x.116.0</v>
          </cell>
          <cell r="I12" t="str">
            <v>10.11.116.0</v>
          </cell>
          <cell r="J12" t="str">
            <v>/24</v>
          </cell>
          <cell r="K12">
            <v>10</v>
          </cell>
          <cell r="L12">
            <v>11</v>
          </cell>
          <cell r="M12">
            <v>116</v>
          </cell>
        </row>
        <row r="13">
          <cell r="D13" t="str">
            <v>g1</v>
          </cell>
          <cell r="E13" t="str">
            <v>DMZ</v>
          </cell>
          <cell r="G13" t="str">
            <v>Internet EndPoint Machines</v>
          </cell>
          <cell r="H13" t="str">
            <v>x.x.120.0</v>
          </cell>
          <cell r="I13" t="str">
            <v>10.11.120.0</v>
          </cell>
          <cell r="J13" t="str">
            <v>/24</v>
          </cell>
          <cell r="K13">
            <v>10</v>
          </cell>
          <cell r="L13">
            <v>11</v>
          </cell>
          <cell r="M13">
            <v>120</v>
          </cell>
        </row>
        <row r="14">
          <cell r="D14" t="str">
            <v>g1</v>
          </cell>
          <cell r="E14" t="str">
            <v>Web</v>
          </cell>
          <cell r="G14" t="str">
            <v>HTTP and HTTPS services</v>
          </cell>
          <cell r="H14" t="str">
            <v>x.x.128.0</v>
          </cell>
          <cell r="I14" t="str">
            <v>10.11.128.0</v>
          </cell>
          <cell r="J14" t="str">
            <v>/24</v>
          </cell>
          <cell r="K14">
            <v>10</v>
          </cell>
          <cell r="L14">
            <v>11</v>
          </cell>
          <cell r="M14">
            <v>128</v>
          </cell>
        </row>
        <row r="15">
          <cell r="D15" t="str">
            <v>g1</v>
          </cell>
          <cell r="E15" t="str">
            <v>App</v>
          </cell>
          <cell r="G15" t="str">
            <v>Web Services, OEM applications</v>
          </cell>
          <cell r="H15" t="str">
            <v>x.x.132.0</v>
          </cell>
          <cell r="I15" t="str">
            <v>10.11.132.0</v>
          </cell>
          <cell r="J15" t="str">
            <v>/24</v>
          </cell>
          <cell r="K15">
            <v>10</v>
          </cell>
          <cell r="L15">
            <v>11</v>
          </cell>
          <cell r="M15">
            <v>132</v>
          </cell>
        </row>
        <row r="16">
          <cell r="D16" t="str">
            <v>g1</v>
          </cell>
          <cell r="E16" t="str">
            <v>Database</v>
          </cell>
          <cell r="G16" t="str">
            <v>Data for Applications</v>
          </cell>
          <cell r="H16" t="str">
            <v>x.x.134.0</v>
          </cell>
          <cell r="I16" t="str">
            <v>10.11.134.0</v>
          </cell>
          <cell r="J16" t="str">
            <v>/24</v>
          </cell>
          <cell r="K16">
            <v>10</v>
          </cell>
          <cell r="L16">
            <v>11</v>
          </cell>
          <cell r="M16">
            <v>134</v>
          </cell>
        </row>
        <row r="17">
          <cell r="D17" t="str">
            <v>g1</v>
          </cell>
          <cell r="E17" t="str">
            <v>DMZ</v>
          </cell>
          <cell r="G17" t="str">
            <v>Internet EndPoint Machines</v>
          </cell>
          <cell r="H17" t="str">
            <v>x.x.136.0</v>
          </cell>
          <cell r="I17" t="str">
            <v>10.11.136.0</v>
          </cell>
          <cell r="J17" t="str">
            <v>/24</v>
          </cell>
          <cell r="K17">
            <v>10</v>
          </cell>
          <cell r="L17">
            <v>11</v>
          </cell>
          <cell r="M17">
            <v>136</v>
          </cell>
        </row>
        <row r="18">
          <cell r="D18" t="str">
            <v>g1</v>
          </cell>
          <cell r="E18" t="str">
            <v>Administrators</v>
          </cell>
          <cell r="G18" t="str">
            <v>Services that are used by many vlans and environments</v>
          </cell>
          <cell r="H18" t="str">
            <v>10.42.128.0</v>
          </cell>
          <cell r="I18" t="str">
            <v>10.11.144.0</v>
          </cell>
          <cell r="J18" t="str">
            <v>/24</v>
          </cell>
          <cell r="K18">
            <v>10</v>
          </cell>
          <cell r="L18">
            <v>11</v>
          </cell>
          <cell r="M18">
            <v>144</v>
          </cell>
        </row>
        <row r="19">
          <cell r="D19" t="str">
            <v>g1</v>
          </cell>
          <cell r="E19" t="str">
            <v>Level 1</v>
          </cell>
          <cell r="G19" t="str">
            <v>DTAP</v>
          </cell>
          <cell r="H19" t="str">
            <v>x.x.148.0</v>
          </cell>
          <cell r="I19" t="str">
            <v>10.11.148.0</v>
          </cell>
          <cell r="J19" t="str">
            <v>/24</v>
          </cell>
          <cell r="K19">
            <v>10</v>
          </cell>
          <cell r="L19">
            <v>11</v>
          </cell>
          <cell r="M19">
            <v>148</v>
          </cell>
        </row>
        <row r="20">
          <cell r="D20" t="str">
            <v>g1</v>
          </cell>
          <cell r="E20" t="str">
            <v>Level 2</v>
          </cell>
          <cell r="G20" t="str">
            <v>Quaranteine</v>
          </cell>
          <cell r="H20" t="str">
            <v>10.42.132.0</v>
          </cell>
          <cell r="I20" t="str">
            <v>10.11.150.0</v>
          </cell>
          <cell r="J20" t="str">
            <v>/24</v>
          </cell>
          <cell r="K20">
            <v>10</v>
          </cell>
          <cell r="L20">
            <v>11</v>
          </cell>
          <cell r="M20">
            <v>150</v>
          </cell>
        </row>
        <row r="21">
          <cell r="D21" t="str">
            <v>g1</v>
          </cell>
          <cell r="E21" t="str">
            <v>Level 3</v>
          </cell>
          <cell r="G21" t="str">
            <v>Isolated PAW</v>
          </cell>
          <cell r="H21" t="str">
            <v>10.42.134.0</v>
          </cell>
          <cell r="I21" t="str">
            <v>10.11.152.0</v>
          </cell>
          <cell r="J21" t="str">
            <v>/24</v>
          </cell>
          <cell r="K21">
            <v>10</v>
          </cell>
          <cell r="L21">
            <v>11</v>
          </cell>
          <cell r="M21">
            <v>152</v>
          </cell>
        </row>
        <row r="22">
          <cell r="D22" t="str">
            <v>g1</v>
          </cell>
          <cell r="E22" t="str">
            <v>Level 4</v>
          </cell>
          <cell r="G22" t="str">
            <v>Corp Net</v>
          </cell>
          <cell r="H22" t="str">
            <v>10.42.136.0</v>
          </cell>
          <cell r="I22" t="str">
            <v>10.11.154.0</v>
          </cell>
          <cell r="J22" t="str">
            <v>/24</v>
          </cell>
          <cell r="K22">
            <v>10</v>
          </cell>
          <cell r="L22">
            <v>11</v>
          </cell>
          <cell r="M22">
            <v>154</v>
          </cell>
        </row>
        <row r="23">
          <cell r="D23" t="str">
            <v>g1</v>
          </cell>
          <cell r="E23" t="str">
            <v>Level 5</v>
          </cell>
          <cell r="G23" t="str">
            <v>DTAP</v>
          </cell>
          <cell r="H23" t="str">
            <v>10.42.128.0</v>
          </cell>
          <cell r="I23" t="str">
            <v>10.11.156.0</v>
          </cell>
          <cell r="J23" t="str">
            <v>/24</v>
          </cell>
          <cell r="K23">
            <v>10</v>
          </cell>
          <cell r="L23">
            <v>11</v>
          </cell>
          <cell r="M23">
            <v>156</v>
          </cell>
        </row>
        <row r="24">
          <cell r="D24" t="str">
            <v>g1</v>
          </cell>
          <cell r="E24" t="str">
            <v>Services</v>
          </cell>
          <cell r="G24" t="str">
            <v>Used to host highly sensitive data that is also highly accessed.</v>
          </cell>
          <cell r="H24" t="str">
            <v>x.x.160.0</v>
          </cell>
          <cell r="I24" t="str">
            <v>10.11.160.0</v>
          </cell>
          <cell r="J24" t="str">
            <v>/24</v>
          </cell>
          <cell r="K24">
            <v>10</v>
          </cell>
          <cell r="L24">
            <v>11</v>
          </cell>
          <cell r="M24">
            <v>160</v>
          </cell>
        </row>
        <row r="25">
          <cell r="D25" t="str">
            <v>g1</v>
          </cell>
          <cell r="E25" t="str">
            <v>DMZ</v>
          </cell>
          <cell r="G25" t="str">
            <v>Used to host public facing highly accecible workloads</v>
          </cell>
          <cell r="H25" t="str">
            <v>x.x.162.0</v>
          </cell>
          <cell r="I25" t="str">
            <v>10.11.162.0</v>
          </cell>
          <cell r="J25" t="str">
            <v>/24</v>
          </cell>
          <cell r="K25">
            <v>10</v>
          </cell>
          <cell r="L25">
            <v>11</v>
          </cell>
          <cell r="M25">
            <v>162</v>
          </cell>
        </row>
        <row r="26">
          <cell r="D26" t="str">
            <v>g1</v>
          </cell>
          <cell r="E26" t="str">
            <v>Level 4</v>
          </cell>
          <cell r="G26" t="str">
            <v>Corp Net</v>
          </cell>
          <cell r="K26">
            <v>42</v>
          </cell>
          <cell r="L26">
            <v>11</v>
          </cell>
        </row>
        <row r="27">
          <cell r="D27" t="str">
            <v>g1</v>
          </cell>
          <cell r="E27" t="str">
            <v>TBD</v>
          </cell>
          <cell r="G27" t="str">
            <v>Reserved for Future Consideration</v>
          </cell>
          <cell r="H27" t="str">
            <v>x.x.192.0</v>
          </cell>
          <cell r="I27" t="str">
            <v>10.11.192.0</v>
          </cell>
          <cell r="J27" t="str">
            <v>/19</v>
          </cell>
          <cell r="K27">
            <v>10</v>
          </cell>
          <cell r="L27">
            <v>11</v>
          </cell>
          <cell r="M27">
            <v>192</v>
          </cell>
        </row>
        <row r="28">
          <cell r="D28" t="str">
            <v>g1</v>
          </cell>
          <cell r="E28" t="str">
            <v>TBD</v>
          </cell>
          <cell r="G28" t="str">
            <v>Reserved for Future Consideration</v>
          </cell>
          <cell r="H28" t="str">
            <v>x.x.224.0</v>
          </cell>
          <cell r="I28" t="str">
            <v>10.11.224.0</v>
          </cell>
          <cell r="J28" t="str">
            <v>/19</v>
          </cell>
          <cell r="K28">
            <v>10</v>
          </cell>
          <cell r="L28">
            <v>11</v>
          </cell>
          <cell r="M28">
            <v>224</v>
          </cell>
        </row>
        <row r="29">
          <cell r="D29" t="str">
            <v>g1</v>
          </cell>
          <cell r="E29" t="str">
            <v>VPN Infrastructure</v>
          </cell>
          <cell r="G29" t="str">
            <v>Reserved for VPNS</v>
          </cell>
          <cell r="H29" t="str">
            <v>10.42.192.0</v>
          </cell>
          <cell r="I29" t="str">
            <v>/19</v>
          </cell>
          <cell r="J29">
            <v>10</v>
          </cell>
          <cell r="K29">
            <v>10</v>
          </cell>
          <cell r="L29">
            <v>11</v>
          </cell>
          <cell r="M29">
            <v>0</v>
          </cell>
        </row>
        <row r="30">
          <cell r="D30" t="str">
            <v>g1</v>
          </cell>
          <cell r="E30" t="str">
            <v>VPN Infrastructure</v>
          </cell>
          <cell r="G30" t="str">
            <v>Will's house</v>
          </cell>
          <cell r="H30" t="str">
            <v>10.42.224.0</v>
          </cell>
          <cell r="I30" t="str">
            <v>/19</v>
          </cell>
          <cell r="J30" t="str">
            <v>/29</v>
          </cell>
          <cell r="K30">
            <v>10</v>
          </cell>
          <cell r="L30">
            <v>11</v>
          </cell>
          <cell r="M30">
            <v>0</v>
          </cell>
        </row>
        <row r="31">
          <cell r="D31" t="str">
            <v>g1</v>
          </cell>
          <cell r="E31" t="str">
            <v>Trunk</v>
          </cell>
          <cell r="G31" t="str">
            <v>All vlans trunked to Hyper-V</v>
          </cell>
          <cell r="J31">
            <v>10</v>
          </cell>
          <cell r="K31">
            <v>0</v>
          </cell>
          <cell r="L31">
            <v>11</v>
          </cell>
          <cell r="M31">
            <v>0</v>
          </cell>
        </row>
        <row r="32">
          <cell r="E32" t="str">
            <v>VPN Infrastructure</v>
          </cell>
          <cell r="G32" t="str">
            <v>Will's house</v>
          </cell>
          <cell r="I32" t="str">
            <v>/29</v>
          </cell>
          <cell r="J32">
            <v>10</v>
          </cell>
          <cell r="K32">
            <v>0</v>
          </cell>
          <cell r="L32">
            <v>0</v>
          </cell>
          <cell r="M32">
            <v>32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 St. Germain" refreshedDate="42265.609475231482" createdVersion="6" refreshedVersion="6" minRefreshableVersion="3" recordCount="11">
  <cacheSource type="worksheet">
    <worksheetSource name="VMs"/>
  </cacheSource>
  <cacheFields count="26">
    <cacheField name="ID" numFmtId="0">
      <sharedItems/>
    </cacheField>
    <cacheField name="Group" numFmtId="0">
      <sharedItems/>
    </cacheField>
    <cacheField name="ServerName (Computed:  Site)_x000a_&quot;Sitename + function+uid+instance&quot;" numFmtId="0">
      <sharedItems/>
    </cacheField>
    <cacheField name="Description" numFmtId="0">
      <sharedItems/>
    </cacheField>
    <cacheField name="Storage (GB)" numFmtId="0">
      <sharedItems containsSemiMixedTypes="0" containsString="0" containsNumber="1" containsInteger="1" minValue="127" maxValue="150"/>
    </cacheField>
    <cacheField name="SiteID (Computed)" numFmtId="0">
      <sharedItems/>
    </cacheField>
    <cacheField name="Function" numFmtId="0">
      <sharedItems/>
    </cacheField>
    <cacheField name="Size" numFmtId="0">
      <sharedItems containsBlank="1" count="13">
        <s v="A1"/>
        <s v="A2"/>
        <m u="1"/>
        <s v="A5" u="1"/>
        <s v="A9" u="1"/>
        <s v="D3" u="1"/>
        <s v="W3" u="1"/>
        <s v="A6" u="1"/>
        <s v="D11" u="1"/>
        <s v="D13" u="1"/>
        <s v="D2" u="1"/>
        <s v="sb1" u="1"/>
        <s v="SPOL1" u="1"/>
      </sharedItems>
    </cacheField>
    <cacheField name="Hr/Mo (&lt;=744)" numFmtId="164">
      <sharedItems containsSemiMixedTypes="0" containsString="0" containsNumber="1" containsInteger="1" minValue="200" maxValue="744"/>
    </cacheField>
    <cacheField name="Class" numFmtId="0">
      <sharedItems containsBlank="1" count="6">
        <s v="d"/>
        <s v="p"/>
        <m u="1"/>
        <s v="s" u="1"/>
        <s v="q" u="1"/>
        <s v="t" u="1"/>
      </sharedItems>
    </cacheField>
    <cacheField name="VLANID" numFmtId="0">
      <sharedItems containsSemiMixedTypes="0" containsString="0" containsNumber="1" containsInteger="1" minValue="100" maxValue="450"/>
    </cacheField>
    <cacheField name="Software SKU" numFmtId="0">
      <sharedItems/>
    </cacheField>
    <cacheField name="Secondary SKU" numFmtId="0">
      <sharedItems containsBlank="1"/>
    </cacheField>
    <cacheField name="Service Model" numFmtId="0">
      <sharedItems/>
    </cacheField>
    <cacheField name="IP Address" numFmtId="0">
      <sharedItems containsBlank="1"/>
    </cacheField>
    <cacheField name="ReservedIP/InternalLB" numFmtId="0">
      <sharedItems containsBlank="1"/>
    </cacheField>
    <cacheField name="Physical Location" numFmtId="0">
      <sharedItems/>
    </cacheField>
    <cacheField name="Phase" numFmtId="0">
      <sharedItems containsSemiMixedTypes="0" containsString="0" containsNumber="1" containsInteger="1" minValue="1" maxValue="1"/>
    </cacheField>
    <cacheField name="ServiceName (Computed)" numFmtId="0">
      <sharedItems/>
    </cacheField>
    <cacheField name="Service Name #" numFmtId="0">
      <sharedItems containsSemiMixedTypes="0" containsString="0" containsNumber="1" containsInteger="1" minValue="1" maxValue="1"/>
    </cacheField>
    <cacheField name="Instance" numFmtId="0">
      <sharedItems/>
    </cacheField>
    <cacheField name="Site" numFmtId="0">
      <sharedItems/>
    </cacheField>
    <cacheField name="Mem (computed)" numFmtId="0">
      <sharedItems containsSemiMixedTypes="0" containsString="0" containsNumber="1" minValue="1.7" maxValue="3.5"/>
    </cacheField>
    <cacheField name="Cores (computed)" numFmtId="0">
      <sharedItems containsSemiMixedTypes="0" containsString="0" containsNumber="1" containsInteger="1" minValue="1" maxValue="2"/>
    </cacheField>
    <cacheField name="Admin Name" numFmtId="0">
      <sharedItems containsNonDate="0" containsString="0" containsBlank="1"/>
    </cacheField>
    <cacheField name="Domain Join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s v="GUID1"/>
    <s v="SSO"/>
    <s v="g1daads1a"/>
    <s v="Microsoft Azure Directory Syncronization"/>
    <n v="127"/>
    <s v="g1"/>
    <s v="aads"/>
    <x v="0"/>
    <n v="200"/>
    <x v="0"/>
    <n v="450"/>
    <s v="sw29"/>
    <s v="sw37"/>
    <s v="IaaS"/>
    <m/>
    <m/>
    <s v="Virginia"/>
    <n v="1"/>
    <s v="g1daads1"/>
    <n v="1"/>
    <s v="a"/>
    <s v="ST1"/>
    <n v="1.7"/>
    <n v="1"/>
    <m/>
    <b v="1"/>
  </r>
  <r>
    <s v="GUID2"/>
    <s v="SSO"/>
    <s v="g1dadds1a"/>
    <s v="Active Directory Domain Services - Internal DS"/>
    <n v="127"/>
    <s v="g1"/>
    <s v="adds"/>
    <x v="0"/>
    <n v="200"/>
    <x v="0"/>
    <n v="400"/>
    <s v="sw29"/>
    <s v="sw37"/>
    <s v="IaaS"/>
    <m/>
    <m/>
    <s v="Virginia"/>
    <n v="1"/>
    <s v="g1dadds1"/>
    <n v="1"/>
    <s v="a"/>
    <s v="ST1"/>
    <n v="1.7"/>
    <n v="1"/>
    <m/>
    <b v="1"/>
  </r>
  <r>
    <s v="GUID10"/>
    <s v="SSO"/>
    <s v="g1dadfs1a"/>
    <s v="Active Directory Federated Services Farm"/>
    <n v="127"/>
    <s v="g1"/>
    <s v="adfs"/>
    <x v="0"/>
    <n v="200"/>
    <x v="0"/>
    <n v="400"/>
    <s v="sw29"/>
    <s v="sw37"/>
    <s v="IaaS"/>
    <m/>
    <m/>
    <s v="Virginia"/>
    <n v="1"/>
    <s v="g1dadfs1"/>
    <n v="1"/>
    <s v="a"/>
    <s v="ST1"/>
    <n v="1.7"/>
    <n v="1"/>
    <m/>
    <b v="1"/>
  </r>
  <r>
    <s v="GUID3"/>
    <s v="SSO"/>
    <s v="g1dprxy1a"/>
    <s v="Active Directory Federated Services Proxy - External"/>
    <n v="127"/>
    <s v="g1"/>
    <s v="prxy"/>
    <x v="0"/>
    <n v="200"/>
    <x v="0"/>
    <n v="450"/>
    <s v="sw29"/>
    <s v="sw37"/>
    <s v="IaaS"/>
    <m/>
    <m/>
    <s v="Virginia"/>
    <n v="1"/>
    <s v="g1dprxy1"/>
    <n v="1"/>
    <s v="a"/>
    <s v="ST1"/>
    <n v="1.7"/>
    <n v="1"/>
    <m/>
    <b v="0"/>
  </r>
  <r>
    <s v="GUID5"/>
    <s v="SSO"/>
    <s v="g1paads1a"/>
    <s v="Microsoft Azure Directory Syncronization"/>
    <n v="150"/>
    <s v="g1"/>
    <s v="aads"/>
    <x v="1"/>
    <n v="744"/>
    <x v="1"/>
    <n v="100"/>
    <s v="sw37"/>
    <m/>
    <s v="IaaS"/>
    <s v="DHCP"/>
    <m/>
    <s v="Virginia"/>
    <n v="1"/>
    <s v="g1paads1"/>
    <n v="1"/>
    <s v="a"/>
    <s v="ST1"/>
    <n v="3.5"/>
    <n v="2"/>
    <m/>
    <b v="1"/>
  </r>
  <r>
    <s v="GUID6"/>
    <s v="SSO"/>
    <s v="g1padds1a"/>
    <s v="Active Directory Domain Services - Internal DS "/>
    <n v="150"/>
    <s v="g1"/>
    <s v="adds"/>
    <x v="1"/>
    <n v="744"/>
    <x v="1"/>
    <n v="100"/>
    <s v="sw37"/>
    <m/>
    <s v="IaaS"/>
    <s v="10.30.160.11"/>
    <m/>
    <s v="Virginia"/>
    <n v="1"/>
    <s v="g1padds1"/>
    <n v="1"/>
    <s v="a"/>
    <s v="ST1"/>
    <n v="3.5"/>
    <n v="2"/>
    <m/>
    <b v="1"/>
  </r>
  <r>
    <s v="GUID7"/>
    <s v="SSO"/>
    <s v="g1padds1b"/>
    <s v="Active Directory Domain Services - Internal DS"/>
    <n v="150"/>
    <s v="g1"/>
    <s v="adds"/>
    <x v="1"/>
    <n v="744"/>
    <x v="1"/>
    <n v="100"/>
    <s v="sw37"/>
    <m/>
    <s v="IaaS"/>
    <s v="10.30.160.12"/>
    <m/>
    <s v="Virginia"/>
    <n v="1"/>
    <s v="g1padds1"/>
    <n v="1"/>
    <s v="b"/>
    <s v="ST1"/>
    <n v="3.5"/>
    <n v="2"/>
    <m/>
    <b v="1"/>
  </r>
  <r>
    <s v="GUID13"/>
    <s v="SSO"/>
    <s v="g1padfs1a"/>
    <s v="Active Directory Federated Services Farm"/>
    <n v="150"/>
    <s v="g1"/>
    <s v="adfs"/>
    <x v="1"/>
    <n v="744"/>
    <x v="1"/>
    <n v="100"/>
    <s v="sw29"/>
    <s v="sw37"/>
    <s v="IaaS"/>
    <s v="10.30.160.13"/>
    <s v="ILB"/>
    <s v="Virginia"/>
    <n v="1"/>
    <s v="g1padfs1"/>
    <n v="1"/>
    <s v="a"/>
    <s v="ST1"/>
    <n v="3.5"/>
    <n v="2"/>
    <m/>
    <b v="1"/>
  </r>
  <r>
    <s v="GUID9"/>
    <s v="SSO"/>
    <s v="g1padfs1b"/>
    <s v="Active Directory Federated Services Farm"/>
    <n v="150"/>
    <s v="g1"/>
    <s v="adfs"/>
    <x v="1"/>
    <n v="744"/>
    <x v="1"/>
    <n v="100"/>
    <s v="sw29"/>
    <s v="sw37"/>
    <s v="IaaS"/>
    <s v="10.30.160.14"/>
    <s v="ILB"/>
    <s v="Virginia"/>
    <n v="1"/>
    <s v="g1padfs1"/>
    <n v="1"/>
    <s v="b"/>
    <s v="ST1"/>
    <n v="3.5"/>
    <n v="2"/>
    <m/>
    <b v="1"/>
  </r>
  <r>
    <s v="GUID11"/>
    <s v="SSO"/>
    <s v="g1pprxy1a"/>
    <s v="Active Directory Federated Services Proxy - External"/>
    <n v="150"/>
    <s v="g1"/>
    <s v="prxy"/>
    <x v="1"/>
    <n v="744"/>
    <x v="1"/>
    <n v="150"/>
    <s v="sw37"/>
    <m/>
    <s v="IaaS"/>
    <s v="10.30.162.11"/>
    <s v="WAPVA"/>
    <s v="Virginia"/>
    <n v="1"/>
    <s v="g1pprxy1"/>
    <n v="1"/>
    <s v="a"/>
    <s v="ST1"/>
    <n v="3.5"/>
    <n v="2"/>
    <m/>
    <b v="0"/>
  </r>
  <r>
    <s v="GUID12"/>
    <s v="SSO"/>
    <s v="g1pprxy1b"/>
    <s v="Active Directory Federated Services Proxy - External"/>
    <n v="150"/>
    <s v="g1"/>
    <s v="prxy"/>
    <x v="1"/>
    <n v="744"/>
    <x v="1"/>
    <n v="150"/>
    <s v="sw37"/>
    <m/>
    <s v="IaaS"/>
    <s v="10.30.162.12"/>
    <s v="WAPVA"/>
    <s v="Virginia"/>
    <n v="1"/>
    <s v="g1pprxy1"/>
    <n v="1"/>
    <s v="b"/>
    <s v="ST1"/>
    <n v="3.5"/>
    <n v="2"/>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D5" firstHeaderRow="0" firstDataRow="1" firstDataCol="1"/>
  <pivotFields count="26">
    <pivotField showAll="0"/>
    <pivotField showAll="0"/>
    <pivotField showAll="0"/>
    <pivotField showAll="0"/>
    <pivotField showAll="0"/>
    <pivotField showAll="0"/>
    <pivotField showAll="0"/>
    <pivotField axis="axisRow" dataField="1" showAll="0">
      <items count="14">
        <item sd="0" x="0"/>
        <item sd="0" x="1"/>
        <item m="1" x="3"/>
        <item m="1" x="7"/>
        <item m="1" x="4"/>
        <item m="1" x="9"/>
        <item m="1" x="10"/>
        <item m="1" x="5"/>
        <item m="1" x="11"/>
        <item m="1" x="12"/>
        <item m="1" x="6"/>
        <item sd="0" m="1" x="2"/>
        <item m="1" x="8"/>
        <item t="default"/>
      </items>
    </pivotField>
    <pivotField dataField="1"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dataField="1" showAll="0"/>
    <pivotField showAll="0"/>
    <pivotField showAll="0" defaultSubtotal="0"/>
  </pivotFields>
  <rowFields count="2">
    <field x="7"/>
    <field x="9"/>
  </rowFields>
  <rowItems count="3">
    <i>
      <x/>
    </i>
    <i>
      <x v="1"/>
    </i>
    <i t="grand">
      <x/>
    </i>
  </rowItems>
  <colFields count="1">
    <field x="-2"/>
  </colFields>
  <colItems count="3">
    <i>
      <x/>
    </i>
    <i i="1">
      <x v="1"/>
    </i>
    <i i="2">
      <x v="2"/>
    </i>
  </colItems>
  <dataFields count="3">
    <dataField name="Count of Size" fld="7" subtotal="count" baseField="0" baseItem="0"/>
    <dataField name="Average of Hr/Mo (&lt;=744)" fld="8" subtotal="average" baseField="7" baseItem="0"/>
    <dataField name="Sum of Cores (computed)" fld="23" baseField="7" baseItem="0"/>
  </dataFields>
  <formats count="2">
    <format dxfId="15">
      <pivotArea collapsedLevelsAreSubtotals="1" fieldPosition="0">
        <references count="2">
          <reference field="4294967294" count="1" selected="0">
            <x v="1"/>
          </reference>
          <reference field="7" count="0"/>
        </references>
      </pivotArea>
    </format>
    <format dxfId="14">
      <pivotArea field="7"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5" firstHeaderRow="1" firstDataRow="1" firstDataCol="1"/>
  <pivotFields count="26">
    <pivotField showAll="0"/>
    <pivotField showAll="0"/>
    <pivotField showAll="0"/>
    <pivotField showAll="0"/>
    <pivotField dataField="1" showAll="0"/>
    <pivotField showAll="0"/>
    <pivotField showAll="0"/>
    <pivotField showAll="0"/>
    <pivotField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showAll="0"/>
    <pivotField showAll="0"/>
    <pivotField showAll="0" defaultSubtotal="0"/>
  </pivotFields>
  <rowFields count="1">
    <field x="9"/>
  </rowFields>
  <rowItems count="3">
    <i>
      <x/>
    </i>
    <i>
      <x v="1"/>
    </i>
    <i t="grand">
      <x/>
    </i>
  </rowItems>
  <colItems count="1">
    <i/>
  </colItems>
  <dataFields count="1">
    <dataField name="Sum of Storage (GB)" fld="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6" name="Departments" displayName="Departments" ref="A1:G3" totalsRowShown="0">
  <autoFilter ref="A1:G3"/>
  <tableColumns count="7">
    <tableColumn id="1" name="DeptID"/>
    <tableColumn id="2" name="Department" dataDxfId="83"/>
    <tableColumn id="3" name="Description" dataDxfId="82"/>
    <tableColumn id="4" name="Account"/>
    <tableColumn id="5" name="Department Administratro">
      <calculatedColumnFormula>Departments[[#This Row],[Department]]&amp;"_"&amp;Departments[[#This Row],[Account]]&amp;"_DA"</calculatedColumnFormula>
    </tableColumn>
    <tableColumn id="6" name="Account Administrator">
      <calculatedColumnFormula>Departments[[#This Row],[Department]]&amp;"_"&amp;Departments[[#This Row],[Account]]&amp;"_AA"</calculatedColumnFormula>
    </tableColumn>
    <tableColumn id="7" name="EnrollmentNumber"/>
  </tableColumns>
  <tableStyleInfo name="TableStyleLight9" showFirstColumn="0" showLastColumn="0" showRowStripes="1" showColumnStripes="0"/>
</table>
</file>

<file path=xl/tables/table10.xml><?xml version="1.0" encoding="utf-8"?>
<table xmlns="http://schemas.openxmlformats.org/spreadsheetml/2006/main" id="1" name="Users" displayName="Users" ref="A1:AH7" totalsRowShown="0" headerRowDxfId="64">
  <autoFilter ref="A1:AH7"/>
  <tableColumns count="34">
    <tableColumn id="1" name="UserID"/>
    <tableColumn id="4" name="DeptID"/>
    <tableColumn id="13" name="username" dataDxfId="63">
      <calculatedColumnFormula>Users[[#This Row],[DepartmentName (Computed)]]&amp;"_"&amp;Users[[#This Row],[AccountName (Computed)]]&amp;"_"&amp;E2</calculatedColumnFormula>
    </tableColumn>
    <tableColumn id="36" name="Alias"/>
    <tableColumn id="2" name="Title"/>
    <tableColumn id="3" name="Action"/>
    <tableColumn id="6" name="DepartmentName (Computed)">
      <calculatedColumnFormula>VLOOKUP(Users[[#This Row],[DeptID]], Departments[#All], 2)</calculatedColumnFormula>
    </tableColumn>
    <tableColumn id="35" name="AccountName (Computed)" dataDxfId="62">
      <calculatedColumnFormula>VLOOKUP(Users[[#This Row],[DeptID]], Departments[#All], 4)</calculatedColumnFormula>
    </tableColumn>
    <tableColumn id="9" name="Tenant "/>
    <tableColumn id="5" name="City"/>
    <tableColumn id="7" name="DepartmentDescription (Computed)">
      <calculatedColumnFormula>VLOOKUP(Users[[#This Row],[DeptID]], Departments[#All],3)</calculatedColumnFormula>
    </tableColumn>
    <tableColumn id="8" name="DisplayName" dataDxfId="61">
      <calculatedColumnFormula>Users[[#This Row],[DepartmentName (Computed)]]&amp;"_"&amp;Users[[#This Row],[Title]]</calculatedColumnFormula>
    </tableColumn>
    <tableColumn id="11" name="Email" dataDxfId="60">
      <calculatedColumnFormula>Users[[#This Row],[username]]&amp;"@"&amp;Users[[#This Row],[Tenant ]]</calculatedColumnFormula>
    </tableColumn>
    <tableColumn id="10" name="EffectiveDate"/>
    <tableColumn id="12" name="mailNickname"/>
    <tableColumn id="14" name="EmailType "/>
    <tableColumn id="15" name="EmployeeID"/>
    <tableColumn id="16" name="EmployeeStatus"/>
    <tableColumn id="17" name="EmployeeType"/>
    <tableColumn id="18" name="EndDate"/>
    <tableColumn id="19" name="PreferredName"/>
    <tableColumn id="20" name="FirstName"/>
    <tableColumn id="21" name="MiddleName"/>
    <tableColumn id="22" name="LastName"/>
    <tableColumn id="23" name="JobDescription"/>
    <tableColumn id="24" name="JobFamily"/>
    <tableColumn id="25" name="JobFunction"/>
    <tableColumn id="26" name="LanguageCode"/>
    <tableColumn id="27" name="Manager"/>
    <tableColumn id="28" name="mobilePhone"/>
    <tableColumn id="29" name="PhoneNumber"/>
    <tableColumn id="30" name="RoleCode"/>
    <tableColumn id="31" name="StreetAddress"/>
    <tableColumn id="32" name="Zip code"/>
  </tableColumns>
  <tableStyleInfo name="TableStyleLight9" showFirstColumn="0" showLastColumn="0" showRowStripes="1" showColumnStripes="0"/>
</table>
</file>

<file path=xl/tables/table11.xml><?xml version="1.0" encoding="utf-8"?>
<table xmlns="http://schemas.openxmlformats.org/spreadsheetml/2006/main" id="13" name="Roles" displayName="Roles" ref="A1:C48" totalsRowShown="0">
  <autoFilter ref="A1:C48"/>
  <tableColumns count="3">
    <tableColumn id="1" name="RoleID"/>
    <tableColumn id="2" name="RoleName"/>
    <tableColumn id="3" name="RoleDescription"/>
  </tableColumns>
  <tableStyleInfo name="TableStyleLight9 2" showFirstColumn="0" showLastColumn="0" showRowStripes="1" showColumnStripes="0"/>
</table>
</file>

<file path=xl/tables/table12.xml><?xml version="1.0" encoding="utf-8"?>
<table xmlns="http://schemas.openxmlformats.org/spreadsheetml/2006/main" id="11" name="RBAC" displayName="RBAC" ref="A1:E5" totalsRowShown="0">
  <autoFilter ref="A1:E5"/>
  <tableColumns count="5">
    <tableColumn id="1" name="RBACID"/>
    <tableColumn id="2" name="RoleID"/>
    <tableColumn id="3" name="RoleName(Computed)"/>
    <tableColumn id="4" name="UserID"/>
    <tableColumn id="5" name="UserName(Computed)"/>
  </tableColumns>
  <tableStyleInfo name="TableStyleLight9 2" showFirstColumn="0" showLastColumn="0" showRowStripes="1" showColumnStripes="0"/>
</table>
</file>

<file path=xl/tables/table13.xml><?xml version="1.0" encoding="utf-8"?>
<table xmlns="http://schemas.openxmlformats.org/spreadsheetml/2006/main" id="14" name="Table14" displayName="Table14" ref="A1:E12" totalsRowShown="0">
  <autoFilter ref="A1:E12"/>
  <tableColumns count="5">
    <tableColumn id="1" name="PersonaID"/>
    <tableColumn id="2" name="Category"/>
    <tableColumn id="3" name="Name"/>
    <tableColumn id="4" name="Description"/>
    <tableColumn id="5" name="Count"/>
  </tableColumns>
  <tableStyleInfo name="TableStyleLight9" showFirstColumn="0" showLastColumn="0" showRowStripes="1" showColumnStripes="0"/>
</table>
</file>

<file path=xl/tables/table14.xml><?xml version="1.0" encoding="utf-8"?>
<table xmlns="http://schemas.openxmlformats.org/spreadsheetml/2006/main" id="2" name="VMs" displayName="VMs" ref="A1:AG18" totalsRowShown="0" headerRowDxfId="58">
  <autoFilter ref="A1:AG18">
    <filterColumn colId="1">
      <filters>
        <filter val="SSO"/>
      </filters>
    </filterColumn>
  </autoFilter>
  <tableColumns count="33">
    <tableColumn id="1" name="ID"/>
    <tableColumn id="14" name="Group" dataDxfId="57"/>
    <tableColumn id="18" name="ServerName (Computed:  Site)_x000a_&quot;Sitename + function+uid+instance&quot;" dataDxfId="56">
      <calculatedColumnFormula>LOWER(VMs[[#This Row],[SiteID (Computed)]] &amp;VMs[[#This Row],[Class]]&amp; VMs[[#This Row],[Function]]&amp;VMs[[#This Row],[Service Name '#]]&amp;VMs[[#This Row],[Instance]])</calculatedColumnFormula>
    </tableColumn>
    <tableColumn id="3" name="Description" dataDxfId="55" totalsRowDxfId="54"/>
    <tableColumn id="23" name="Storage (GB)" dataDxfId="53" totalsRowDxfId="52"/>
    <tableColumn id="27" name="ImageDiskSize (GB)" dataDxfId="51" totalsRowDxfId="50"/>
    <tableColumn id="16" name="DataDiskSize (GB)" dataDxfId="49" totalsRowDxfId="48"/>
    <tableColumn id="20" name="LRS_Premium(512GB)" dataDxfId="47" totalsRowDxfId="46"/>
    <tableColumn id="19" name="Function" dataDxfId="45" totalsRowDxfId="44"/>
    <tableColumn id="6" name="RoleSize" dataDxfId="43"/>
    <tableColumn id="12" name="Hr/Mo (&lt;=744)" dataDxfId="42" totalsRowDxfId="41"/>
    <tableColumn id="9" name="Class" dataDxfId="40">
      <calculatedColumnFormula>MID(VMs[[#This Row],[Admin Name]], 4, 1)</calculatedColumnFormula>
    </tableColumn>
    <tableColumn id="7" name="Software SKU" dataDxfId="39"/>
    <tableColumn id="10" name="Secondary SKU" dataDxfId="38"/>
    <tableColumn id="29" name="SubnetID" dataDxfId="37"/>
    <tableColumn id="4" name="Physical Location" dataDxfId="36" totalsRowDxfId="35">
      <calculatedColumnFormula>VLOOKUP(VMs[[#This Row],[SubnetID]], Subnets!A14:U107, 8, FALSE)</calculatedColumnFormula>
    </tableColumn>
    <tableColumn id="21" name="SiteID (Computed)" dataDxfId="34" totalsRowDxfId="33">
      <calculatedColumnFormula>VLOOKUP(VMs[[#This Row],[SubnetID]], Subnets[],21, FALSE)</calculatedColumnFormula>
    </tableColumn>
    <tableColumn id="32" name="SubID (Computed)" dataDxfId="32"/>
    <tableColumn id="34" name="SubscriptionName (Computed)" dataDxfId="31">
      <calculatedColumnFormula>VLOOKUP(VMs[[#This Row],[SubnetID]], Subnets[],14, FALSE)</calculatedColumnFormula>
    </tableColumn>
    <tableColumn id="17" name="Subnet Number(Computed)" dataDxfId="30">
      <calculatedColumnFormula>VLOOKUP(VMs[[#This Row],[SubnetID]], Subnets[],  2, FALSE)</calculatedColumnFormula>
    </tableColumn>
    <tableColumn id="30" name="Subnet Name (Computed)" dataDxfId="29">
      <calculatedColumnFormula>VLOOKUP(VMs[[#This Row],[SubnetID]], Subnets[], 4, FALSE)</calculatedColumnFormula>
    </tableColumn>
    <tableColumn id="31" name="IP Subnet (Computed)" dataDxfId="28">
      <calculatedColumnFormula>VLOOKUP(VMs[[#This Row],[SubnetID]], Subnets[], 12, FALSE)</calculatedColumnFormula>
    </tableColumn>
    <tableColumn id="5" name="IP Address" dataDxfId="27"/>
    <tableColumn id="28" name="ReservedIP/InternalLB" dataDxfId="26"/>
    <tableColumn id="13" name="Service Model" dataDxfId="25"/>
    <tableColumn id="11" name="Phase" dataDxfId="24"/>
    <tableColumn id="15" name="ServiceName (Computed)" dataDxfId="23">
      <calculatedColumnFormula>LOWER(VMs[[#This Row],[SiteID (Computed)]] &amp;VMs[[#This Row],[Class]]&amp; VMs[[#This Row],[Function]]&amp;VMs[[#This Row],[Service Name '#]])</calculatedColumnFormula>
    </tableColumn>
    <tableColumn id="22" name="Service Name #" dataDxfId="22"/>
    <tableColumn id="8" name="Instance" dataDxfId="21" totalsRowDxfId="20"/>
    <tableColumn id="24" name="Mem (computed)" dataDxfId="19">
      <calculatedColumnFormula>VLOOKUP(VMs[[#This Row],[RoleSize]], AzureID, 5, TRUE)</calculatedColumnFormula>
    </tableColumn>
    <tableColumn id="25" name="Cores (computed)" dataDxfId="18">
      <calculatedColumnFormula>VLOOKUP(VMs[[#This Row],[RoleSize]], AzureSpecs[],6, FALSE)</calculatedColumnFormula>
    </tableColumn>
    <tableColumn id="2" name="Admin Name" dataDxfId="17"/>
    <tableColumn id="26" name="Domain Joined" dataDxfId="16"/>
  </tableColumns>
  <tableStyleInfo name="TableStyleLight2" showFirstColumn="0" showLastColumn="0" showRowStripes="1" showColumnStripes="0"/>
</table>
</file>

<file path=xl/tables/table15.xml><?xml version="1.0" encoding="utf-8"?>
<table xmlns="http://schemas.openxmlformats.org/spreadsheetml/2006/main" id="10" name="AzureSpecs" displayName="AzureSpecs" ref="A1:J138" totalsRowShown="0">
  <autoFilter ref="A1:J138"/>
  <sortState ref="A2:J128">
    <sortCondition ref="A2:A128"/>
  </sortState>
  <tableColumns count="10">
    <tableColumn id="1" name="AzureID"/>
    <tableColumn id="6" name="Instance Name"/>
    <tableColumn id="7" name="SLA" dataDxfId="13" dataCellStyle="Percent"/>
    <tableColumn id="8" name="MACPrice" dataDxfId="12" dataCellStyle="Currency"/>
    <tableColumn id="2" name="MAGPrice" dataDxfId="11" dataCellStyle="Currency"/>
    <tableColumn id="5" name="Cores" dataDxfId="10" dataCellStyle="Comma"/>
    <tableColumn id="3" name="RAM (GB)" dataDxfId="9" dataCellStyle="Comma"/>
    <tableColumn id="10" name="Storage" dataDxfId="8" dataCellStyle="Comma"/>
    <tableColumn id="4" name="Price Difference" dataDxfId="7" dataCellStyle="Percent">
      <calculatedColumnFormula>1-AzureSpecs[[#This Row],[MACPrice]]/AzureSpecs[[#This Row],[MAGPrice]]</calculatedColumnFormula>
    </tableColumn>
    <tableColumn id="9" name="Link"/>
  </tableColumns>
  <tableStyleInfo name="TableStyleLight9" showFirstColumn="0" showLastColumn="0" showRowStripes="1" showColumnStripes="0"/>
</table>
</file>

<file path=xl/tables/table16.xml><?xml version="1.0" encoding="utf-8"?>
<table xmlns="http://schemas.openxmlformats.org/spreadsheetml/2006/main" id="23" name="Forecast" displayName="Forecast" ref="A1:AB13" totalsRowShown="0">
  <autoFilter ref="A1:AB13"/>
  <tableColumns count="28">
    <tableColumn id="28" name="SubID"/>
    <tableColumn id="1" name="SubscriptionId (Computed)"/>
    <tableColumn id="2" name="SubscriptionName (Computed)"/>
    <tableColumn id="23" name="Region"/>
    <tableColumn id="3" name="Basic_A0"/>
    <tableColumn id="4" name="Basic_A1"/>
    <tableColumn id="5" name="Basic _A2"/>
    <tableColumn id="6" name="Basic_A3"/>
    <tableColumn id="7" name="Basic_A4"/>
    <tableColumn id="9" name="A0"/>
    <tableColumn id="12" name="A1"/>
    <tableColumn id="11" name="A2"/>
    <tableColumn id="10" name="A3"/>
    <tableColumn id="8" name="A4"/>
    <tableColumn id="24" name="A5"/>
    <tableColumn id="25" name="A6"/>
    <tableColumn id="26" name="A7"/>
    <tableColumn id="13" name="D1"/>
    <tableColumn id="18" name="D2"/>
    <tableColumn id="19" name="D3"/>
    <tableColumn id="20" name="D4"/>
    <tableColumn id="21" name="D5"/>
    <tableColumn id="14" name="D11"/>
    <tableColumn id="15" name="D12"/>
    <tableColumn id="16" name="D13"/>
    <tableColumn id="17" name="D14"/>
    <tableColumn id="27" name="Summary">
      <calculatedColumnFormula>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calculatedColumnFormula>
    </tableColumn>
    <tableColumn id="22" name="Net New"/>
  </tableColumns>
  <tableStyleInfo name="TableStyleLight9 2" showFirstColumn="0" showLastColumn="0" showRowStripes="1" showColumnStripes="0"/>
</table>
</file>

<file path=xl/tables/table17.xml><?xml version="1.0" encoding="utf-8"?>
<table xmlns="http://schemas.openxmlformats.org/spreadsheetml/2006/main" id="9" name="Table9" displayName="Table9" ref="A1:N29" totalsRowShown="0" headerRowBorderDxfId="6" headerRowCellStyle="Heading 1">
  <autoFilter ref="A1:N29"/>
  <tableColumns count="14">
    <tableColumn id="1" name="Risk ID"/>
    <tableColumn id="4" name="Title" dataDxfId="5"/>
    <tableColumn id="5" name="Description" dataDxfId="4"/>
    <tableColumn id="6" name="Mitigation Plan" dataDxfId="3"/>
    <tableColumn id="7" name="Contingency Plan" dataDxfId="2"/>
    <tableColumn id="8" name="Trigger (date or custom)" dataDxfId="1"/>
    <tableColumn id="9" name="Trigger Description" dataDxfId="0"/>
    <tableColumn id="10" name="Impact (Magnitude)"/>
    <tableColumn id="11" name="Probability (%)"/>
    <tableColumn id="12" name="Cost"/>
    <tableColumn id="13" name="Phase "/>
    <tableColumn id="14" name="Owner"/>
    <tableColumn id="15" name="Assigned To"/>
    <tableColumn id="16" name="Tracability"/>
  </tableColumns>
  <tableStyleInfo name="TableStyleMedium9" showFirstColumn="0" showLastColumn="0" showRowStripes="1" showColumnStripes="0"/>
</table>
</file>

<file path=xl/tables/table2.xml><?xml version="1.0" encoding="utf-8"?>
<table xmlns="http://schemas.openxmlformats.org/spreadsheetml/2006/main" id="15" name="Subscriptions" displayName="Subscriptions" ref="A1:L19" totalsRowShown="0" headerRowDxfId="81">
  <autoFilter ref="A1:L19"/>
  <tableColumns count="12">
    <tableColumn id="1" name="SubID"/>
    <tableColumn id="7" name="SubscriptionName" dataDxfId="80">
      <calculatedColumnFormula>C2&amp;"_"&amp;#REF!&amp;"_"&amp;D2&amp;"_"&amp;F2&amp;"_"&amp;Subscriptions[[#This Row],[Environment]]</calculatedColumnFormula>
    </tableColumn>
    <tableColumn id="2" name="Enterprise Enrollment"/>
    <tableColumn id="9" name="Department (Computed)">
      <calculatedColumnFormula>VLOOKUP(Subscriptions[[#This Row],[DeptID]], Departments[#All], 2, FALSE)</calculatedColumnFormula>
    </tableColumn>
    <tableColumn id="3" name="Description"/>
    <tableColumn id="4" name="Account (Computed)">
      <calculatedColumnFormula>VLOOKUP(Subscriptions[[#This Row],[DeptID]], Departments[#All], 4, FALSE)</calculatedColumnFormula>
    </tableColumn>
    <tableColumn id="5" name="Environment"/>
    <tableColumn id="8" name="Tenant (.onmicrosoft.com)"/>
    <tableColumn id="12" name="DeptID"/>
    <tableColumn id="6" name="ServiceAdmin" dataDxfId="79">
      <calculatedColumnFormula>VLOOKUP(Subscriptions[[#This Row],[DeptID]], Departments[], 6, FALSE)</calculatedColumnFormula>
    </tableColumn>
    <tableColumn id="10" name="PartnerID"/>
    <tableColumn id="11" name="SubscriptionGUID"/>
  </tableColumns>
  <tableStyleInfo name="TableStyleLight9" showFirstColumn="0" showLastColumn="0" showRowStripes="1" showColumnStripes="0"/>
</table>
</file>

<file path=xl/tables/table3.xml><?xml version="1.0" encoding="utf-8"?>
<table xmlns="http://schemas.openxmlformats.org/spreadsheetml/2006/main" id="25" name="Partners" displayName="Partners" ref="A1:D2" insertRow="1" totalsRowShown="0">
  <autoFilter ref="A1:D2"/>
  <tableColumns count="4">
    <tableColumn id="1" name="PartnerID"/>
    <tableColumn id="2" name="PartnerName"/>
    <tableColumn id="3" name="Description"/>
    <tableColumn id="4" name="SubID"/>
  </tableColumns>
  <tableStyleInfo name="TableStyleLight9 2" showFirstColumn="0" showLastColumn="0" showRowStripes="1" showColumnStripes="0"/>
</table>
</file>

<file path=xl/tables/table4.xml><?xml version="1.0" encoding="utf-8"?>
<table xmlns="http://schemas.openxmlformats.org/spreadsheetml/2006/main" id="12" name="Locations" displayName="Locations" ref="A1:E11" totalsRowShown="0">
  <autoFilter ref="A1:E11"/>
  <tableColumns count="5">
    <tableColumn id="1" name="SiteID"/>
    <tableColumn id="2" name="Name"/>
    <tableColumn id="3" name="Abbreviation"/>
    <tableColumn id="5" name="AzureName"/>
    <tableColumn id="4" name="Description"/>
  </tableColumns>
  <tableStyleInfo name="TableStyleLight9" showFirstColumn="0" showLastColumn="0" showRowStripes="1" showColumnStripes="0"/>
</table>
</file>

<file path=xl/tables/table5.xml><?xml version="1.0" encoding="utf-8"?>
<table xmlns="http://schemas.openxmlformats.org/spreadsheetml/2006/main" id="3" name="VNETS" displayName="VNETS" ref="A1:Q11" totalsRowShown="0">
  <autoFilter ref="A1:Q11"/>
  <tableColumns count="17">
    <tableColumn id="1" name="VNETID"/>
    <tableColumn id="2" name="SubID"/>
    <tableColumn id="4" name="Name">
      <calculatedColumnFormula>RIGHT(VNETS[Subscription Name (Computed)], (LEN(VNETS[[#This Row],[Subscription Name (Computed)]]) - SEARCH("_", VNETS[[#This Row],[Subscription Name (Computed)]], 9)))</calculatedColumnFormula>
    </tableColumn>
    <tableColumn id="15" name="Gateway"/>
    <tableColumn id="11" name="Address Range" dataDxfId="78">
      <calculatedColumnFormula>N2&amp;"."&amp;O2&amp;"."&amp;P2&amp;"."&amp;Q2</calculatedColumnFormula>
    </tableColumn>
    <tableColumn id="10" name="Bits"/>
    <tableColumn id="3" name="Subscription Name (Computed)" dataDxfId="77">
      <calculatedColumnFormula>LOWER(VLOOKUP(B2,Subscriptions[#All],2,FALSE))</calculatedColumnFormula>
    </tableColumn>
    <tableColumn id="13" name="Dept (Computed)" dataDxfId="76">
      <calculatedColumnFormula>VLOOKUP(VNETS[[#This Row],[SubID]], Subscriptions!A1:J19, 4, FALSE)</calculatedColumnFormula>
    </tableColumn>
    <tableColumn id="16" name="Account (Computed)" dataDxfId="75">
      <calculatedColumnFormula>VLOOKUP(VNETS[[#This Row],[SubID]], Subscriptions[#All], 6, FALSE)</calculatedColumnFormula>
    </tableColumn>
    <tableColumn id="5" name="Description"/>
    <tableColumn id="17" name="Environment"/>
    <tableColumn id="12" name="Location"/>
    <tableColumn id="14" name="Location Name (Computed)" dataDxfId="74">
      <calculatedColumnFormula>VLOOKUP(VNETS[[#This Row],[Location]], Locations[#All], 3, FALSE)</calculatedColumnFormula>
    </tableColumn>
    <tableColumn id="9" name="Octet1"/>
    <tableColumn id="8" name="Octet2"/>
    <tableColumn id="7" name="Octet3"/>
    <tableColumn id="6" name="Octet4"/>
  </tableColumns>
  <tableStyleInfo name="TableStyleLight9" showFirstColumn="0" showLastColumn="0" showRowStripes="1" showColumnStripes="0"/>
</table>
</file>

<file path=xl/tables/table6.xml><?xml version="1.0" encoding="utf-8"?>
<table xmlns="http://schemas.openxmlformats.org/spreadsheetml/2006/main" id="16" name="Subnets" displayName="Subnets" ref="A1:V104" totalsRowShown="0" headerRowCellStyle="Normal" dataCellStyle="Normal">
  <autoFilter ref="A1:V104">
    <filterColumn colId="4">
      <filters>
        <filter val="CJIS"/>
      </filters>
    </filterColumn>
  </autoFilter>
  <tableColumns count="22">
    <tableColumn id="8" name="SubNetID" dataCellStyle="Normal"/>
    <tableColumn id="18" name="SubNetNumber" dataCellStyle="Normal"/>
    <tableColumn id="16" name="VNETID" dataCellStyle="Normal"/>
    <tableColumn id="1" name="Name (Computed)" dataCellStyle="Normal">
      <calculatedColumnFormula>I2&amp;"_"&amp;Subnets[[#This Row],[SubNetNumber]]&amp;"_"&amp;Subnets[[#This Row],[Dept. (Computed)]]&amp;"_"&amp;E2&amp;"_"&amp;Subnets[[#This Row],[Location (Computed)]]</calculatedColumnFormula>
    </tableColumn>
    <tableColumn id="2" name="Environment (Computed)" dataCellStyle="Normal"/>
    <tableColumn id="3" name="Dept. (Computed)" dataCellStyle="Normal">
      <calculatedColumnFormula>VLOOKUP(Subnets[[#This Row],[VNETID]],VNETS[#All], 8, FALSE)</calculatedColumnFormula>
    </tableColumn>
    <tableColumn id="21" name="Account (Computed)" dataDxfId="73">
      <calculatedColumnFormula>VLOOKUP(Subnets[[#This Row],[VNETID]],VNETS[#All], 9, FALSE)</calculatedColumnFormula>
    </tableColumn>
    <tableColumn id="20" name="Location (Computed)" dataDxfId="72" dataCellStyle="Normal">
      <calculatedColumnFormula>VLOOKUP(Subnets[[#This Row],[VNETID]],VNETS[#All],12, FALSE)</calculatedColumnFormula>
    </tableColumn>
    <tableColumn id="4" name="Title" dataCellStyle="Normal"/>
    <tableColumn id="5" name="Tier" dataCellStyle="Normal"/>
    <tableColumn id="6" name="Description" dataCellStyle="Normal"/>
    <tableColumn id="7" name="IP" dataCellStyle="Normal"/>
    <tableColumn id="9" name="Subnet" dataCellStyle="Normal"/>
    <tableColumn id="17" name="SubscriptionName (Computed)" dataCellStyle="Normal">
      <calculatedColumnFormula>VLOOKUP(Subnets[[#This Row],[VNETID]],VNETS[#All], 4, FALSE)</calculatedColumnFormula>
    </tableColumn>
    <tableColumn id="10" name="OCTECT1" dataCellStyle="Normal">
      <calculatedColumnFormula>VLOOKUP(Subnets[[#This Row],[VNETID]], VNETS[#All], 13, FALSE)</calculatedColumnFormula>
    </tableColumn>
    <tableColumn id="11" name="OCTECT2" dataCellStyle="Normal">
      <calculatedColumnFormula>VLOOKUP(Subnets[[#This Row],[VNETID]], VNETS[#All], 14, FALSE)</calculatedColumnFormula>
    </tableColumn>
    <tableColumn id="12" name="OCTECT3" dataCellStyle="Normal"/>
    <tableColumn id="13" name="OCTECT4" dataCellStyle="Normal"/>
    <tableColumn id="14" name="Column1" dataCellStyle="Normal"/>
    <tableColumn id="15" name="Column2" dataCellStyle="Normal"/>
    <tableColumn id="19" name="SiteName" dataCellStyle="Normal">
      <calculatedColumnFormula>VLOOKUP(Subnets[[#This Row],[VNETID]],VNETS[#All],11, FALSE)</calculatedColumnFormula>
    </tableColumn>
    <tableColumn id="22" name="SubID" dataCellStyle="Normal">
      <calculatedColumnFormula>VLOOKUP(Subnets[[#This Row],[VNETID]],VNETS[#All],2, FALSE)</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5" name="Table5" displayName="Table5" ref="A1:F24" totalsRowShown="0">
  <autoFilter ref="A1:F24"/>
  <tableColumns count="6">
    <tableColumn id="1" name="LANID"/>
    <tableColumn id="2" name="VNETID"/>
    <tableColumn id="6" name="Local Network Name"/>
    <tableColumn id="3" name="SubName (Computed)">
      <calculatedColumnFormula>VLOOKUP(LclNtwrk!B2, VNETS[#All], 4, FALSE)</calculatedColumnFormula>
    </tableColumn>
    <tableColumn id="4" name="IP"/>
    <tableColumn id="5" name="Gateway"/>
  </tableColumns>
  <tableStyleInfo name="TableStyleLight9" showFirstColumn="0" showLastColumn="0" showRowStripes="1" showColumnStripes="0"/>
</table>
</file>

<file path=xl/tables/table8.xml><?xml version="1.0" encoding="utf-8"?>
<table xmlns="http://schemas.openxmlformats.org/spreadsheetml/2006/main" id="8" name="Table8" displayName="Table8" ref="A1:G12" totalsRowShown="0">
  <autoFilter ref="A1:G12"/>
  <tableColumns count="7">
    <tableColumn id="1" name="NSGID" dataCellStyle="Normal"/>
    <tableColumn id="10" name="SNetID" dataCellStyle="Normal"/>
    <tableColumn id="2" name="Title" dataCellStyle="Normal">
      <calculatedColumnFormula>"NSG_"&amp;Table8[[#This Row],[SubnetName]]</calculatedColumnFormula>
    </tableColumn>
    <tableColumn id="3" name="Description" dataCellStyle="Normal"/>
    <tableColumn id="14" name="SubnetName" dataCellStyle="Normal">
      <calculatedColumnFormula>VLOOKUP(Table8[[#This Row],[SNetID]], Subnets!A1:N102, 4)</calculatedColumnFormula>
    </tableColumn>
    <tableColumn id="7" name="Owner" dataCellStyle="Normal"/>
    <tableColumn id="8" name="Stake Holder(s)" dataCellStyle="Normal"/>
  </tableColumns>
  <tableStyleInfo name="TableStyleMedium16" showFirstColumn="0" showLastColumn="0" showRowStripes="1" showColumnStripes="0"/>
</table>
</file>

<file path=xl/tables/table9.xml><?xml version="1.0" encoding="utf-8"?>
<table xmlns="http://schemas.openxmlformats.org/spreadsheetml/2006/main" id="17" name="Table16" displayName="Table16" ref="A1:O57" totalsRowShown="0">
  <autoFilter ref="A1:O57"/>
  <tableColumns count="15">
    <tableColumn id="1" name="StorID"/>
    <tableColumn id="4" name="SubID"/>
    <tableColumn id="2" name="Name (Computed) " dataDxfId="71">
      <calculatedColumnFormula>LOWER(Table16[[#This Row],[LocationID (Computed)]]&amp;Table16[[#This Row],[Agency (Computed)]]&amp;Table16[[#This Row],[SubName (Computed)]]&amp;Table16[[#This Row],[Purpose]]&amp;Table16[[#This Row],[Instance]])</calculatedColumnFormula>
    </tableColumn>
    <tableColumn id="15" name="Length" dataDxfId="70">
      <calculatedColumnFormula>LEN(Table16[[#This Row],[Name (Computed) ]])</calculatedColumnFormula>
    </tableColumn>
    <tableColumn id="3" name="Description"/>
    <tableColumn id="5" name="SubName (Computed)" dataDxfId="69">
      <calculatedColumnFormula>VLOOKUP(Table16[[#This Row],[SubID]], Subscriptions[#All], 7, FALSE)</calculatedColumnFormula>
    </tableColumn>
    <tableColumn id="16" name="Agency (Computed)" dataDxfId="68">
      <calculatedColumnFormula>VLOOKUP(Table16[[#This Row],[SubID]], Subscriptions[#All], 4, FALSE)</calculatedColumnFormula>
    </tableColumn>
    <tableColumn id="6" name="Type (Blob, Table, Queue, File)"/>
    <tableColumn id="7" name="Redundance (LR, GR, ROGR, ZR)"/>
    <tableColumn id="8" name="Purpose"/>
    <tableColumn id="10" name="SiteID"/>
    <tableColumn id="11" name="LocationID (Computed)" dataDxfId="67">
      <calculatedColumnFormula>VLOOKUP(Table16[[#This Row],[SiteID]], Locations[#All], 3, FALSE)</calculatedColumnFormula>
    </tableColumn>
    <tableColumn id="14" name="AzureLocationName" dataDxfId="66">
      <calculatedColumnFormula>VLOOKUP(Table16[[#This Row],[SiteID]], Locations[#All], 4, FALSE)</calculatedColumnFormula>
    </tableColumn>
    <tableColumn id="9" name="Instance"/>
    <tableColumn id="13" name="PowerShell" dataDxfId="65">
      <calculatedColumnFormula>"New-AzureStorageAccount -StorageAccountName """&amp;Table16[[#This Row],[Name (Computed) ]]&amp;""" -Location """&amp;Table16[[#This Row],[AzureLocationName]]&amp;""" -Description """&amp;Table16[[#This Row],[Description]]&amp;""""&amp;" -Type """&amp;Table16[[#This Row],[Redundance (LR, GR, ROGR, ZR)]]&amp;""""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age.windowsazure.us/" TargetMode="External"/><Relationship Id="rId3" Type="http://schemas.openxmlformats.org/officeDocument/2006/relationships/hyperlink" Target="https://account.windowsazure.us/" TargetMode="External"/><Relationship Id="rId7" Type="http://schemas.openxmlformats.org/officeDocument/2006/relationships/hyperlink" Target="https://manage.windowsazure.us/" TargetMode="External"/><Relationship Id="rId2" Type="http://schemas.openxmlformats.org/officeDocument/2006/relationships/hyperlink" Target="https://ea.azure.com/" TargetMode="External"/><Relationship Id="rId1" Type="http://schemas.openxmlformats.org/officeDocument/2006/relationships/hyperlink" Target="https://ea.azure.com/" TargetMode="External"/><Relationship Id="rId6" Type="http://schemas.openxmlformats.org/officeDocument/2006/relationships/hyperlink" Target="https://manage.windowsazure.us/" TargetMode="External"/><Relationship Id="rId5" Type="http://schemas.openxmlformats.org/officeDocument/2006/relationships/hyperlink" Target="https://account.windowsazure.us/" TargetMode="External"/><Relationship Id="rId10" Type="http://schemas.openxmlformats.org/officeDocument/2006/relationships/printerSettings" Target="../printerSettings/printerSettings1.bin"/><Relationship Id="rId4" Type="http://schemas.openxmlformats.org/officeDocument/2006/relationships/hyperlink" Target="https://account.windowsazure.us/" TargetMode="External"/><Relationship Id="rId9" Type="http://schemas.openxmlformats.org/officeDocument/2006/relationships/hyperlink" Target="https://technet.microsoft.com/en-us/windows-server-docs/security/securing-privileged-access/securing-privileged-access-reference-material"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8.xml.rels><?xml version="1.0" encoding="UTF-8" standalone="yes"?>
<Relationships xmlns="http://schemas.openxmlformats.org/package/2006/relationships"><Relationship Id="rId3" Type="http://schemas.openxmlformats.org/officeDocument/2006/relationships/hyperlink" Target="https://azure.microsoft.com/en-us/pricing/details/data-factory/" TargetMode="External"/><Relationship Id="rId7" Type="http://schemas.openxmlformats.org/officeDocument/2006/relationships/table" Target="../tables/table15.xml"/><Relationship Id="rId2" Type="http://schemas.openxmlformats.org/officeDocument/2006/relationships/hyperlink" Target="https://azure.microsoft.com/en-us/pricing/details/operational-insights/" TargetMode="External"/><Relationship Id="rId1" Type="http://schemas.openxmlformats.org/officeDocument/2006/relationships/hyperlink" Target="https://azure.microsoft.com/en-us/pricing/details/application-insights/" TargetMode="External"/><Relationship Id="rId6" Type="http://schemas.openxmlformats.org/officeDocument/2006/relationships/printerSettings" Target="../printerSettings/printerSettings10.bin"/><Relationship Id="rId5" Type="http://schemas.openxmlformats.org/officeDocument/2006/relationships/hyperlink" Target="https://azure.microsoft.com/en-us/pricing/details/service-bus/" TargetMode="External"/><Relationship Id="rId4" Type="http://schemas.openxmlformats.org/officeDocument/2006/relationships/hyperlink" Target="https://azure.microsoft.com/en-us/pricing/details/data-factory/"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10" workbookViewId="0">
      <selection activeCell="D14" sqref="D14"/>
    </sheetView>
  </sheetViews>
  <sheetFormatPr defaultRowHeight="14.25" x14ac:dyDescent="0.45"/>
  <cols>
    <col min="2" max="2" width="23.59765625" customWidth="1"/>
    <col min="3" max="3" width="60.59765625" customWidth="1"/>
    <col min="4" max="4" width="32.59765625" customWidth="1"/>
    <col min="9" max="9" width="14" customWidth="1"/>
    <col min="11" max="11" width="23.59765625" customWidth="1"/>
  </cols>
  <sheetData>
    <row r="1" spans="1:11" x14ac:dyDescent="0.45">
      <c r="A1" s="76" t="s">
        <v>581</v>
      </c>
      <c r="B1" s="76"/>
      <c r="C1" s="76"/>
      <c r="D1" s="76"/>
      <c r="I1" t="s">
        <v>556</v>
      </c>
      <c r="J1" t="s">
        <v>557</v>
      </c>
      <c r="K1" t="s">
        <v>558</v>
      </c>
    </row>
    <row r="2" spans="1:11" x14ac:dyDescent="0.45">
      <c r="A2" s="40"/>
      <c r="B2" s="40" t="s">
        <v>542</v>
      </c>
      <c r="C2" s="40" t="s">
        <v>544</v>
      </c>
      <c r="D2" s="40" t="s">
        <v>545</v>
      </c>
      <c r="H2" t="s">
        <v>555</v>
      </c>
      <c r="I2">
        <f>186282.397</f>
        <v>186282.397</v>
      </c>
      <c r="J2">
        <v>400</v>
      </c>
      <c r="K2">
        <f>J2/I2*1000</f>
        <v>2.1472775014807222</v>
      </c>
    </row>
    <row r="3" spans="1:11" x14ac:dyDescent="0.45">
      <c r="A3">
        <v>0</v>
      </c>
      <c r="B3" t="s">
        <v>541</v>
      </c>
      <c r="C3" s="42" t="s">
        <v>589</v>
      </c>
      <c r="D3" s="42"/>
    </row>
    <row r="4" spans="1:11" ht="28.5" x14ac:dyDescent="0.45">
      <c r="A4">
        <v>1</v>
      </c>
      <c r="B4" t="s">
        <v>541</v>
      </c>
      <c r="C4" s="1" t="s">
        <v>543</v>
      </c>
      <c r="D4" s="41" t="s">
        <v>546</v>
      </c>
    </row>
    <row r="5" spans="1:11" ht="28.5" x14ac:dyDescent="0.45">
      <c r="A5">
        <v>2</v>
      </c>
      <c r="B5" t="s">
        <v>541</v>
      </c>
      <c r="C5" s="1" t="s">
        <v>547</v>
      </c>
      <c r="D5" s="41" t="s">
        <v>546</v>
      </c>
    </row>
    <row r="6" spans="1:11" x14ac:dyDescent="0.45">
      <c r="A6">
        <v>3</v>
      </c>
      <c r="B6" t="s">
        <v>541</v>
      </c>
      <c r="C6" t="s">
        <v>548</v>
      </c>
      <c r="D6" s="41" t="s">
        <v>546</v>
      </c>
    </row>
    <row r="7" spans="1:11" ht="57" x14ac:dyDescent="0.45">
      <c r="A7">
        <v>4</v>
      </c>
      <c r="B7" t="s">
        <v>541</v>
      </c>
      <c r="C7" s="1" t="s">
        <v>551</v>
      </c>
      <c r="D7" s="41" t="s">
        <v>552</v>
      </c>
    </row>
    <row r="8" spans="1:11" ht="42.75" x14ac:dyDescent="0.45">
      <c r="A8">
        <v>5</v>
      </c>
      <c r="B8" t="s">
        <v>553</v>
      </c>
      <c r="C8" s="1" t="s">
        <v>575</v>
      </c>
      <c r="D8" s="41" t="s">
        <v>546</v>
      </c>
    </row>
    <row r="9" spans="1:11" x14ac:dyDescent="0.45">
      <c r="A9">
        <v>6</v>
      </c>
      <c r="B9" t="s">
        <v>553</v>
      </c>
      <c r="C9" s="1" t="s">
        <v>577</v>
      </c>
      <c r="D9" s="41" t="s">
        <v>576</v>
      </c>
    </row>
    <row r="10" spans="1:11" x14ac:dyDescent="0.45">
      <c r="A10">
        <v>7</v>
      </c>
      <c r="B10" t="s">
        <v>553</v>
      </c>
      <c r="C10" s="1" t="s">
        <v>578</v>
      </c>
      <c r="D10" s="41" t="s">
        <v>576</v>
      </c>
    </row>
    <row r="11" spans="1:11" ht="28.5" x14ac:dyDescent="0.45">
      <c r="A11">
        <v>8</v>
      </c>
      <c r="B11" t="s">
        <v>553</v>
      </c>
      <c r="C11" s="1" t="s">
        <v>579</v>
      </c>
      <c r="D11" s="41" t="s">
        <v>576</v>
      </c>
    </row>
    <row r="12" spans="1:11" x14ac:dyDescent="0.45">
      <c r="A12">
        <v>9</v>
      </c>
      <c r="B12" t="s">
        <v>553</v>
      </c>
      <c r="C12" s="1" t="s">
        <v>580</v>
      </c>
      <c r="D12" s="41" t="s">
        <v>576</v>
      </c>
    </row>
    <row r="13" spans="1:11" x14ac:dyDescent="0.45">
      <c r="C13" s="72" t="s">
        <v>567</v>
      </c>
      <c r="D13" s="41"/>
    </row>
    <row r="14" spans="1:11" x14ac:dyDescent="0.45">
      <c r="C14" s="1" t="s">
        <v>1031</v>
      </c>
      <c r="D14" s="41"/>
    </row>
    <row r="15" spans="1:11" ht="28.5" x14ac:dyDescent="0.45">
      <c r="C15" s="1" t="s">
        <v>1032</v>
      </c>
      <c r="D15" s="41"/>
    </row>
    <row r="16" spans="1:11" x14ac:dyDescent="0.45">
      <c r="C16" s="1"/>
      <c r="D16" s="41"/>
    </row>
    <row r="17" spans="1:4" x14ac:dyDescent="0.45">
      <c r="C17" s="1"/>
      <c r="D17" s="41"/>
    </row>
    <row r="20" spans="1:4" x14ac:dyDescent="0.45">
      <c r="A20" s="77" t="s">
        <v>756</v>
      </c>
      <c r="B20" s="76"/>
      <c r="C20" s="76"/>
      <c r="D20" s="76"/>
    </row>
    <row r="21" spans="1:4" ht="28.5" x14ac:dyDescent="0.45">
      <c r="A21" s="63"/>
      <c r="B21" s="62"/>
      <c r="C21" s="64" t="s">
        <v>842</v>
      </c>
      <c r="D21" s="41" t="s">
        <v>751</v>
      </c>
    </row>
    <row r="22" spans="1:4" ht="71.25" x14ac:dyDescent="0.45">
      <c r="A22">
        <v>1</v>
      </c>
      <c r="B22" t="s">
        <v>747</v>
      </c>
      <c r="C22" s="1" t="s">
        <v>748</v>
      </c>
      <c r="D22" s="1" t="s">
        <v>746</v>
      </c>
    </row>
    <row r="23" spans="1:4" ht="42.75" x14ac:dyDescent="0.45">
      <c r="A23">
        <v>2</v>
      </c>
      <c r="B23" t="s">
        <v>747</v>
      </c>
      <c r="C23" s="1" t="s">
        <v>749</v>
      </c>
      <c r="D23" t="s">
        <v>750</v>
      </c>
    </row>
    <row r="24" spans="1:4" ht="42.75" x14ac:dyDescent="0.45">
      <c r="A24">
        <v>3</v>
      </c>
      <c r="B24" t="s">
        <v>747</v>
      </c>
      <c r="C24" s="1" t="s">
        <v>752</v>
      </c>
      <c r="D24" s="41" t="s">
        <v>751</v>
      </c>
    </row>
    <row r="25" spans="1:4" ht="42.75" x14ac:dyDescent="0.45">
      <c r="A25">
        <v>4</v>
      </c>
      <c r="B25" t="s">
        <v>747</v>
      </c>
      <c r="C25" s="1" t="s">
        <v>753</v>
      </c>
      <c r="D25" s="41" t="s">
        <v>751</v>
      </c>
    </row>
    <row r="26" spans="1:4" ht="42.75" x14ac:dyDescent="0.45">
      <c r="A26">
        <v>5</v>
      </c>
      <c r="B26" t="s">
        <v>747</v>
      </c>
      <c r="C26" s="1" t="s">
        <v>754</v>
      </c>
      <c r="D26" s="41" t="s">
        <v>751</v>
      </c>
    </row>
    <row r="27" spans="1:4" x14ac:dyDescent="0.45">
      <c r="A27">
        <v>6</v>
      </c>
      <c r="B27" t="s">
        <v>747</v>
      </c>
      <c r="C27" s="1" t="s">
        <v>757</v>
      </c>
      <c r="D27" t="s">
        <v>758</v>
      </c>
    </row>
    <row r="28" spans="1:4" ht="28.5" x14ac:dyDescent="0.45">
      <c r="A28">
        <v>7</v>
      </c>
      <c r="B28" t="s">
        <v>747</v>
      </c>
      <c r="C28" s="1" t="s">
        <v>755</v>
      </c>
      <c r="D28" t="s">
        <v>750</v>
      </c>
    </row>
    <row r="29" spans="1:4" x14ac:dyDescent="0.45">
      <c r="A29">
        <v>8</v>
      </c>
      <c r="B29" t="s">
        <v>747</v>
      </c>
    </row>
    <row r="30" spans="1:4" x14ac:dyDescent="0.45">
      <c r="A30">
        <v>9</v>
      </c>
      <c r="B30" t="s">
        <v>747</v>
      </c>
    </row>
    <row r="31" spans="1:4" x14ac:dyDescent="0.45">
      <c r="A31">
        <v>10</v>
      </c>
      <c r="B31" t="s">
        <v>747</v>
      </c>
    </row>
    <row r="32" spans="1:4" x14ac:dyDescent="0.45">
      <c r="B32" t="s">
        <v>747</v>
      </c>
    </row>
    <row r="34" spans="3:4" x14ac:dyDescent="0.45">
      <c r="C34" t="s">
        <v>1029</v>
      </c>
      <c r="D34" s="41" t="s">
        <v>1030</v>
      </c>
    </row>
    <row r="35" spans="3:4" x14ac:dyDescent="0.45">
      <c r="C35" s="41"/>
    </row>
  </sheetData>
  <mergeCells count="2">
    <mergeCell ref="A1:D1"/>
    <mergeCell ref="A20:D20"/>
  </mergeCells>
  <hyperlinks>
    <hyperlink ref="D4" r:id="rId1"/>
    <hyperlink ref="D5" r:id="rId2"/>
    <hyperlink ref="D9" r:id="rId3"/>
    <hyperlink ref="D10" r:id="rId4"/>
    <hyperlink ref="D11:D12" r:id="rId5" display="https://account.windowsazure.us"/>
    <hyperlink ref="D24" r:id="rId6"/>
    <hyperlink ref="D25:D26" r:id="rId7" display="https://manage.windowsazure.us"/>
    <hyperlink ref="D21" r:id="rId8"/>
    <hyperlink ref="D34" r:id="rId9" display="https://technet.microsoft.com/en-us/windows-server-docs/security/securing-privileged-access/securing-privileged-access-reference-material"/>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R23" sqref="R23"/>
    </sheetView>
  </sheetViews>
  <sheetFormatPr defaultRowHeight="14.25" x14ac:dyDescent="0.45"/>
  <cols>
    <col min="3" max="3" width="22" customWidth="1"/>
  </cols>
  <sheetData>
    <row r="1" spans="1:6" x14ac:dyDescent="0.45">
      <c r="A1" t="s">
        <v>604</v>
      </c>
      <c r="B1" t="s">
        <v>590</v>
      </c>
      <c r="C1" t="s">
        <v>64</v>
      </c>
      <c r="D1" t="s">
        <v>51</v>
      </c>
      <c r="E1" t="s">
        <v>2</v>
      </c>
      <c r="F1" t="s">
        <v>234</v>
      </c>
    </row>
    <row r="2" spans="1:6" x14ac:dyDescent="0.45">
      <c r="A2" t="s">
        <v>605</v>
      </c>
      <c r="C2" t="s">
        <v>629</v>
      </c>
      <c r="D2" t="s">
        <v>627</v>
      </c>
      <c r="E2">
        <v>100</v>
      </c>
      <c r="F2" t="s">
        <v>628</v>
      </c>
    </row>
    <row r="3" spans="1:6" x14ac:dyDescent="0.45">
      <c r="A3" t="s">
        <v>606</v>
      </c>
      <c r="C3" t="s">
        <v>626</v>
      </c>
      <c r="D3" t="s">
        <v>627</v>
      </c>
      <c r="E3">
        <v>110</v>
      </c>
      <c r="F3" t="s">
        <v>628</v>
      </c>
    </row>
    <row r="4" spans="1:6" x14ac:dyDescent="0.45">
      <c r="A4" t="s">
        <v>607</v>
      </c>
    </row>
    <row r="5" spans="1:6" x14ac:dyDescent="0.45">
      <c r="A5" t="s">
        <v>608</v>
      </c>
    </row>
    <row r="6" spans="1:6" x14ac:dyDescent="0.45">
      <c r="A6" t="s">
        <v>609</v>
      </c>
    </row>
    <row r="7" spans="1:6" x14ac:dyDescent="0.45">
      <c r="A7" t="s">
        <v>610</v>
      </c>
    </row>
    <row r="8" spans="1:6" x14ac:dyDescent="0.45">
      <c r="A8" t="s">
        <v>611</v>
      </c>
    </row>
    <row r="9" spans="1:6" x14ac:dyDescent="0.45">
      <c r="A9" t="s">
        <v>612</v>
      </c>
    </row>
    <row r="10" spans="1:6" x14ac:dyDescent="0.45">
      <c r="A10" t="s">
        <v>613</v>
      </c>
    </row>
    <row r="11" spans="1:6" x14ac:dyDescent="0.45">
      <c r="A11" t="s">
        <v>614</v>
      </c>
    </row>
    <row r="12" spans="1:6" x14ac:dyDescent="0.45">
      <c r="A12" t="s">
        <v>615</v>
      </c>
    </row>
    <row r="13" spans="1:6" x14ac:dyDescent="0.45">
      <c r="A13" t="s">
        <v>616</v>
      </c>
    </row>
    <row r="14" spans="1:6" x14ac:dyDescent="0.45">
      <c r="A14" t="s">
        <v>617</v>
      </c>
    </row>
    <row r="15" spans="1:6" x14ac:dyDescent="0.45">
      <c r="A15" t="s">
        <v>618</v>
      </c>
    </row>
    <row r="16" spans="1:6" x14ac:dyDescent="0.45">
      <c r="A16" t="s">
        <v>619</v>
      </c>
    </row>
    <row r="17" spans="1:1" x14ac:dyDescent="0.45">
      <c r="A17" t="s">
        <v>620</v>
      </c>
    </row>
    <row r="18" spans="1:1" x14ac:dyDescent="0.45">
      <c r="A18" t="s">
        <v>621</v>
      </c>
    </row>
    <row r="19" spans="1:1" x14ac:dyDescent="0.45">
      <c r="A19" t="s">
        <v>622</v>
      </c>
    </row>
    <row r="20" spans="1:1" x14ac:dyDescent="0.45">
      <c r="A20" t="s">
        <v>623</v>
      </c>
    </row>
    <row r="21" spans="1:1" x14ac:dyDescent="0.45">
      <c r="A21" t="s">
        <v>624</v>
      </c>
    </row>
    <row r="22" spans="1:1" x14ac:dyDescent="0.45">
      <c r="A22" t="s">
        <v>625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D1" workbookViewId="0">
      <selection activeCell="D58" sqref="D58"/>
    </sheetView>
  </sheetViews>
  <sheetFormatPr defaultRowHeight="14.25" x14ac:dyDescent="0.45"/>
  <cols>
    <col min="2" max="2" width="12.1328125" customWidth="1"/>
    <col min="3" max="3" width="49.1328125" customWidth="1"/>
    <col min="4" max="4" width="9.59765625" customWidth="1"/>
    <col min="5" max="5" width="44.59765625" customWidth="1"/>
    <col min="7" max="7" width="14.86328125" customWidth="1"/>
    <col min="8" max="8" width="13.59765625" customWidth="1"/>
    <col min="9" max="9" width="14.86328125" customWidth="1"/>
    <col min="10" max="10" width="14.59765625" customWidth="1"/>
    <col min="16" max="16" width="26.3984375" customWidth="1"/>
  </cols>
  <sheetData>
    <row r="1" spans="1:15" x14ac:dyDescent="0.45">
      <c r="A1" t="s">
        <v>271</v>
      </c>
      <c r="B1" t="s">
        <v>273</v>
      </c>
      <c r="C1" t="s">
        <v>272</v>
      </c>
      <c r="D1" t="s">
        <v>573</v>
      </c>
      <c r="E1" t="s">
        <v>1</v>
      </c>
      <c r="F1" t="s">
        <v>274</v>
      </c>
      <c r="G1" t="s">
        <v>574</v>
      </c>
      <c r="H1" t="s">
        <v>275</v>
      </c>
      <c r="I1" t="s">
        <v>276</v>
      </c>
      <c r="J1" t="s">
        <v>292</v>
      </c>
      <c r="K1" t="s">
        <v>157</v>
      </c>
      <c r="L1" t="s">
        <v>564</v>
      </c>
      <c r="M1" t="s">
        <v>568</v>
      </c>
      <c r="N1" t="s">
        <v>150</v>
      </c>
      <c r="O1" t="s">
        <v>567</v>
      </c>
    </row>
    <row r="2" spans="1:15" x14ac:dyDescent="0.45">
      <c r="A2" t="s">
        <v>356</v>
      </c>
      <c r="B2" t="s">
        <v>319</v>
      </c>
      <c r="C2" t="str">
        <f>LOWER(Table16[[#This Row],[LocationID (Computed)]]&amp;Table16[[#This Row],[Agency (Computed)]]&amp;Table16[[#This Row],[SubName (Computed)]]&amp;Table16[[#This Row],[Purpose]]&amp;Table16[[#This Row],[Instance]])</f>
        <v>vadeptcjisbackupa</v>
      </c>
      <c r="D2">
        <f>LEN(Table16[[#This Row],[Name (Computed) ]])</f>
        <v>17</v>
      </c>
      <c r="E2" t="str">
        <f>"This storage account for Agency " &amp; Table16[[#This Row],[Agency (Computed)]]&amp;"'s, Subscription "&amp;Table16[[#This Row],[SubName (Computed)]]&amp;" workload purpose of "&amp;Table16[[#This Row],[Purpose]]</f>
        <v>This storage account for Agency dept's, Subscription CJIS workload purpose of Backup</v>
      </c>
      <c r="F2" t="str">
        <f>VLOOKUP(Table16[[#This Row],[SubID]], Subscriptions[#All], 7, FALSE)</f>
        <v>CJIS</v>
      </c>
      <c r="G2" t="str">
        <f>VLOOKUP(Table16[[#This Row],[SubID]], Subscriptions[#All], 4, FALSE)</f>
        <v>dept</v>
      </c>
      <c r="H2" t="s">
        <v>279</v>
      </c>
      <c r="I2" t="s">
        <v>779</v>
      </c>
      <c r="J2" t="s">
        <v>780</v>
      </c>
      <c r="K2" t="s">
        <v>307</v>
      </c>
      <c r="L2" t="str">
        <f>VLOOKUP(Table16[[#This Row],[SiteID]], Locations[#All], 3, FALSE)</f>
        <v>va</v>
      </c>
      <c r="M2" t="str">
        <f>VLOOKUP(Table16[[#This Row],[SiteID]], Locations[#All], 4, FALSE)</f>
        <v>USGov Virginia</v>
      </c>
      <c r="N2" t="s">
        <v>151</v>
      </c>
      <c r="O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"vadeptcjisbackupa" -Location "USGov Virginia" -Description "This storage account for Agency dept's, Subscription CJIS workload purpose of Backup" -Type "Standard_GRS"</v>
      </c>
    </row>
    <row r="3" spans="1:15" x14ac:dyDescent="0.45">
      <c r="A3" t="s">
        <v>361</v>
      </c>
      <c r="B3" t="s">
        <v>319</v>
      </c>
      <c r="C3" t="str">
        <f>LOWER(Table16[[#This Row],[LocationID (Computed)]]&amp;Table16[[#This Row],[Agency (Computed)]]&amp;Table16[[#This Row],[SubName (Computed)]]&amp;Table16[[#This Row],[Purpose]]&amp;Table16[[#This Row],[Instance]])</f>
        <v>iadeptcjisbackupa</v>
      </c>
      <c r="D3">
        <f>LEN(Table16[[#This Row],[Name (Computed) ]])</f>
        <v>17</v>
      </c>
      <c r="E3" t="str">
        <f>"This storage account for Agency " &amp; Table16[[#This Row],[Agency (Computed)]]&amp;"'s, Subscription "&amp;Table16[[#This Row],[SubName (Computed)]]&amp;" workload purpose of "&amp;Table16[[#This Row],[Purpose]]</f>
        <v>This storage account for Agency dept's, Subscription CJIS workload purpose of Backup</v>
      </c>
      <c r="F3" t="str">
        <f>VLOOKUP(Table16[[#This Row],[SubID]], Subscriptions[#All], 7, FALSE)</f>
        <v>CJIS</v>
      </c>
      <c r="G3" t="str">
        <f>VLOOKUP(Table16[[#This Row],[SubID]], Subscriptions[#All], 4, FALSE)</f>
        <v>dept</v>
      </c>
      <c r="H3" t="s">
        <v>279</v>
      </c>
      <c r="I3" t="s">
        <v>779</v>
      </c>
      <c r="J3" t="s">
        <v>780</v>
      </c>
      <c r="K3" t="s">
        <v>565</v>
      </c>
      <c r="L3" t="str">
        <f>VLOOKUP(Table16[[#This Row],[SiteID]], Locations[#All], 3, FALSE)</f>
        <v>ia</v>
      </c>
      <c r="M3" t="str">
        <f>VLOOKUP(Table16[[#This Row],[SiteID]], Locations[#All], 4, FALSE)</f>
        <v>USGov Iowa</v>
      </c>
      <c r="N3" t="s">
        <v>151</v>
      </c>
      <c r="O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"iadeptcjisbackupa" -Location "USGov Iowa" -Description "This storage account for Agency dept's, Subscription CJIS workload purpose of Backup" -Type "Standard_GRS"</v>
      </c>
    </row>
    <row r="4" spans="1:15" x14ac:dyDescent="0.45">
      <c r="A4" t="s">
        <v>336</v>
      </c>
      <c r="B4" t="s">
        <v>319</v>
      </c>
      <c r="C4" t="str">
        <f>LOWER(Table16[[#This Row],[LocationID (Computed)]]&amp;Table16[[#This Row],[Agency (Computed)]]&amp;Table16[[#This Row],[SubName (Computed)]]&amp;Table16[[#This Row],[Purpose]]&amp;Table16[[#This Row],[Instance]])</f>
        <v>vadeptcjisdataa</v>
      </c>
      <c r="D4">
        <f>LEN(Table16[[#This Row],[Name (Computed) ]])</f>
        <v>15</v>
      </c>
      <c r="E4" t="str">
        <f>"This storage account for Agency " &amp; Table16[[#This Row],[Agency (Computed)]]&amp;"'s, Subscription "&amp;Table16[[#This Row],[SubName (Computed)]]&amp;" workload purpose of "&amp;Table16[[#This Row],[Purpose]]</f>
        <v>This storage account for Agency dept's, Subscription CJIS workload purpose of Data</v>
      </c>
      <c r="F4" t="str">
        <f>VLOOKUP(Table16[[#This Row],[SubID]], Subscriptions[#All], 7, FALSE)</f>
        <v>CJIS</v>
      </c>
      <c r="G4" t="str">
        <f>VLOOKUP(Table16[[#This Row],[SubID]], Subscriptions[#All], 4, FALSE)</f>
        <v>dept</v>
      </c>
      <c r="H4" t="s">
        <v>279</v>
      </c>
      <c r="I4" t="s">
        <v>572</v>
      </c>
      <c r="J4" t="s">
        <v>294</v>
      </c>
      <c r="K4" t="s">
        <v>307</v>
      </c>
      <c r="L4" t="str">
        <f>VLOOKUP(Table16[[#This Row],[SiteID]], Locations[#All], 3, FALSE)</f>
        <v>va</v>
      </c>
      <c r="M4" t="str">
        <f>VLOOKUP(Table16[[#This Row],[SiteID]], Locations[#All], 4, FALSE)</f>
        <v>USGov Virginia</v>
      </c>
      <c r="N4" t="s">
        <v>151</v>
      </c>
      <c r="O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"vadeptcjisdataa" -Location "USGov Virginia" -Description "This storage account for Agency dept's, Subscription CJIS workload purpose of Data" -Type "Standard_LRS"</v>
      </c>
    </row>
    <row r="5" spans="1:15" x14ac:dyDescent="0.45">
      <c r="A5" t="s">
        <v>341</v>
      </c>
      <c r="B5" t="s">
        <v>319</v>
      </c>
      <c r="C5" t="str">
        <f>LOWER(Table16[[#This Row],[LocationID (Computed)]]&amp;Table16[[#This Row],[Agency (Computed)]]&amp;Table16[[#This Row],[SubName (Computed)]]&amp;Table16[[#This Row],[Purpose]]&amp;Table16[[#This Row],[Instance]])</f>
        <v>iadeptcjisdataa</v>
      </c>
      <c r="D5">
        <f>LEN(Table16[[#This Row],[Name (Computed) ]])</f>
        <v>15</v>
      </c>
      <c r="E5" t="str">
        <f>"This storage account for Agency " &amp; Table16[[#This Row],[Agency (Computed)]]&amp;"'s, Subscription "&amp;Table16[[#This Row],[SubName (Computed)]]&amp;" workload purpose of "&amp;Table16[[#This Row],[Purpose]]</f>
        <v>This storage account for Agency dept's, Subscription CJIS workload purpose of Data</v>
      </c>
      <c r="F5" t="str">
        <f>VLOOKUP(Table16[[#This Row],[SubID]], Subscriptions[#All], 7, FALSE)</f>
        <v>CJIS</v>
      </c>
      <c r="G5" t="str">
        <f>VLOOKUP(Table16[[#This Row],[SubID]], Subscriptions[#All], 4, FALSE)</f>
        <v>dept</v>
      </c>
      <c r="H5" t="s">
        <v>279</v>
      </c>
      <c r="I5" t="s">
        <v>572</v>
      </c>
      <c r="J5" t="s">
        <v>294</v>
      </c>
      <c r="K5" t="s">
        <v>565</v>
      </c>
      <c r="L5" t="str">
        <f>VLOOKUP(Table16[[#This Row],[SiteID]], Locations[#All], 3, FALSE)</f>
        <v>ia</v>
      </c>
      <c r="M5" t="str">
        <f>VLOOKUP(Table16[[#This Row],[SiteID]], Locations[#All], 4, FALSE)</f>
        <v>USGov Iowa</v>
      </c>
      <c r="N5" t="s">
        <v>151</v>
      </c>
      <c r="O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"iadeptcjisdataa" -Location "USGov Iowa" -Description "This storage account for Agency dept's, Subscription CJIS workload purpose of Data" -Type "Standard_LRS"</v>
      </c>
    </row>
    <row r="6" spans="1:15" x14ac:dyDescent="0.45">
      <c r="A6" t="s">
        <v>346</v>
      </c>
      <c r="B6" t="s">
        <v>319</v>
      </c>
      <c r="C6" t="str">
        <f>LOWER(Table16[[#This Row],[LocationID (Computed)]]&amp;Table16[[#This Row],[Agency (Computed)]]&amp;Table16[[#This Row],[SubName (Computed)]]&amp;Table16[[#This Row],[Purpose]]&amp;Table16[[#This Row],[Instance]])</f>
        <v>vadeptcjisdba</v>
      </c>
      <c r="D6">
        <f>LEN(Table16[[#This Row],[Name (Computed) ]])</f>
        <v>13</v>
      </c>
      <c r="E6" t="str">
        <f>"This storage account for Agency " &amp; Table16[[#This Row],[Agency (Computed)]]&amp;"'s, Subscription "&amp;Table16[[#This Row],[SubName (Computed)]]&amp;" workload purpose of "&amp;Table16[[#This Row],[Purpose]]</f>
        <v>This storage account for Agency dept's, Subscription CJIS workload purpose of DB</v>
      </c>
      <c r="F6" t="str">
        <f>VLOOKUP(Table16[[#This Row],[SubID]], Subscriptions[#All], 7, FALSE)</f>
        <v>CJIS</v>
      </c>
      <c r="G6" t="str">
        <f>VLOOKUP(Table16[[#This Row],[SubID]], Subscriptions[#All], 4, FALSE)</f>
        <v>dept</v>
      </c>
      <c r="H6" t="s">
        <v>279</v>
      </c>
      <c r="I6" t="s">
        <v>781</v>
      </c>
      <c r="J6" t="s">
        <v>488</v>
      </c>
      <c r="K6" t="s">
        <v>307</v>
      </c>
      <c r="L6" t="str">
        <f>VLOOKUP(Table16[[#This Row],[SiteID]], Locations[#All], 3, FALSE)</f>
        <v>va</v>
      </c>
      <c r="M6" t="str">
        <f>VLOOKUP(Table16[[#This Row],[SiteID]], Locations[#All], 4, FALSE)</f>
        <v>USGov Virginia</v>
      </c>
      <c r="N6" t="s">
        <v>151</v>
      </c>
      <c r="O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"vadeptcjisdba" -Location "USGov Virginia" -Description "This storage account for Agency dept's, Subscription CJIS workload purpose of DB" -Type "Premium_LRS"</v>
      </c>
    </row>
    <row r="7" spans="1:15" x14ac:dyDescent="0.45">
      <c r="A7" t="s">
        <v>351</v>
      </c>
      <c r="B7" t="s">
        <v>319</v>
      </c>
      <c r="C7" t="str">
        <f>LOWER(Table16[[#This Row],[LocationID (Computed)]]&amp;Table16[[#This Row],[Agency (Computed)]]&amp;Table16[[#This Row],[SubName (Computed)]]&amp;Table16[[#This Row],[Purpose]]&amp;Table16[[#This Row],[Instance]])</f>
        <v>iadeptcjisdba</v>
      </c>
      <c r="D7">
        <f>LEN(Table16[[#This Row],[Name (Computed) ]])</f>
        <v>13</v>
      </c>
      <c r="E7" t="str">
        <f>"This storage account for Agency " &amp; Table16[[#This Row],[Agency (Computed)]]&amp;"'s, Subscription "&amp;Table16[[#This Row],[SubName (Computed)]]&amp;" workload purpose of "&amp;Table16[[#This Row],[Purpose]]</f>
        <v>This storage account for Agency dept's, Subscription CJIS workload purpose of DB</v>
      </c>
      <c r="F7" t="str">
        <f>VLOOKUP(Table16[[#This Row],[SubID]], Subscriptions[#All], 7, FALSE)</f>
        <v>CJIS</v>
      </c>
      <c r="G7" t="str">
        <f>VLOOKUP(Table16[[#This Row],[SubID]], Subscriptions[#All], 4, FALSE)</f>
        <v>dept</v>
      </c>
      <c r="H7" t="s">
        <v>279</v>
      </c>
      <c r="I7" t="s">
        <v>781</v>
      </c>
      <c r="J7" t="s">
        <v>488</v>
      </c>
      <c r="K7" t="s">
        <v>565</v>
      </c>
      <c r="L7" t="str">
        <f>VLOOKUP(Table16[[#This Row],[SiteID]], Locations[#All], 3, FALSE)</f>
        <v>ia</v>
      </c>
      <c r="M7" t="str">
        <f>VLOOKUP(Table16[[#This Row],[SiteID]], Locations[#All], 4, FALSE)</f>
        <v>USGov Iowa</v>
      </c>
      <c r="N7" t="s">
        <v>151</v>
      </c>
      <c r="O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"iadeptcjisdba" -Location "USGov Iowa" -Description "This storage account for Agency dept's, Subscription CJIS workload purpose of DB" -Type "Premium_LRS"</v>
      </c>
    </row>
    <row r="8" spans="1:15" x14ac:dyDescent="0.45">
      <c r="A8" t="s">
        <v>288</v>
      </c>
      <c r="B8" t="s">
        <v>319</v>
      </c>
      <c r="C8" t="str">
        <f>LOWER(Table16[[#This Row],[LocationID (Computed)]]&amp;Table16[[#This Row],[Agency (Computed)]]&amp;Table16[[#This Row],[SubName (Computed)]]&amp;Table16[[#This Row],[Purpose]]&amp;Table16[[#This Row],[Instance]])</f>
        <v>vadeptcjisimagesa</v>
      </c>
      <c r="D8">
        <f>LEN(Table16[[#This Row],[Name (Computed) ]])</f>
        <v>17</v>
      </c>
      <c r="E8" t="str">
        <f>"This storage account for Agency " &amp; Table16[[#This Row],[Agency (Computed)]]&amp;"'s, Subscription "&amp;Table16[[#This Row],[SubName (Computed)]]&amp;" workload purpose of "&amp;Table16[[#This Row],[Purpose]]</f>
        <v>This storage account for Agency dept's, Subscription CJIS workload purpose of Images</v>
      </c>
      <c r="F8" t="str">
        <f>VLOOKUP(Table16[[#This Row],[SubID]], Subscriptions[#All], 7, FALSE)</f>
        <v>CJIS</v>
      </c>
      <c r="G8" t="str">
        <f>VLOOKUP(Table16[[#This Row],[SubID]], Subscriptions[#All], 4, FALSE)</f>
        <v>dept</v>
      </c>
      <c r="H8" t="s">
        <v>279</v>
      </c>
      <c r="I8" t="s">
        <v>572</v>
      </c>
      <c r="J8" t="s">
        <v>293</v>
      </c>
      <c r="K8" t="s">
        <v>307</v>
      </c>
      <c r="L8" t="str">
        <f>VLOOKUP(Table16[[#This Row],[SiteID]], Locations[#All], 3, FALSE)</f>
        <v>va</v>
      </c>
      <c r="M8" t="str">
        <f>VLOOKUP(Table16[[#This Row],[SiteID]], Locations[#All], 4, FALSE)</f>
        <v>USGov Virginia</v>
      </c>
      <c r="N8" t="s">
        <v>151</v>
      </c>
      <c r="O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"vadeptcjisimagesa" -Location "USGov Virginia" -Description "This storage account for Agency dept's, Subscription CJIS workload purpose of Images" -Type "Standard_LRS"</v>
      </c>
    </row>
    <row r="9" spans="1:15" x14ac:dyDescent="0.45">
      <c r="A9" t="s">
        <v>331</v>
      </c>
      <c r="B9" t="s">
        <v>319</v>
      </c>
      <c r="C9" t="str">
        <f>LOWER(Table16[[#This Row],[LocationID (Computed)]]&amp;Table16[[#This Row],[Agency (Computed)]]&amp;Table16[[#This Row],[SubName (Computed)]]&amp;Table16[[#This Row],[Purpose]]&amp;Table16[[#This Row],[Instance]])</f>
        <v>iadeptcjisimagesa</v>
      </c>
      <c r="D9">
        <f>LEN(Table16[[#This Row],[Name (Computed) ]])</f>
        <v>17</v>
      </c>
      <c r="E9" t="str">
        <f>"This storage account for Agency " &amp; Table16[[#This Row],[Agency (Computed)]]&amp;"'s, Subscription "&amp;Table16[[#This Row],[SubName (Computed)]]&amp;" workload purpose of "&amp;Table16[[#This Row],[Purpose]]</f>
        <v>This storage account for Agency dept's, Subscription CJIS workload purpose of Images</v>
      </c>
      <c r="F9" t="str">
        <f>VLOOKUP(Table16[[#This Row],[SubID]], Subscriptions[#All], 7, FALSE)</f>
        <v>CJIS</v>
      </c>
      <c r="G9" t="str">
        <f>VLOOKUP(Table16[[#This Row],[SubID]], Subscriptions[#All], 4, FALSE)</f>
        <v>dept</v>
      </c>
      <c r="H9" t="s">
        <v>279</v>
      </c>
      <c r="I9" t="s">
        <v>572</v>
      </c>
      <c r="J9" t="s">
        <v>293</v>
      </c>
      <c r="K9" t="s">
        <v>565</v>
      </c>
      <c r="L9" t="str">
        <f>VLOOKUP(Table16[[#This Row],[SiteID]], Locations[#All], 3, FALSE)</f>
        <v>ia</v>
      </c>
      <c r="M9" t="str">
        <f>VLOOKUP(Table16[[#This Row],[SiteID]], Locations[#All], 4, FALSE)</f>
        <v>USGov Iowa</v>
      </c>
      <c r="N9" t="s">
        <v>151</v>
      </c>
      <c r="O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"iadeptcjisimagesa" -Location "USGov Iowa" -Description "This storage account for Agency dept's, Subscription CJIS workload purpose of Images" -Type "Standard_LRS"</v>
      </c>
    </row>
    <row r="10" spans="1:15" x14ac:dyDescent="0.45">
      <c r="A10" t="s">
        <v>277</v>
      </c>
      <c r="B10" t="s">
        <v>319</v>
      </c>
      <c r="C10" t="str">
        <f>LOWER(Table16[[#This Row],[LocationID (Computed)]]&amp;Table16[[#This Row],[Agency (Computed)]]&amp;Table16[[#This Row],[SubName (Computed)]]&amp;Table16[[#This Row],[Purpose]]&amp;Table16[[#This Row],[Instance]])</f>
        <v>vadeptcjisosa</v>
      </c>
      <c r="D10">
        <f>LEN(Table16[[#This Row],[Name (Computed) ]])</f>
        <v>13</v>
      </c>
      <c r="E10" t="str">
        <f>"This storage account for Agency " &amp; Table16[[#This Row],[Agency (Computed)]]&amp;"'s, Subscription "&amp;Table16[[#This Row],[SubName (Computed)]]&amp;" workload purpose of "&amp;Table16[[#This Row],[Purpose]]</f>
        <v>This storage account for Agency dept's, Subscription CJIS workload purpose of OS</v>
      </c>
      <c r="F10" t="str">
        <f>VLOOKUP(Table16[[#This Row],[SubID]], Subscriptions[#All], 7, FALSE)</f>
        <v>CJIS</v>
      </c>
      <c r="G10" t="str">
        <f>VLOOKUP(Table16[[#This Row],[SubID]], Subscriptions[#All], 4, FALSE)</f>
        <v>dept</v>
      </c>
      <c r="H10" t="s">
        <v>279</v>
      </c>
      <c r="I10" t="s">
        <v>572</v>
      </c>
      <c r="J10" t="s">
        <v>192</v>
      </c>
      <c r="K10" t="s">
        <v>307</v>
      </c>
      <c r="L10" t="str">
        <f>VLOOKUP(Table16[[#This Row],[SiteID]], Locations[#All], 3, FALSE)</f>
        <v>va</v>
      </c>
      <c r="M10" t="str">
        <f>VLOOKUP(Table16[[#This Row],[SiteID]], Locations[#All], 4, FALSE)</f>
        <v>USGov Virginia</v>
      </c>
      <c r="N10" t="s">
        <v>151</v>
      </c>
      <c r="O1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"vadeptcjisosa" -Location "USGov Virginia" -Description "This storage account for Agency dept's, Subscription CJIS workload purpose of OS" -Type "Standard_LRS"</v>
      </c>
    </row>
    <row r="11" spans="1:15" x14ac:dyDescent="0.45">
      <c r="A11" t="s">
        <v>283</v>
      </c>
      <c r="B11" t="s">
        <v>319</v>
      </c>
      <c r="C11" t="str">
        <f>LOWER(Table16[[#This Row],[LocationID (Computed)]]&amp;Table16[[#This Row],[Agency (Computed)]]&amp;Table16[[#This Row],[SubName (Computed)]]&amp;Table16[[#This Row],[Purpose]]&amp;Table16[[#This Row],[Instance]])</f>
        <v>iadeptcjisosa</v>
      </c>
      <c r="D11">
        <f>LEN(Table16[[#This Row],[Name (Computed) ]])</f>
        <v>13</v>
      </c>
      <c r="E11" t="str">
        <f>"This storage account for Agency " &amp; Table16[[#This Row],[Agency (Computed)]]&amp;"'s, Subscription "&amp;Table16[[#This Row],[SubName (Computed)]]&amp;" workload purpose of "&amp;Table16[[#This Row],[Purpose]]</f>
        <v>This storage account for Agency dept's, Subscription CJIS workload purpose of OS</v>
      </c>
      <c r="F11" t="str">
        <f>VLOOKUP(Table16[[#This Row],[SubID]], Subscriptions[#All], 7, FALSE)</f>
        <v>CJIS</v>
      </c>
      <c r="G11" t="str">
        <f>VLOOKUP(Table16[[#This Row],[SubID]], Subscriptions[#All], 4, FALSE)</f>
        <v>dept</v>
      </c>
      <c r="H11" t="s">
        <v>279</v>
      </c>
      <c r="I11" t="s">
        <v>572</v>
      </c>
      <c r="J11" t="s">
        <v>192</v>
      </c>
      <c r="K11" t="s">
        <v>565</v>
      </c>
      <c r="L11" t="str">
        <f>VLOOKUP(Table16[[#This Row],[SiteID]], Locations[#All], 3, FALSE)</f>
        <v>ia</v>
      </c>
      <c r="M11" t="str">
        <f>VLOOKUP(Table16[[#This Row],[SiteID]], Locations[#All], 4, FALSE)</f>
        <v>USGov Iowa</v>
      </c>
      <c r="N11" t="s">
        <v>151</v>
      </c>
      <c r="O1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"iadeptcjisosa" -Location "USGov Iowa" -Description "This storage account for Agency dept's, Subscription CJIS workload purpose of OS" -Type "Standard_LRS"</v>
      </c>
    </row>
    <row r="12" spans="1:15" x14ac:dyDescent="0.45">
      <c r="A12" t="s">
        <v>357</v>
      </c>
      <c r="B12" t="s">
        <v>320</v>
      </c>
      <c r="C12" t="str">
        <f>LOWER(Table16[[#This Row],[LocationID (Computed)]]&amp;Table16[[#This Row],[Agency (Computed)]]&amp;Table16[[#This Row],[SubName (Computed)]]&amp;Table16[[#This Row],[Purpose]]&amp;Table16[[#This Row],[Instance]])</f>
        <v>vadeptpreprodbackupa</v>
      </c>
      <c r="D12">
        <f>LEN(Table16[[#This Row],[Name (Computed) ]])</f>
        <v>20</v>
      </c>
      <c r="E12" t="str">
        <f>"This storage account for Agency " &amp; Table16[[#This Row],[Agency (Computed)]]&amp;"'s, Subscription "&amp;Table16[[#This Row],[SubName (Computed)]]&amp;" workload purpose of "&amp;Table16[[#This Row],[Purpose]]</f>
        <v>This storage account for Agency dept's, Subscription PreProd workload purpose of Backup</v>
      </c>
      <c r="F12" t="str">
        <f>VLOOKUP(Table16[[#This Row],[SubID]], Subscriptions[#All], 7, FALSE)</f>
        <v>PreProd</v>
      </c>
      <c r="G12" t="str">
        <f>VLOOKUP(Table16[[#This Row],[SubID]], Subscriptions[#All], 4, FALSE)</f>
        <v>dept</v>
      </c>
      <c r="H12" t="s">
        <v>279</v>
      </c>
      <c r="I12" t="s">
        <v>779</v>
      </c>
      <c r="J12" t="s">
        <v>780</v>
      </c>
      <c r="K12" t="s">
        <v>307</v>
      </c>
      <c r="L12" t="str">
        <f>VLOOKUP(Table16[[#This Row],[SiteID]], Locations[#All], 3, FALSE)</f>
        <v>va</v>
      </c>
      <c r="M12" t="str">
        <f>VLOOKUP(Table16[[#This Row],[SiteID]], Locations[#All], 4, FALSE)</f>
        <v>USGov Virginia</v>
      </c>
      <c r="N12" t="s">
        <v>151</v>
      </c>
      <c r="O1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"vadeptpreprodbackupa" -Location "USGov Virginia" -Description "This storage account for Agency dept's, Subscription PreProd workload purpose of Backup" -Type "Standard_GRS"</v>
      </c>
    </row>
    <row r="13" spans="1:15" x14ac:dyDescent="0.45">
      <c r="A13" t="s">
        <v>362</v>
      </c>
      <c r="B13" t="s">
        <v>320</v>
      </c>
      <c r="C13" t="str">
        <f>LOWER(Table16[[#This Row],[LocationID (Computed)]]&amp;Table16[[#This Row],[Agency (Computed)]]&amp;Table16[[#This Row],[SubName (Computed)]]&amp;Table16[[#This Row],[Purpose]]&amp;Table16[[#This Row],[Instance]])</f>
        <v>iadeptpreprodbackupa</v>
      </c>
      <c r="D13">
        <f>LEN(Table16[[#This Row],[Name (Computed) ]])</f>
        <v>20</v>
      </c>
      <c r="E13" t="str">
        <f>"This storage account for Agency " &amp; Table16[[#This Row],[Agency (Computed)]]&amp;"'s, Subscription "&amp;Table16[[#This Row],[SubName (Computed)]]&amp;" workload purpose of "&amp;Table16[[#This Row],[Purpose]]</f>
        <v>This storage account for Agency dept's, Subscription PreProd workload purpose of Backup</v>
      </c>
      <c r="F13" t="str">
        <f>VLOOKUP(Table16[[#This Row],[SubID]], Subscriptions[#All], 7, FALSE)</f>
        <v>PreProd</v>
      </c>
      <c r="G13" t="str">
        <f>VLOOKUP(Table16[[#This Row],[SubID]], Subscriptions[#All], 4, FALSE)</f>
        <v>dept</v>
      </c>
      <c r="H13" t="s">
        <v>279</v>
      </c>
      <c r="I13" t="s">
        <v>779</v>
      </c>
      <c r="J13" t="s">
        <v>780</v>
      </c>
      <c r="K13" t="s">
        <v>565</v>
      </c>
      <c r="L13" t="str">
        <f>VLOOKUP(Table16[[#This Row],[SiteID]], Locations[#All], 3, FALSE)</f>
        <v>ia</v>
      </c>
      <c r="M13" t="str">
        <f>VLOOKUP(Table16[[#This Row],[SiteID]], Locations[#All], 4, FALSE)</f>
        <v>USGov Iowa</v>
      </c>
      <c r="N13" t="s">
        <v>151</v>
      </c>
      <c r="O1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"iadeptpreprodbackupa" -Location "USGov Iowa" -Description "This storage account for Agency dept's, Subscription PreProd workload purpose of Backup" -Type "Standard_GRS"</v>
      </c>
    </row>
    <row r="14" spans="1:15" x14ac:dyDescent="0.45">
      <c r="A14" t="s">
        <v>337</v>
      </c>
      <c r="B14" t="s">
        <v>320</v>
      </c>
      <c r="C14" t="str">
        <f>LOWER(Table16[[#This Row],[LocationID (Computed)]]&amp;Table16[[#This Row],[Agency (Computed)]]&amp;Table16[[#This Row],[SubName (Computed)]]&amp;Table16[[#This Row],[Purpose]]&amp;Table16[[#This Row],[Instance]])</f>
        <v>vadeptpreproddataa</v>
      </c>
      <c r="D14">
        <f>LEN(Table16[[#This Row],[Name (Computed) ]])</f>
        <v>18</v>
      </c>
      <c r="E14" t="str">
        <f>"This storage account for Agency " &amp; Table16[[#This Row],[Agency (Computed)]]&amp;"'s, Subscription "&amp;Table16[[#This Row],[SubName (Computed)]]&amp;" workload purpose of "&amp;Table16[[#This Row],[Purpose]]</f>
        <v>This storage account for Agency dept's, Subscription PreProd workload purpose of Data</v>
      </c>
      <c r="F14" t="str">
        <f>VLOOKUP(Table16[[#This Row],[SubID]], Subscriptions[#All], 7, FALSE)</f>
        <v>PreProd</v>
      </c>
      <c r="G14" t="str">
        <f>VLOOKUP(Table16[[#This Row],[SubID]], Subscriptions[#All], 4, FALSE)</f>
        <v>dept</v>
      </c>
      <c r="H14" t="s">
        <v>279</v>
      </c>
      <c r="I14" t="s">
        <v>572</v>
      </c>
      <c r="J14" t="s">
        <v>294</v>
      </c>
      <c r="K14" t="s">
        <v>307</v>
      </c>
      <c r="L14" t="str">
        <f>VLOOKUP(Table16[[#This Row],[SiteID]], Locations[#All], 3, FALSE)</f>
        <v>va</v>
      </c>
      <c r="M14" t="str">
        <f>VLOOKUP(Table16[[#This Row],[SiteID]], Locations[#All], 4, FALSE)</f>
        <v>USGov Virginia</v>
      </c>
      <c r="N14" t="s">
        <v>151</v>
      </c>
      <c r="O1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"vadeptpreproddataa" -Location "USGov Virginia" -Description "This storage account for Agency dept's, Subscription PreProd workload purpose of Data" -Type "Standard_LRS"</v>
      </c>
    </row>
    <row r="15" spans="1:15" x14ac:dyDescent="0.45">
      <c r="A15" t="s">
        <v>342</v>
      </c>
      <c r="B15" t="s">
        <v>320</v>
      </c>
      <c r="C15" t="str">
        <f>LOWER(Table16[[#This Row],[LocationID (Computed)]]&amp;Table16[[#This Row],[Agency (Computed)]]&amp;Table16[[#This Row],[SubName (Computed)]]&amp;Table16[[#This Row],[Purpose]]&amp;Table16[[#This Row],[Instance]])</f>
        <v>iadeptpreproddataa</v>
      </c>
      <c r="D15">
        <f>LEN(Table16[[#This Row],[Name (Computed) ]])</f>
        <v>18</v>
      </c>
      <c r="E15" t="str">
        <f>"This storage account for Agency " &amp; Table16[[#This Row],[Agency (Computed)]]&amp;"'s, Subscription "&amp;Table16[[#This Row],[SubName (Computed)]]&amp;" workload purpose of "&amp;Table16[[#This Row],[Purpose]]</f>
        <v>This storage account for Agency dept's, Subscription PreProd workload purpose of Data</v>
      </c>
      <c r="F15" t="str">
        <f>VLOOKUP(Table16[[#This Row],[SubID]], Subscriptions[#All], 7, FALSE)</f>
        <v>PreProd</v>
      </c>
      <c r="G15" t="str">
        <f>VLOOKUP(Table16[[#This Row],[SubID]], Subscriptions[#All], 4, FALSE)</f>
        <v>dept</v>
      </c>
      <c r="H15" t="s">
        <v>279</v>
      </c>
      <c r="I15" t="s">
        <v>572</v>
      </c>
      <c r="J15" t="s">
        <v>294</v>
      </c>
      <c r="K15" t="s">
        <v>565</v>
      </c>
      <c r="L15" t="str">
        <f>VLOOKUP(Table16[[#This Row],[SiteID]], Locations[#All], 3, FALSE)</f>
        <v>ia</v>
      </c>
      <c r="M15" t="str">
        <f>VLOOKUP(Table16[[#This Row],[SiteID]], Locations[#All], 4, FALSE)</f>
        <v>USGov Iowa</v>
      </c>
      <c r="N15" t="s">
        <v>151</v>
      </c>
      <c r="O1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"iadeptpreproddataa" -Location "USGov Iowa" -Description "This storage account for Agency dept's, Subscription PreProd workload purpose of Data" -Type "Standard_LRS"</v>
      </c>
    </row>
    <row r="16" spans="1:15" x14ac:dyDescent="0.45">
      <c r="A16" t="s">
        <v>347</v>
      </c>
      <c r="B16" t="s">
        <v>320</v>
      </c>
      <c r="C16" t="str">
        <f>LOWER(Table16[[#This Row],[LocationID (Computed)]]&amp;Table16[[#This Row],[Agency (Computed)]]&amp;Table16[[#This Row],[SubName (Computed)]]&amp;Table16[[#This Row],[Purpose]]&amp;Table16[[#This Row],[Instance]])</f>
        <v>vadeptpreproddba</v>
      </c>
      <c r="D16">
        <f>LEN(Table16[[#This Row],[Name (Computed) ]])</f>
        <v>16</v>
      </c>
      <c r="E16" t="str">
        <f>"This storage account for Agency " &amp; Table16[[#This Row],[Agency (Computed)]]&amp;"'s, Subscription "&amp;Table16[[#This Row],[SubName (Computed)]]&amp;" workload purpose of "&amp;Table16[[#This Row],[Purpose]]</f>
        <v>This storage account for Agency dept's, Subscription PreProd workload purpose of DB</v>
      </c>
      <c r="F16" t="str">
        <f>VLOOKUP(Table16[[#This Row],[SubID]], Subscriptions[#All], 7, FALSE)</f>
        <v>PreProd</v>
      </c>
      <c r="G16" t="str">
        <f>VLOOKUP(Table16[[#This Row],[SubID]], Subscriptions[#All], 4, FALSE)</f>
        <v>dept</v>
      </c>
      <c r="H16" t="s">
        <v>279</v>
      </c>
      <c r="I16" t="s">
        <v>781</v>
      </c>
      <c r="J16" t="s">
        <v>488</v>
      </c>
      <c r="K16" t="s">
        <v>307</v>
      </c>
      <c r="L16" t="str">
        <f>VLOOKUP(Table16[[#This Row],[SiteID]], Locations[#All], 3, FALSE)</f>
        <v>va</v>
      </c>
      <c r="M16" t="str">
        <f>VLOOKUP(Table16[[#This Row],[SiteID]], Locations[#All], 4, FALSE)</f>
        <v>USGov Virginia</v>
      </c>
      <c r="N16" t="s">
        <v>151</v>
      </c>
      <c r="O1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"vadeptpreproddba" -Location "USGov Virginia" -Description "This storage account for Agency dept's, Subscription PreProd workload purpose of DB" -Type "Premium_LRS"</v>
      </c>
    </row>
    <row r="17" spans="1:15" x14ac:dyDescent="0.45">
      <c r="A17" t="s">
        <v>352</v>
      </c>
      <c r="B17" t="s">
        <v>320</v>
      </c>
      <c r="C17" t="str">
        <f>LOWER(Table16[[#This Row],[LocationID (Computed)]]&amp;Table16[[#This Row],[Agency (Computed)]]&amp;Table16[[#This Row],[SubName (Computed)]]&amp;Table16[[#This Row],[Purpose]]&amp;Table16[[#This Row],[Instance]])</f>
        <v>iadeptpreproddba</v>
      </c>
      <c r="D17">
        <f>LEN(Table16[[#This Row],[Name (Computed) ]])</f>
        <v>16</v>
      </c>
      <c r="E17" t="str">
        <f>"This storage account for Agency " &amp; Table16[[#This Row],[Agency (Computed)]]&amp;"'s, Subscription "&amp;Table16[[#This Row],[SubName (Computed)]]&amp;" workload purpose of "&amp;Table16[[#This Row],[Purpose]]</f>
        <v>This storage account for Agency dept's, Subscription PreProd workload purpose of DB</v>
      </c>
      <c r="F17" t="str">
        <f>VLOOKUP(Table16[[#This Row],[SubID]], Subscriptions[#All], 7, FALSE)</f>
        <v>PreProd</v>
      </c>
      <c r="G17" t="str">
        <f>VLOOKUP(Table16[[#This Row],[SubID]], Subscriptions[#All], 4, FALSE)</f>
        <v>dept</v>
      </c>
      <c r="H17" t="s">
        <v>279</v>
      </c>
      <c r="I17" t="s">
        <v>781</v>
      </c>
      <c r="J17" t="s">
        <v>488</v>
      </c>
      <c r="K17" t="s">
        <v>565</v>
      </c>
      <c r="L17" t="str">
        <f>VLOOKUP(Table16[[#This Row],[SiteID]], Locations[#All], 3, FALSE)</f>
        <v>ia</v>
      </c>
      <c r="M17" t="str">
        <f>VLOOKUP(Table16[[#This Row],[SiteID]], Locations[#All], 4, FALSE)</f>
        <v>USGov Iowa</v>
      </c>
      <c r="N17" t="s">
        <v>151</v>
      </c>
      <c r="O1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"iadeptpreproddba" -Location "USGov Iowa" -Description "This storage account for Agency dept's, Subscription PreProd workload purpose of DB" -Type "Premium_LRS"</v>
      </c>
    </row>
    <row r="18" spans="1:15" x14ac:dyDescent="0.45">
      <c r="A18" t="s">
        <v>289</v>
      </c>
      <c r="B18" t="s">
        <v>320</v>
      </c>
      <c r="C18" t="str">
        <f>LOWER(Table16[[#This Row],[LocationID (Computed)]]&amp;Table16[[#This Row],[Agency (Computed)]]&amp;Table16[[#This Row],[SubName (Computed)]]&amp;Table16[[#This Row],[Purpose]]&amp;Table16[[#This Row],[Instance]])</f>
        <v>vadeptpreprodimagesa</v>
      </c>
      <c r="D18">
        <f>LEN(Table16[[#This Row],[Name (Computed) ]])</f>
        <v>20</v>
      </c>
      <c r="E18" t="str">
        <f>"This storage account for Agency " &amp; Table16[[#This Row],[Agency (Computed)]]&amp;"'s, Subscription "&amp;Table16[[#This Row],[SubName (Computed)]]&amp;" workload purpose of "&amp;Table16[[#This Row],[Purpose]]</f>
        <v>This storage account for Agency dept's, Subscription PreProd workload purpose of Images</v>
      </c>
      <c r="F18" t="str">
        <f>VLOOKUP(Table16[[#This Row],[SubID]], Subscriptions[#All], 7, FALSE)</f>
        <v>PreProd</v>
      </c>
      <c r="G18" t="str">
        <f>VLOOKUP(Table16[[#This Row],[SubID]], Subscriptions[#All], 4, FALSE)</f>
        <v>dept</v>
      </c>
      <c r="H18" t="s">
        <v>279</v>
      </c>
      <c r="I18" t="s">
        <v>572</v>
      </c>
      <c r="J18" t="s">
        <v>293</v>
      </c>
      <c r="K18" t="s">
        <v>307</v>
      </c>
      <c r="L18" t="str">
        <f>VLOOKUP(Table16[[#This Row],[SiteID]], Locations[#All], 3, FALSE)</f>
        <v>va</v>
      </c>
      <c r="M18" t="str">
        <f>VLOOKUP(Table16[[#This Row],[SiteID]], Locations[#All], 4, FALSE)</f>
        <v>USGov Virginia</v>
      </c>
      <c r="N18" t="s">
        <v>151</v>
      </c>
      <c r="O1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"vadeptpreprodimagesa" -Location "USGov Virginia" -Description "This storage account for Agency dept's, Subscription PreProd workload purpose of Images" -Type "Standard_LRS"</v>
      </c>
    </row>
    <row r="19" spans="1:15" x14ac:dyDescent="0.45">
      <c r="A19" t="s">
        <v>332</v>
      </c>
      <c r="B19" t="s">
        <v>320</v>
      </c>
      <c r="C19" t="str">
        <f>LOWER(Table16[[#This Row],[LocationID (Computed)]]&amp;Table16[[#This Row],[Agency (Computed)]]&amp;Table16[[#This Row],[SubName (Computed)]]&amp;Table16[[#This Row],[Purpose]]&amp;Table16[[#This Row],[Instance]])</f>
        <v>iadeptpreprodimagesa</v>
      </c>
      <c r="D19">
        <f>LEN(Table16[[#This Row],[Name (Computed) ]])</f>
        <v>20</v>
      </c>
      <c r="E19" t="str">
        <f>"This storage account for Agency " &amp; Table16[[#This Row],[Agency (Computed)]]&amp;"'s, Subscription "&amp;Table16[[#This Row],[SubName (Computed)]]&amp;" workload purpose of "&amp;Table16[[#This Row],[Purpose]]</f>
        <v>This storage account for Agency dept's, Subscription PreProd workload purpose of Images</v>
      </c>
      <c r="F19" t="str">
        <f>VLOOKUP(Table16[[#This Row],[SubID]], Subscriptions[#All], 7, FALSE)</f>
        <v>PreProd</v>
      </c>
      <c r="G19" t="str">
        <f>VLOOKUP(Table16[[#This Row],[SubID]], Subscriptions[#All], 4, FALSE)</f>
        <v>dept</v>
      </c>
      <c r="H19" t="s">
        <v>279</v>
      </c>
      <c r="I19" t="s">
        <v>572</v>
      </c>
      <c r="J19" t="s">
        <v>293</v>
      </c>
      <c r="K19" t="s">
        <v>565</v>
      </c>
      <c r="L19" t="str">
        <f>VLOOKUP(Table16[[#This Row],[SiteID]], Locations[#All], 3, FALSE)</f>
        <v>ia</v>
      </c>
      <c r="M19" t="str">
        <f>VLOOKUP(Table16[[#This Row],[SiteID]], Locations[#All], 4, FALSE)</f>
        <v>USGov Iowa</v>
      </c>
      <c r="N19" t="s">
        <v>151</v>
      </c>
      <c r="O1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"iadeptpreprodimagesa" -Location "USGov Iowa" -Description "This storage account for Agency dept's, Subscription PreProd workload purpose of Images" -Type "Standard_LRS"</v>
      </c>
    </row>
    <row r="20" spans="1:15" x14ac:dyDescent="0.45">
      <c r="A20" t="s">
        <v>280</v>
      </c>
      <c r="B20" t="s">
        <v>320</v>
      </c>
      <c r="C20" t="str">
        <f>LOWER(Table16[[#This Row],[LocationID (Computed)]]&amp;Table16[[#This Row],[Agency (Computed)]]&amp;Table16[[#This Row],[SubName (Computed)]]&amp;Table16[[#This Row],[Purpose]]&amp;Table16[[#This Row],[Instance]])</f>
        <v>vadeptpreprodosa</v>
      </c>
      <c r="D20">
        <f>LEN(Table16[[#This Row],[Name (Computed) ]])</f>
        <v>16</v>
      </c>
      <c r="E20" t="str">
        <f>"This storage account for Agency " &amp; Table16[[#This Row],[Agency (Computed)]]&amp;"'s, Subscription "&amp;Table16[[#This Row],[SubName (Computed)]]&amp;" workload purpose of "&amp;Table16[[#This Row],[Purpose]]</f>
        <v>This storage account for Agency dept's, Subscription PreProd workload purpose of OS</v>
      </c>
      <c r="F20" t="str">
        <f>VLOOKUP(Table16[[#This Row],[SubID]], Subscriptions[#All], 7, FALSE)</f>
        <v>PreProd</v>
      </c>
      <c r="G20" t="str">
        <f>VLOOKUP(Table16[[#This Row],[SubID]], Subscriptions[#All], 4, FALSE)</f>
        <v>dept</v>
      </c>
      <c r="H20" t="s">
        <v>279</v>
      </c>
      <c r="I20" t="s">
        <v>572</v>
      </c>
      <c r="J20" t="s">
        <v>192</v>
      </c>
      <c r="K20" t="s">
        <v>307</v>
      </c>
      <c r="L20" t="str">
        <f>VLOOKUP(Table16[[#This Row],[SiteID]], Locations[#All], 3, FALSE)</f>
        <v>va</v>
      </c>
      <c r="M20" t="str">
        <f>VLOOKUP(Table16[[#This Row],[SiteID]], Locations[#All], 4, FALSE)</f>
        <v>USGov Virginia</v>
      </c>
      <c r="N20" t="s">
        <v>151</v>
      </c>
      <c r="O2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"vadeptpreprodosa" -Location "USGov Virginia" -Description "This storage account for Agency dept's, Subscription PreProd workload purpose of OS" -Type "Standard_LRS"</v>
      </c>
    </row>
    <row r="21" spans="1:15" x14ac:dyDescent="0.45">
      <c r="A21" t="s">
        <v>284</v>
      </c>
      <c r="B21" t="s">
        <v>320</v>
      </c>
      <c r="C21" t="str">
        <f>LOWER(Table16[[#This Row],[LocationID (Computed)]]&amp;Table16[[#This Row],[Agency (Computed)]]&amp;Table16[[#This Row],[SubName (Computed)]]&amp;Table16[[#This Row],[Purpose]]&amp;Table16[[#This Row],[Instance]])</f>
        <v>iadeptpreprodosa</v>
      </c>
      <c r="D21">
        <f>LEN(Table16[[#This Row],[Name (Computed) ]])</f>
        <v>16</v>
      </c>
      <c r="E21" t="str">
        <f>"This storage account for Agency " &amp; Table16[[#This Row],[Agency (Computed)]]&amp;"'s, Subscription "&amp;Table16[[#This Row],[SubName (Computed)]]&amp;" workload purpose of "&amp;Table16[[#This Row],[Purpose]]</f>
        <v>This storage account for Agency dept's, Subscription PreProd workload purpose of OS</v>
      </c>
      <c r="F21" t="str">
        <f>VLOOKUP(Table16[[#This Row],[SubID]], Subscriptions[#All], 7, FALSE)</f>
        <v>PreProd</v>
      </c>
      <c r="G21" t="str">
        <f>VLOOKUP(Table16[[#This Row],[SubID]], Subscriptions[#All], 4, FALSE)</f>
        <v>dept</v>
      </c>
      <c r="H21" t="s">
        <v>279</v>
      </c>
      <c r="I21" t="s">
        <v>572</v>
      </c>
      <c r="J21" t="s">
        <v>192</v>
      </c>
      <c r="K21" t="s">
        <v>565</v>
      </c>
      <c r="L21" t="str">
        <f>VLOOKUP(Table16[[#This Row],[SiteID]], Locations[#All], 3, FALSE)</f>
        <v>ia</v>
      </c>
      <c r="M21" t="str">
        <f>VLOOKUP(Table16[[#This Row],[SiteID]], Locations[#All], 4, FALSE)</f>
        <v>USGov Iowa</v>
      </c>
      <c r="N21" t="s">
        <v>151</v>
      </c>
      <c r="O2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"iadeptpreprodosa" -Location "USGov Iowa" -Description "This storage account for Agency dept's, Subscription PreProd workload purpose of OS" -Type "Standard_LRS"</v>
      </c>
    </row>
    <row r="22" spans="1:15" x14ac:dyDescent="0.45">
      <c r="A22" t="s">
        <v>358</v>
      </c>
      <c r="B22" t="s">
        <v>321</v>
      </c>
      <c r="C22" t="str">
        <f>LOWER(Table16[[#This Row],[LocationID (Computed)]]&amp;Table16[[#This Row],[Agency (Computed)]]&amp;Table16[[#This Row],[SubName (Computed)]]&amp;Table16[[#This Row],[Purpose]]&amp;Table16[[#This Row],[Instance]])</f>
        <v>vadeptprodbackupa</v>
      </c>
      <c r="D22">
        <f>LEN(Table16[[#This Row],[Name (Computed) ]])</f>
        <v>17</v>
      </c>
      <c r="E22" t="str">
        <f>"This storage account for Agency " &amp; Table16[[#This Row],[Agency (Computed)]]&amp;"'s, Subscription "&amp;Table16[[#This Row],[SubName (Computed)]]&amp;" workload purpose of "&amp;Table16[[#This Row],[Purpose]]</f>
        <v>This storage account for Agency dept's, Subscription Prod workload purpose of Backup</v>
      </c>
      <c r="F22" t="str">
        <f>VLOOKUP(Table16[[#This Row],[SubID]], Subscriptions[#All], 7, FALSE)</f>
        <v>Prod</v>
      </c>
      <c r="G22" t="str">
        <f>VLOOKUP(Table16[[#This Row],[SubID]], Subscriptions[#All], 4, FALSE)</f>
        <v>dept</v>
      </c>
      <c r="H22" t="s">
        <v>279</v>
      </c>
      <c r="I22" t="s">
        <v>779</v>
      </c>
      <c r="J22" t="s">
        <v>780</v>
      </c>
      <c r="K22" t="s">
        <v>307</v>
      </c>
      <c r="L22" t="str">
        <f>VLOOKUP(Table16[[#This Row],[SiteID]], Locations[#All], 3, FALSE)</f>
        <v>va</v>
      </c>
      <c r="M22" t="str">
        <f>VLOOKUP(Table16[[#This Row],[SiteID]], Locations[#All], 4, FALSE)</f>
        <v>USGov Virginia</v>
      </c>
      <c r="N22" t="s">
        <v>151</v>
      </c>
      <c r="O2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"vadeptprodbackupa" -Location "USGov Virginia" -Description "This storage account for Agency dept's, Subscription Prod workload purpose of Backup" -Type "Standard_GRS"</v>
      </c>
    </row>
    <row r="23" spans="1:15" x14ac:dyDescent="0.45">
      <c r="A23" t="s">
        <v>363</v>
      </c>
      <c r="B23" t="s">
        <v>321</v>
      </c>
      <c r="C23" t="str">
        <f>LOWER(Table16[[#This Row],[LocationID (Computed)]]&amp;Table16[[#This Row],[Agency (Computed)]]&amp;Table16[[#This Row],[SubName (Computed)]]&amp;Table16[[#This Row],[Purpose]]&amp;Table16[[#This Row],[Instance]])</f>
        <v>iadeptprodbackupa</v>
      </c>
      <c r="D23">
        <f>LEN(Table16[[#This Row],[Name (Computed) ]])</f>
        <v>17</v>
      </c>
      <c r="E23" t="str">
        <f>"This storage account for Agency " &amp; Table16[[#This Row],[Agency (Computed)]]&amp;"'s, Subscription "&amp;Table16[[#This Row],[SubName (Computed)]]&amp;" workload purpose of "&amp;Table16[[#This Row],[Purpose]]</f>
        <v>This storage account for Agency dept's, Subscription Prod workload purpose of Backup</v>
      </c>
      <c r="F23" t="str">
        <f>VLOOKUP(Table16[[#This Row],[SubID]], Subscriptions[#All], 7, FALSE)</f>
        <v>Prod</v>
      </c>
      <c r="G23" t="str">
        <f>VLOOKUP(Table16[[#This Row],[SubID]], Subscriptions[#All], 4, FALSE)</f>
        <v>dept</v>
      </c>
      <c r="H23" t="s">
        <v>279</v>
      </c>
      <c r="I23" t="s">
        <v>779</v>
      </c>
      <c r="J23" t="s">
        <v>780</v>
      </c>
      <c r="K23" t="s">
        <v>565</v>
      </c>
      <c r="L23" t="str">
        <f>VLOOKUP(Table16[[#This Row],[SiteID]], Locations[#All], 3, FALSE)</f>
        <v>ia</v>
      </c>
      <c r="M23" t="str">
        <f>VLOOKUP(Table16[[#This Row],[SiteID]], Locations[#All], 4, FALSE)</f>
        <v>USGov Iowa</v>
      </c>
      <c r="N23" t="s">
        <v>151</v>
      </c>
      <c r="O2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"iadeptprodbackupa" -Location "USGov Iowa" -Description "This storage account for Agency dept's, Subscription Prod workload purpose of Backup" -Type "Standard_GRS"</v>
      </c>
    </row>
    <row r="24" spans="1:15" x14ac:dyDescent="0.45">
      <c r="A24" t="s">
        <v>338</v>
      </c>
      <c r="B24" t="s">
        <v>321</v>
      </c>
      <c r="C24" t="str">
        <f>LOWER(Table16[[#This Row],[LocationID (Computed)]]&amp;Table16[[#This Row],[Agency (Computed)]]&amp;Table16[[#This Row],[SubName (Computed)]]&amp;Table16[[#This Row],[Purpose]]&amp;Table16[[#This Row],[Instance]])</f>
        <v>vadeptproddataa</v>
      </c>
      <c r="D24">
        <f>LEN(Table16[[#This Row],[Name (Computed) ]])</f>
        <v>15</v>
      </c>
      <c r="E24" t="str">
        <f>"This storage account for Agency " &amp; Table16[[#This Row],[Agency (Computed)]]&amp;"'s, Subscription "&amp;Table16[[#This Row],[SubName (Computed)]]&amp;" workload purpose of "&amp;Table16[[#This Row],[Purpose]]</f>
        <v>This storage account for Agency dept's, Subscription Prod workload purpose of Data</v>
      </c>
      <c r="F24" t="str">
        <f>VLOOKUP(Table16[[#This Row],[SubID]], Subscriptions[#All], 7, FALSE)</f>
        <v>Prod</v>
      </c>
      <c r="G24" t="str">
        <f>VLOOKUP(Table16[[#This Row],[SubID]], Subscriptions[#All], 4, FALSE)</f>
        <v>dept</v>
      </c>
      <c r="H24" t="s">
        <v>279</v>
      </c>
      <c r="I24" t="s">
        <v>572</v>
      </c>
      <c r="J24" t="s">
        <v>294</v>
      </c>
      <c r="K24" t="s">
        <v>307</v>
      </c>
      <c r="L24" t="str">
        <f>VLOOKUP(Table16[[#This Row],[SiteID]], Locations[#All], 3, FALSE)</f>
        <v>va</v>
      </c>
      <c r="M24" t="str">
        <f>VLOOKUP(Table16[[#This Row],[SiteID]], Locations[#All], 4, FALSE)</f>
        <v>USGov Virginia</v>
      </c>
      <c r="N24" t="s">
        <v>151</v>
      </c>
      <c r="O2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"vadeptproddataa" -Location "USGov Virginia" -Description "This storage account for Agency dept's, Subscription Prod workload purpose of Data" -Type "Standard_LRS"</v>
      </c>
    </row>
    <row r="25" spans="1:15" x14ac:dyDescent="0.45">
      <c r="A25" t="s">
        <v>343</v>
      </c>
      <c r="B25" t="s">
        <v>321</v>
      </c>
      <c r="C25" t="str">
        <f>LOWER(Table16[[#This Row],[LocationID (Computed)]]&amp;Table16[[#This Row],[Agency (Computed)]]&amp;Table16[[#This Row],[SubName (Computed)]]&amp;Table16[[#This Row],[Purpose]]&amp;Table16[[#This Row],[Instance]])</f>
        <v>iadeptproddataa</v>
      </c>
      <c r="D25">
        <f>LEN(Table16[[#This Row],[Name (Computed) ]])</f>
        <v>15</v>
      </c>
      <c r="E25" t="str">
        <f>"This storage account for Agency " &amp; Table16[[#This Row],[Agency (Computed)]]&amp;"'s, Subscription "&amp;Table16[[#This Row],[SubName (Computed)]]&amp;" workload purpose of "&amp;Table16[[#This Row],[Purpose]]</f>
        <v>This storage account for Agency dept's, Subscription Prod workload purpose of Data</v>
      </c>
      <c r="F25" t="str">
        <f>VLOOKUP(Table16[[#This Row],[SubID]], Subscriptions[#All], 7, FALSE)</f>
        <v>Prod</v>
      </c>
      <c r="G25" t="str">
        <f>VLOOKUP(Table16[[#This Row],[SubID]], Subscriptions[#All], 4, FALSE)</f>
        <v>dept</v>
      </c>
      <c r="H25" t="s">
        <v>279</v>
      </c>
      <c r="I25" t="s">
        <v>572</v>
      </c>
      <c r="J25" t="s">
        <v>294</v>
      </c>
      <c r="K25" t="s">
        <v>565</v>
      </c>
      <c r="L25" t="str">
        <f>VLOOKUP(Table16[[#This Row],[SiteID]], Locations[#All], 3, FALSE)</f>
        <v>ia</v>
      </c>
      <c r="M25" t="str">
        <f>VLOOKUP(Table16[[#This Row],[SiteID]], Locations[#All], 4, FALSE)</f>
        <v>USGov Iowa</v>
      </c>
      <c r="N25" t="s">
        <v>151</v>
      </c>
      <c r="O2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"iadeptproddataa" -Location "USGov Iowa" -Description "This storage account for Agency dept's, Subscription Prod workload purpose of Data" -Type "Standard_LRS"</v>
      </c>
    </row>
    <row r="26" spans="1:15" x14ac:dyDescent="0.45">
      <c r="A26" t="s">
        <v>348</v>
      </c>
      <c r="B26" t="s">
        <v>321</v>
      </c>
      <c r="C26" t="str">
        <f>LOWER(Table16[[#This Row],[LocationID (Computed)]]&amp;Table16[[#This Row],[Agency (Computed)]]&amp;Table16[[#This Row],[SubName (Computed)]]&amp;Table16[[#This Row],[Purpose]]&amp;Table16[[#This Row],[Instance]])</f>
        <v>vadeptproddba</v>
      </c>
      <c r="D26">
        <f>LEN(Table16[[#This Row],[Name (Computed) ]])</f>
        <v>13</v>
      </c>
      <c r="E26" t="str">
        <f>"This storage account for Agency " &amp; Table16[[#This Row],[Agency (Computed)]]&amp;"'s, Subscription "&amp;Table16[[#This Row],[SubName (Computed)]]&amp;" workload purpose of "&amp;Table16[[#This Row],[Purpose]]</f>
        <v>This storage account for Agency dept's, Subscription Prod workload purpose of DB</v>
      </c>
      <c r="F26" t="str">
        <f>VLOOKUP(Table16[[#This Row],[SubID]], Subscriptions[#All], 7, FALSE)</f>
        <v>Prod</v>
      </c>
      <c r="G26" t="str">
        <f>VLOOKUP(Table16[[#This Row],[SubID]], Subscriptions[#All], 4, FALSE)</f>
        <v>dept</v>
      </c>
      <c r="H26" t="s">
        <v>279</v>
      </c>
      <c r="I26" t="s">
        <v>781</v>
      </c>
      <c r="J26" t="s">
        <v>488</v>
      </c>
      <c r="K26" t="s">
        <v>307</v>
      </c>
      <c r="L26" t="str">
        <f>VLOOKUP(Table16[[#This Row],[SiteID]], Locations[#All], 3, FALSE)</f>
        <v>va</v>
      </c>
      <c r="M26" t="str">
        <f>VLOOKUP(Table16[[#This Row],[SiteID]], Locations[#All], 4, FALSE)</f>
        <v>USGov Virginia</v>
      </c>
      <c r="N26" t="s">
        <v>151</v>
      </c>
      <c r="O2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"vadeptproddba" -Location "USGov Virginia" -Description "This storage account for Agency dept's, Subscription Prod workload purpose of DB" -Type "Premium_LRS"</v>
      </c>
    </row>
    <row r="27" spans="1:15" x14ac:dyDescent="0.45">
      <c r="A27" t="s">
        <v>353</v>
      </c>
      <c r="B27" t="s">
        <v>321</v>
      </c>
      <c r="C27" t="str">
        <f>LOWER(Table16[[#This Row],[LocationID (Computed)]]&amp;Table16[[#This Row],[Agency (Computed)]]&amp;Table16[[#This Row],[SubName (Computed)]]&amp;Table16[[#This Row],[Purpose]]&amp;Table16[[#This Row],[Instance]])</f>
        <v>iadeptproddba</v>
      </c>
      <c r="D27">
        <f>LEN(Table16[[#This Row],[Name (Computed) ]])</f>
        <v>13</v>
      </c>
      <c r="E27" t="str">
        <f>"This storage account for Agency " &amp; Table16[[#This Row],[Agency (Computed)]]&amp;"'s, Subscription "&amp;Table16[[#This Row],[SubName (Computed)]]&amp;" workload purpose of "&amp;Table16[[#This Row],[Purpose]]</f>
        <v>This storage account for Agency dept's, Subscription Prod workload purpose of DB</v>
      </c>
      <c r="F27" t="str">
        <f>VLOOKUP(Table16[[#This Row],[SubID]], Subscriptions[#All], 7, FALSE)</f>
        <v>Prod</v>
      </c>
      <c r="G27" t="str">
        <f>VLOOKUP(Table16[[#This Row],[SubID]], Subscriptions[#All], 4, FALSE)</f>
        <v>dept</v>
      </c>
      <c r="H27" t="s">
        <v>279</v>
      </c>
      <c r="I27" t="s">
        <v>781</v>
      </c>
      <c r="J27" t="s">
        <v>488</v>
      </c>
      <c r="K27" t="s">
        <v>565</v>
      </c>
      <c r="L27" t="str">
        <f>VLOOKUP(Table16[[#This Row],[SiteID]], Locations[#All], 3, FALSE)</f>
        <v>ia</v>
      </c>
      <c r="M27" t="str">
        <f>VLOOKUP(Table16[[#This Row],[SiteID]], Locations[#All], 4, FALSE)</f>
        <v>USGov Iowa</v>
      </c>
      <c r="N27" t="s">
        <v>151</v>
      </c>
      <c r="O2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"iadeptproddba" -Location "USGov Iowa" -Description "This storage account for Agency dept's, Subscription Prod workload purpose of DB" -Type "Premium_LRS"</v>
      </c>
    </row>
    <row r="28" spans="1:15" x14ac:dyDescent="0.45">
      <c r="A28" t="s">
        <v>290</v>
      </c>
      <c r="B28" t="s">
        <v>321</v>
      </c>
      <c r="C28" t="str">
        <f>LOWER(Table16[[#This Row],[LocationID (Computed)]]&amp;Table16[[#This Row],[Agency (Computed)]]&amp;Table16[[#This Row],[SubName (Computed)]]&amp;Table16[[#This Row],[Purpose]]&amp;Table16[[#This Row],[Instance]])</f>
        <v>vadeptprodimagesa</v>
      </c>
      <c r="D28">
        <f>LEN(Table16[[#This Row],[Name (Computed) ]])</f>
        <v>17</v>
      </c>
      <c r="E28" t="str">
        <f>"This storage account for Agency " &amp; Table16[[#This Row],[Agency (Computed)]]&amp;"'s, Subscription "&amp;Table16[[#This Row],[SubName (Computed)]]&amp;" workload purpose of "&amp;Table16[[#This Row],[Purpose]]</f>
        <v>This storage account for Agency dept's, Subscription Prod workload purpose of Images</v>
      </c>
      <c r="F28" t="str">
        <f>VLOOKUP(Table16[[#This Row],[SubID]], Subscriptions[#All], 7, FALSE)</f>
        <v>Prod</v>
      </c>
      <c r="G28" t="str">
        <f>VLOOKUP(Table16[[#This Row],[SubID]], Subscriptions[#All], 4, FALSE)</f>
        <v>dept</v>
      </c>
      <c r="H28" t="s">
        <v>279</v>
      </c>
      <c r="I28" t="s">
        <v>572</v>
      </c>
      <c r="J28" t="s">
        <v>293</v>
      </c>
      <c r="K28" t="s">
        <v>307</v>
      </c>
      <c r="L28" t="str">
        <f>VLOOKUP(Table16[[#This Row],[SiteID]], Locations[#All], 3, FALSE)</f>
        <v>va</v>
      </c>
      <c r="M28" t="str">
        <f>VLOOKUP(Table16[[#This Row],[SiteID]], Locations[#All], 4, FALSE)</f>
        <v>USGov Virginia</v>
      </c>
      <c r="N28" t="s">
        <v>151</v>
      </c>
      <c r="O2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"vadeptprodimagesa" -Location "USGov Virginia" -Description "This storage account for Agency dept's, Subscription Prod workload purpose of Images" -Type "Standard_LRS"</v>
      </c>
    </row>
    <row r="29" spans="1:15" x14ac:dyDescent="0.45">
      <c r="A29" t="s">
        <v>333</v>
      </c>
      <c r="B29" t="s">
        <v>321</v>
      </c>
      <c r="C29" t="str">
        <f>LOWER(Table16[[#This Row],[LocationID (Computed)]]&amp;Table16[[#This Row],[Agency (Computed)]]&amp;Table16[[#This Row],[SubName (Computed)]]&amp;Table16[[#This Row],[Purpose]]&amp;Table16[[#This Row],[Instance]])</f>
        <v>iadeptprodimagesa</v>
      </c>
      <c r="D29">
        <f>LEN(Table16[[#This Row],[Name (Computed) ]])</f>
        <v>17</v>
      </c>
      <c r="E29" t="str">
        <f>"This storage account for Agency " &amp; Table16[[#This Row],[Agency (Computed)]]&amp;"'s, Subscription "&amp;Table16[[#This Row],[SubName (Computed)]]&amp;" workload purpose of "&amp;Table16[[#This Row],[Purpose]]</f>
        <v>This storage account for Agency dept's, Subscription Prod workload purpose of Images</v>
      </c>
      <c r="F29" t="str">
        <f>VLOOKUP(Table16[[#This Row],[SubID]], Subscriptions[#All], 7, FALSE)</f>
        <v>Prod</v>
      </c>
      <c r="G29" t="str">
        <f>VLOOKUP(Table16[[#This Row],[SubID]], Subscriptions[#All], 4, FALSE)</f>
        <v>dept</v>
      </c>
      <c r="H29" t="s">
        <v>279</v>
      </c>
      <c r="I29" t="s">
        <v>572</v>
      </c>
      <c r="J29" t="s">
        <v>293</v>
      </c>
      <c r="K29" t="s">
        <v>565</v>
      </c>
      <c r="L29" t="str">
        <f>VLOOKUP(Table16[[#This Row],[SiteID]], Locations[#All], 3, FALSE)</f>
        <v>ia</v>
      </c>
      <c r="M29" t="str">
        <f>VLOOKUP(Table16[[#This Row],[SiteID]], Locations[#All], 4, FALSE)</f>
        <v>USGov Iowa</v>
      </c>
      <c r="N29" t="s">
        <v>151</v>
      </c>
      <c r="O2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"iadeptprodimagesa" -Location "USGov Iowa" -Description "This storage account for Agency dept's, Subscription Prod workload purpose of Images" -Type "Standard_LRS"</v>
      </c>
    </row>
    <row r="30" spans="1:15" x14ac:dyDescent="0.45">
      <c r="A30" t="s">
        <v>281</v>
      </c>
      <c r="B30" t="s">
        <v>321</v>
      </c>
      <c r="C30" t="str">
        <f>LOWER(Table16[[#This Row],[LocationID (Computed)]]&amp;Table16[[#This Row],[Agency (Computed)]]&amp;Table16[[#This Row],[SubName (Computed)]]&amp;Table16[[#This Row],[Purpose]]&amp;Table16[[#This Row],[Instance]])</f>
        <v>vadeptprodosa</v>
      </c>
      <c r="D30">
        <f>LEN(Table16[[#This Row],[Name (Computed) ]])</f>
        <v>13</v>
      </c>
      <c r="E30" t="str">
        <f>"This storage account for Agency " &amp; Table16[[#This Row],[Agency (Computed)]]&amp;"'s, Subscription "&amp;Table16[[#This Row],[SubName (Computed)]]&amp;" workload purpose of "&amp;Table16[[#This Row],[Purpose]]</f>
        <v>This storage account for Agency dept's, Subscription Prod workload purpose of OS</v>
      </c>
      <c r="F30" t="str">
        <f>VLOOKUP(Table16[[#This Row],[SubID]], Subscriptions[#All], 7, FALSE)</f>
        <v>Prod</v>
      </c>
      <c r="G30" t="str">
        <f>VLOOKUP(Table16[[#This Row],[SubID]], Subscriptions[#All], 4, FALSE)</f>
        <v>dept</v>
      </c>
      <c r="H30" t="s">
        <v>279</v>
      </c>
      <c r="I30" t="s">
        <v>572</v>
      </c>
      <c r="J30" t="s">
        <v>192</v>
      </c>
      <c r="K30" t="s">
        <v>307</v>
      </c>
      <c r="L30" t="str">
        <f>VLOOKUP(Table16[[#This Row],[SiteID]], Locations[#All], 3, FALSE)</f>
        <v>va</v>
      </c>
      <c r="M30" t="str">
        <f>VLOOKUP(Table16[[#This Row],[SiteID]], Locations[#All], 4, FALSE)</f>
        <v>USGov Virginia</v>
      </c>
      <c r="N30" t="s">
        <v>151</v>
      </c>
      <c r="O3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"vadeptprodosa" -Location "USGov Virginia" -Description "This storage account for Agency dept's, Subscription Prod workload purpose of OS" -Type "Standard_LRS"</v>
      </c>
    </row>
    <row r="31" spans="1:15" x14ac:dyDescent="0.45">
      <c r="A31" t="s">
        <v>285</v>
      </c>
      <c r="B31" t="s">
        <v>321</v>
      </c>
      <c r="C31" t="str">
        <f>LOWER(Table16[[#This Row],[LocationID (Computed)]]&amp;Table16[[#This Row],[Agency (Computed)]]&amp;Table16[[#This Row],[SubName (Computed)]]&amp;Table16[[#This Row],[Purpose]]&amp;Table16[[#This Row],[Instance]])</f>
        <v>iadeptprodosa</v>
      </c>
      <c r="D31">
        <f>LEN(Table16[[#This Row],[Name (Computed) ]])</f>
        <v>13</v>
      </c>
      <c r="E31" t="str">
        <f>"This storage account for Agency " &amp; Table16[[#This Row],[Agency (Computed)]]&amp;"'s, Subscription "&amp;Table16[[#This Row],[SubName (Computed)]]&amp;" workload purpose of "&amp;Table16[[#This Row],[Purpose]]</f>
        <v>This storage account for Agency dept's, Subscription Prod workload purpose of OS</v>
      </c>
      <c r="F31" t="str">
        <f>VLOOKUP(Table16[[#This Row],[SubID]], Subscriptions[#All], 7, FALSE)</f>
        <v>Prod</v>
      </c>
      <c r="G31" t="str">
        <f>VLOOKUP(Table16[[#This Row],[SubID]], Subscriptions[#All], 4, FALSE)</f>
        <v>dept</v>
      </c>
      <c r="H31" t="s">
        <v>279</v>
      </c>
      <c r="I31" t="s">
        <v>572</v>
      </c>
      <c r="J31" t="s">
        <v>192</v>
      </c>
      <c r="K31" t="s">
        <v>565</v>
      </c>
      <c r="L31" t="str">
        <f>VLOOKUP(Table16[[#This Row],[SiteID]], Locations[#All], 3, FALSE)</f>
        <v>ia</v>
      </c>
      <c r="M31" t="str">
        <f>VLOOKUP(Table16[[#This Row],[SiteID]], Locations[#All], 4, FALSE)</f>
        <v>USGov Iowa</v>
      </c>
      <c r="N31" t="s">
        <v>151</v>
      </c>
      <c r="O3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"iadeptprodosa" -Location "USGov Iowa" -Description "This storage account for Agency dept's, Subscription Prod workload purpose of OS" -Type "Standard_LRS"</v>
      </c>
    </row>
    <row r="32" spans="1:15" x14ac:dyDescent="0.45">
      <c r="A32" t="s">
        <v>359</v>
      </c>
      <c r="B32" t="s">
        <v>322</v>
      </c>
      <c r="C32" t="str">
        <f>LOWER(Table16[[#This Row],[LocationID (Computed)]]&amp;Table16[[#This Row],[Agency (Computed)]]&amp;Table16[[#This Row],[SubName (Computed)]]&amp;Table16[[#This Row],[Purpose]]&amp;Table16[[#This Row],[Instance]])</f>
        <v>vadeptservicesbackupa</v>
      </c>
      <c r="D32">
        <f>LEN(Table16[[#This Row],[Name (Computed) ]])</f>
        <v>21</v>
      </c>
      <c r="E32" t="str">
        <f>"This storage account for Agency " &amp; Table16[[#This Row],[Agency (Computed)]]&amp;"'s, Subscription "&amp;Table16[[#This Row],[SubName (Computed)]]&amp;" workload purpose of "&amp;Table16[[#This Row],[Purpose]]</f>
        <v>This storage account for Agency dept's, Subscription Services workload purpose of Backup</v>
      </c>
      <c r="F32" t="str">
        <f>VLOOKUP(Table16[[#This Row],[SubID]], Subscriptions[#All], 7, FALSE)</f>
        <v>Services</v>
      </c>
      <c r="G32" t="str">
        <f>VLOOKUP(Table16[[#This Row],[SubID]], Subscriptions[#All], 4, FALSE)</f>
        <v>dept</v>
      </c>
      <c r="H32" t="s">
        <v>279</v>
      </c>
      <c r="I32" t="s">
        <v>779</v>
      </c>
      <c r="J32" t="s">
        <v>780</v>
      </c>
      <c r="K32" t="s">
        <v>307</v>
      </c>
      <c r="L32" t="str">
        <f>VLOOKUP(Table16[[#This Row],[SiteID]], Locations[#All], 3, FALSE)</f>
        <v>va</v>
      </c>
      <c r="M32" t="str">
        <f>VLOOKUP(Table16[[#This Row],[SiteID]], Locations[#All], 4, FALSE)</f>
        <v>USGov Virginia</v>
      </c>
      <c r="N32" t="s">
        <v>151</v>
      </c>
      <c r="O3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"vadeptservicesbackupa" -Location "USGov Virginia" -Description "This storage account for Agency dept's, Subscription Services workload purpose of Backup" -Type "Standard_GRS"</v>
      </c>
    </row>
    <row r="33" spans="1:15" x14ac:dyDescent="0.45">
      <c r="A33" t="s">
        <v>364</v>
      </c>
      <c r="B33" t="s">
        <v>322</v>
      </c>
      <c r="C33" t="str">
        <f>LOWER(Table16[[#This Row],[LocationID (Computed)]]&amp;Table16[[#This Row],[Agency (Computed)]]&amp;Table16[[#This Row],[SubName (Computed)]]&amp;Table16[[#This Row],[Purpose]]&amp;Table16[[#This Row],[Instance]])</f>
        <v>iadeptservicesbackupa</v>
      </c>
      <c r="D33">
        <f>LEN(Table16[[#This Row],[Name (Computed) ]])</f>
        <v>21</v>
      </c>
      <c r="E33" t="str">
        <f>"This storage account for Agency " &amp; Table16[[#This Row],[Agency (Computed)]]&amp;"'s, Subscription "&amp;Table16[[#This Row],[SubName (Computed)]]&amp;" workload purpose of "&amp;Table16[[#This Row],[Purpose]]</f>
        <v>This storage account for Agency dept's, Subscription Services workload purpose of Backup</v>
      </c>
      <c r="F33" t="str">
        <f>VLOOKUP(Table16[[#This Row],[SubID]], Subscriptions[#All], 7, FALSE)</f>
        <v>Services</v>
      </c>
      <c r="G33" t="str">
        <f>VLOOKUP(Table16[[#This Row],[SubID]], Subscriptions[#All], 4, FALSE)</f>
        <v>dept</v>
      </c>
      <c r="H33" t="s">
        <v>279</v>
      </c>
      <c r="I33" t="s">
        <v>779</v>
      </c>
      <c r="J33" t="s">
        <v>780</v>
      </c>
      <c r="K33" t="s">
        <v>565</v>
      </c>
      <c r="L33" t="str">
        <f>VLOOKUP(Table16[[#This Row],[SiteID]], Locations[#All], 3, FALSE)</f>
        <v>ia</v>
      </c>
      <c r="M33" t="str">
        <f>VLOOKUP(Table16[[#This Row],[SiteID]], Locations[#All], 4, FALSE)</f>
        <v>USGov Iowa</v>
      </c>
      <c r="N33" t="s">
        <v>151</v>
      </c>
      <c r="O3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"iadeptservicesbackupa" -Location "USGov Iowa" -Description "This storage account for Agency dept's, Subscription Services workload purpose of Backup" -Type "Standard_GRS"</v>
      </c>
    </row>
    <row r="34" spans="1:15" x14ac:dyDescent="0.45">
      <c r="A34" t="s">
        <v>339</v>
      </c>
      <c r="B34" t="s">
        <v>322</v>
      </c>
      <c r="C34" t="str">
        <f>LOWER(Table16[[#This Row],[LocationID (Computed)]]&amp;Table16[[#This Row],[Agency (Computed)]]&amp;Table16[[#This Row],[SubName (Computed)]]&amp;Table16[[#This Row],[Purpose]]&amp;Table16[[#This Row],[Instance]])</f>
        <v>vadeptservicesdataa</v>
      </c>
      <c r="D34">
        <f>LEN(Table16[[#This Row],[Name (Computed) ]])</f>
        <v>19</v>
      </c>
      <c r="E34" t="str">
        <f>"This storage account for Agency " &amp; Table16[[#This Row],[Agency (Computed)]]&amp;"'s, Subscription "&amp;Table16[[#This Row],[SubName (Computed)]]&amp;" workload purpose of "&amp;Table16[[#This Row],[Purpose]]</f>
        <v>This storage account for Agency dept's, Subscription Services workload purpose of Data</v>
      </c>
      <c r="F34" t="str">
        <f>VLOOKUP(Table16[[#This Row],[SubID]], Subscriptions[#All], 7, FALSE)</f>
        <v>Services</v>
      </c>
      <c r="G34" t="str">
        <f>VLOOKUP(Table16[[#This Row],[SubID]], Subscriptions[#All], 4, FALSE)</f>
        <v>dept</v>
      </c>
      <c r="H34" t="s">
        <v>279</v>
      </c>
      <c r="I34" t="s">
        <v>572</v>
      </c>
      <c r="J34" t="s">
        <v>294</v>
      </c>
      <c r="K34" t="s">
        <v>307</v>
      </c>
      <c r="L34" t="str">
        <f>VLOOKUP(Table16[[#This Row],[SiteID]], Locations[#All], 3, FALSE)</f>
        <v>va</v>
      </c>
      <c r="M34" t="str">
        <f>VLOOKUP(Table16[[#This Row],[SiteID]], Locations[#All], 4, FALSE)</f>
        <v>USGov Virginia</v>
      </c>
      <c r="N34" t="s">
        <v>151</v>
      </c>
      <c r="O3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"vadeptservicesdataa" -Location "USGov Virginia" -Description "This storage account for Agency dept's, Subscription Services workload purpose of Data" -Type "Standard_LRS"</v>
      </c>
    </row>
    <row r="35" spans="1:15" x14ac:dyDescent="0.45">
      <c r="A35" t="s">
        <v>344</v>
      </c>
      <c r="B35" t="s">
        <v>322</v>
      </c>
      <c r="C35" t="str">
        <f>LOWER(Table16[[#This Row],[LocationID (Computed)]]&amp;Table16[[#This Row],[Agency (Computed)]]&amp;Table16[[#This Row],[SubName (Computed)]]&amp;Table16[[#This Row],[Purpose]]&amp;Table16[[#This Row],[Instance]])</f>
        <v>iadeptservicesdataa</v>
      </c>
      <c r="D35">
        <f>LEN(Table16[[#This Row],[Name (Computed) ]])</f>
        <v>19</v>
      </c>
      <c r="E35" t="str">
        <f>"This storage account for Agency " &amp; Table16[[#This Row],[Agency (Computed)]]&amp;"'s, Subscription "&amp;Table16[[#This Row],[SubName (Computed)]]&amp;" workload purpose of "&amp;Table16[[#This Row],[Purpose]]</f>
        <v>This storage account for Agency dept's, Subscription Services workload purpose of Data</v>
      </c>
      <c r="F35" t="str">
        <f>VLOOKUP(Table16[[#This Row],[SubID]], Subscriptions[#All], 7, FALSE)</f>
        <v>Services</v>
      </c>
      <c r="G35" t="str">
        <f>VLOOKUP(Table16[[#This Row],[SubID]], Subscriptions[#All], 4, FALSE)</f>
        <v>dept</v>
      </c>
      <c r="H35" t="s">
        <v>279</v>
      </c>
      <c r="I35" t="s">
        <v>572</v>
      </c>
      <c r="J35" t="s">
        <v>294</v>
      </c>
      <c r="K35" t="s">
        <v>565</v>
      </c>
      <c r="L35" t="str">
        <f>VLOOKUP(Table16[[#This Row],[SiteID]], Locations[#All], 3, FALSE)</f>
        <v>ia</v>
      </c>
      <c r="M35" t="str">
        <f>VLOOKUP(Table16[[#This Row],[SiteID]], Locations[#All], 4, FALSE)</f>
        <v>USGov Iowa</v>
      </c>
      <c r="N35" t="s">
        <v>151</v>
      </c>
      <c r="O3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"iadeptservicesdataa" -Location "USGov Iowa" -Description "This storage account for Agency dept's, Subscription Services workload purpose of Data" -Type "Standard_LRS"</v>
      </c>
    </row>
    <row r="36" spans="1:15" x14ac:dyDescent="0.45">
      <c r="A36" t="s">
        <v>349</v>
      </c>
      <c r="B36" t="s">
        <v>322</v>
      </c>
      <c r="C36" t="str">
        <f>LOWER(Table16[[#This Row],[LocationID (Computed)]]&amp;Table16[[#This Row],[Agency (Computed)]]&amp;Table16[[#This Row],[SubName (Computed)]]&amp;Table16[[#This Row],[Purpose]]&amp;Table16[[#This Row],[Instance]])</f>
        <v>vadeptservicesdba</v>
      </c>
      <c r="D36">
        <f>LEN(Table16[[#This Row],[Name (Computed) ]])</f>
        <v>17</v>
      </c>
      <c r="E36" t="str">
        <f>"This storage account for Agency " &amp; Table16[[#This Row],[Agency (Computed)]]&amp;"'s, Subscription "&amp;Table16[[#This Row],[SubName (Computed)]]&amp;" workload purpose of "&amp;Table16[[#This Row],[Purpose]]</f>
        <v>This storage account for Agency dept's, Subscription Services workload purpose of DB</v>
      </c>
      <c r="F36" t="str">
        <f>VLOOKUP(Table16[[#This Row],[SubID]], Subscriptions[#All], 7, FALSE)</f>
        <v>Services</v>
      </c>
      <c r="G36" t="str">
        <f>VLOOKUP(Table16[[#This Row],[SubID]], Subscriptions[#All], 4, FALSE)</f>
        <v>dept</v>
      </c>
      <c r="H36" t="s">
        <v>279</v>
      </c>
      <c r="I36" t="s">
        <v>781</v>
      </c>
      <c r="J36" t="s">
        <v>488</v>
      </c>
      <c r="K36" t="s">
        <v>307</v>
      </c>
      <c r="L36" t="str">
        <f>VLOOKUP(Table16[[#This Row],[SiteID]], Locations[#All], 3, FALSE)</f>
        <v>va</v>
      </c>
      <c r="M36" t="str">
        <f>VLOOKUP(Table16[[#This Row],[SiteID]], Locations[#All], 4, FALSE)</f>
        <v>USGov Virginia</v>
      </c>
      <c r="N36" t="s">
        <v>151</v>
      </c>
      <c r="O3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"vadeptservicesdba" -Location "USGov Virginia" -Description "This storage account for Agency dept's, Subscription Services workload purpose of DB" -Type "Premium_LRS"</v>
      </c>
    </row>
    <row r="37" spans="1:15" x14ac:dyDescent="0.45">
      <c r="A37" t="s">
        <v>354</v>
      </c>
      <c r="B37" t="s">
        <v>322</v>
      </c>
      <c r="C37" t="str">
        <f>LOWER(Table16[[#This Row],[LocationID (Computed)]]&amp;Table16[[#This Row],[Agency (Computed)]]&amp;Table16[[#This Row],[SubName (Computed)]]&amp;Table16[[#This Row],[Purpose]]&amp;Table16[[#This Row],[Instance]])</f>
        <v>iadeptservicesdba</v>
      </c>
      <c r="D37">
        <f>LEN(Table16[[#This Row],[Name (Computed) ]])</f>
        <v>17</v>
      </c>
      <c r="E37" t="str">
        <f>"This storage account for Agency " &amp; Table16[[#This Row],[Agency (Computed)]]&amp;"'s, Subscription "&amp;Table16[[#This Row],[SubName (Computed)]]&amp;" workload purpose of "&amp;Table16[[#This Row],[Purpose]]</f>
        <v>This storage account for Agency dept's, Subscription Services workload purpose of DB</v>
      </c>
      <c r="F37" t="str">
        <f>VLOOKUP(Table16[[#This Row],[SubID]], Subscriptions[#All], 7, FALSE)</f>
        <v>Services</v>
      </c>
      <c r="G37" t="str">
        <f>VLOOKUP(Table16[[#This Row],[SubID]], Subscriptions[#All], 4, FALSE)</f>
        <v>dept</v>
      </c>
      <c r="H37" t="s">
        <v>279</v>
      </c>
      <c r="I37" t="s">
        <v>781</v>
      </c>
      <c r="J37" t="s">
        <v>488</v>
      </c>
      <c r="K37" t="s">
        <v>565</v>
      </c>
      <c r="L37" t="str">
        <f>VLOOKUP(Table16[[#This Row],[SiteID]], Locations[#All], 3, FALSE)</f>
        <v>ia</v>
      </c>
      <c r="M37" t="str">
        <f>VLOOKUP(Table16[[#This Row],[SiteID]], Locations[#All], 4, FALSE)</f>
        <v>USGov Iowa</v>
      </c>
      <c r="N37" t="s">
        <v>151</v>
      </c>
      <c r="O3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"iadeptservicesdba" -Location "USGov Iowa" -Description "This storage account for Agency dept's, Subscription Services workload purpose of DB" -Type "Premium_LRS"</v>
      </c>
    </row>
    <row r="38" spans="1:15" x14ac:dyDescent="0.45">
      <c r="A38" t="s">
        <v>329</v>
      </c>
      <c r="B38" t="s">
        <v>322</v>
      </c>
      <c r="C38" t="str">
        <f>LOWER(Table16[[#This Row],[LocationID (Computed)]]&amp;Table16[[#This Row],[Agency (Computed)]]&amp;Table16[[#This Row],[SubName (Computed)]]&amp;Table16[[#This Row],[Purpose]]&amp;Table16[[#This Row],[Instance]])</f>
        <v>vadeptservicesimagesa</v>
      </c>
      <c r="D38">
        <f>LEN(Table16[[#This Row],[Name (Computed) ]])</f>
        <v>21</v>
      </c>
      <c r="E38" t="str">
        <f>"This storage account for Agency " &amp; Table16[[#This Row],[Agency (Computed)]]&amp;"'s, Subscription "&amp;Table16[[#This Row],[SubName (Computed)]]&amp;" workload purpose of "&amp;Table16[[#This Row],[Purpose]]</f>
        <v>This storage account for Agency dept's, Subscription Services workload purpose of Images</v>
      </c>
      <c r="F38" t="str">
        <f>VLOOKUP(Table16[[#This Row],[SubID]], Subscriptions[#All], 7, FALSE)</f>
        <v>Services</v>
      </c>
      <c r="G38" t="str">
        <f>VLOOKUP(Table16[[#This Row],[SubID]], Subscriptions[#All], 4, FALSE)</f>
        <v>dept</v>
      </c>
      <c r="H38" t="s">
        <v>279</v>
      </c>
      <c r="I38" t="s">
        <v>572</v>
      </c>
      <c r="J38" t="s">
        <v>293</v>
      </c>
      <c r="K38" t="s">
        <v>307</v>
      </c>
      <c r="L38" t="str">
        <f>VLOOKUP(Table16[[#This Row],[SiteID]], Locations[#All], 3, FALSE)</f>
        <v>va</v>
      </c>
      <c r="M38" t="str">
        <f>VLOOKUP(Table16[[#This Row],[SiteID]], Locations[#All], 4, FALSE)</f>
        <v>USGov Virginia</v>
      </c>
      <c r="N38" t="s">
        <v>151</v>
      </c>
      <c r="O3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"vadeptservicesimagesa" -Location "USGov Virginia" -Description "This storage account for Agency dept's, Subscription Services workload purpose of Images" -Type "Standard_LRS"</v>
      </c>
    </row>
    <row r="39" spans="1:15" x14ac:dyDescent="0.45">
      <c r="A39" t="s">
        <v>334</v>
      </c>
      <c r="B39" t="s">
        <v>322</v>
      </c>
      <c r="C39" t="str">
        <f>LOWER(Table16[[#This Row],[LocationID (Computed)]]&amp;Table16[[#This Row],[Agency (Computed)]]&amp;Table16[[#This Row],[SubName (Computed)]]&amp;Table16[[#This Row],[Purpose]]&amp;Table16[[#This Row],[Instance]])</f>
        <v>iadeptservicesimagesa</v>
      </c>
      <c r="D39">
        <f>LEN(Table16[[#This Row],[Name (Computed) ]])</f>
        <v>21</v>
      </c>
      <c r="E39" t="str">
        <f>"This storage account for Agency " &amp; Table16[[#This Row],[Agency (Computed)]]&amp;"'s, Subscription "&amp;Table16[[#This Row],[SubName (Computed)]]&amp;" workload purpose of "&amp;Table16[[#This Row],[Purpose]]</f>
        <v>This storage account for Agency dept's, Subscription Services workload purpose of Images</v>
      </c>
      <c r="F39" t="str">
        <f>VLOOKUP(Table16[[#This Row],[SubID]], Subscriptions[#All], 7, FALSE)</f>
        <v>Services</v>
      </c>
      <c r="G39" t="str">
        <f>VLOOKUP(Table16[[#This Row],[SubID]], Subscriptions[#All], 4, FALSE)</f>
        <v>dept</v>
      </c>
      <c r="H39" t="s">
        <v>279</v>
      </c>
      <c r="I39" t="s">
        <v>572</v>
      </c>
      <c r="J39" t="s">
        <v>293</v>
      </c>
      <c r="K39" t="s">
        <v>565</v>
      </c>
      <c r="L39" t="str">
        <f>VLOOKUP(Table16[[#This Row],[SiteID]], Locations[#All], 3, FALSE)</f>
        <v>ia</v>
      </c>
      <c r="M39" t="str">
        <f>VLOOKUP(Table16[[#This Row],[SiteID]], Locations[#All], 4, FALSE)</f>
        <v>USGov Iowa</v>
      </c>
      <c r="N39" t="s">
        <v>151</v>
      </c>
      <c r="O3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"iadeptservicesimagesa" -Location "USGov Iowa" -Description "This storage account for Agency dept's, Subscription Services workload purpose of Images" -Type "Standard_LRS"</v>
      </c>
    </row>
    <row r="40" spans="1:15" x14ac:dyDescent="0.45">
      <c r="A40" t="s">
        <v>778</v>
      </c>
      <c r="B40" t="s">
        <v>322</v>
      </c>
      <c r="C40" t="str">
        <f>LOWER(Table16[[#This Row],[LocationID (Computed)]]&amp;Table16[[#This Row],[Agency (Computed)]]&amp;Table16[[#This Row],[SubName (Computed)]]&amp;Table16[[#This Row],[Purpose]]&amp;Table16[[#This Row],[Instance]])</f>
        <v>vadeptservicesosa</v>
      </c>
      <c r="D40">
        <f>LEN(Table16[[#This Row],[Name (Computed) ]])</f>
        <v>17</v>
      </c>
      <c r="E40" t="str">
        <f>"This storage account for Agency " &amp; Table16[[#This Row],[Agency (Computed)]]&amp;"'s, Subscription "&amp;Table16[[#This Row],[SubName (Computed)]]&amp;" workload purpose of "&amp;Table16[[#This Row],[Purpose]]</f>
        <v>This storage account for Agency dept's, Subscription Services workload purpose of OS</v>
      </c>
      <c r="F40" t="str">
        <f>VLOOKUP(Table16[[#This Row],[SubID]], Subscriptions[#All], 7, FALSE)</f>
        <v>Services</v>
      </c>
      <c r="G40" t="str">
        <f>VLOOKUP(Table16[[#This Row],[SubID]], Subscriptions[#All], 4, FALSE)</f>
        <v>dept</v>
      </c>
      <c r="H40" t="s">
        <v>279</v>
      </c>
      <c r="I40" t="s">
        <v>572</v>
      </c>
      <c r="J40" t="s">
        <v>192</v>
      </c>
      <c r="K40" t="s">
        <v>307</v>
      </c>
      <c r="L40" t="str">
        <f>VLOOKUP(Table16[[#This Row],[SiteID]], Locations[#All], 3, FALSE)</f>
        <v>va</v>
      </c>
      <c r="M40" t="str">
        <f>VLOOKUP(Table16[[#This Row],[SiteID]], Locations[#All], 4, FALSE)</f>
        <v>USGov Virginia</v>
      </c>
      <c r="N40" t="s">
        <v>151</v>
      </c>
      <c r="O4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"vadeptservicesosa" -Location "USGov Virginia" -Description "This storage account for Agency dept's, Subscription Services workload purpose of OS" -Type "Standard_LRS"</v>
      </c>
    </row>
    <row r="41" spans="1:15" x14ac:dyDescent="0.45">
      <c r="A41" t="s">
        <v>286</v>
      </c>
      <c r="B41" t="s">
        <v>322</v>
      </c>
      <c r="C41" t="str">
        <f>LOWER(Table16[[#This Row],[LocationID (Computed)]]&amp;Table16[[#This Row],[Agency (Computed)]]&amp;Table16[[#This Row],[SubName (Computed)]]&amp;Table16[[#This Row],[Purpose]]&amp;Table16[[#This Row],[Instance]])</f>
        <v>iadeptservicesosa</v>
      </c>
      <c r="D41">
        <f>LEN(Table16[[#This Row],[Name (Computed) ]])</f>
        <v>17</v>
      </c>
      <c r="E41" t="str">
        <f>"This storage account for Agency " &amp; Table16[[#This Row],[Agency (Computed)]]&amp;"'s, Subscription "&amp;Table16[[#This Row],[SubName (Computed)]]&amp;" workload purpose of "&amp;Table16[[#This Row],[Purpose]]</f>
        <v>This storage account for Agency dept's, Subscription Services workload purpose of OS</v>
      </c>
      <c r="F41" t="str">
        <f>VLOOKUP(Table16[[#This Row],[SubID]], Subscriptions[#All], 7, FALSE)</f>
        <v>Services</v>
      </c>
      <c r="G41" t="str">
        <f>VLOOKUP(Table16[[#This Row],[SubID]], Subscriptions[#All], 4, FALSE)</f>
        <v>dept</v>
      </c>
      <c r="H41" t="s">
        <v>279</v>
      </c>
      <c r="I41" t="s">
        <v>572</v>
      </c>
      <c r="J41" t="s">
        <v>192</v>
      </c>
      <c r="K41" t="s">
        <v>565</v>
      </c>
      <c r="L41" t="str">
        <f>VLOOKUP(Table16[[#This Row],[SiteID]], Locations[#All], 3, FALSE)</f>
        <v>ia</v>
      </c>
      <c r="M41" t="str">
        <f>VLOOKUP(Table16[[#This Row],[SiteID]], Locations[#All], 4, FALSE)</f>
        <v>USGov Iowa</v>
      </c>
      <c r="N41" t="s">
        <v>151</v>
      </c>
      <c r="O4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"iadeptservicesosa" -Location "USGov Iowa" -Description "This storage account for Agency dept's, Subscription Services workload purpose of OS" -Type "Standard_LRS"</v>
      </c>
    </row>
    <row r="42" spans="1:15" x14ac:dyDescent="0.45">
      <c r="A42" t="s">
        <v>360</v>
      </c>
      <c r="B42" t="s">
        <v>323</v>
      </c>
      <c r="C42" t="str">
        <f>LOWER(Table16[[#This Row],[LocationID (Computed)]]&amp;Table16[[#This Row],[Agency (Computed)]]&amp;Table16[[#This Row],[SubName (Computed)]]&amp;Table16[[#This Row],[Purpose]]&amp;Table16[[#This Row],[Instance]])</f>
        <v>vadeptstoragebackupa</v>
      </c>
      <c r="D42">
        <f>LEN(Table16[[#This Row],[Name (Computed) ]])</f>
        <v>20</v>
      </c>
      <c r="E42" t="str">
        <f>"This storage account for Agency " &amp; Table16[[#This Row],[Agency (Computed)]]&amp;"'s, Subscription "&amp;Table16[[#This Row],[SubName (Computed)]]&amp;" workload purpose of "&amp;Table16[[#This Row],[Purpose]]</f>
        <v>This storage account for Agency dept's, Subscription Storage workload purpose of Backup</v>
      </c>
      <c r="F42" t="str">
        <f>VLOOKUP(Table16[[#This Row],[SubID]], Subscriptions[#All], 7, FALSE)</f>
        <v>Storage</v>
      </c>
      <c r="G42" t="str">
        <f>VLOOKUP(Table16[[#This Row],[SubID]], Subscriptions[#All], 4, FALSE)</f>
        <v>dept</v>
      </c>
      <c r="H42" t="s">
        <v>279</v>
      </c>
      <c r="I42" t="s">
        <v>779</v>
      </c>
      <c r="J42" t="s">
        <v>780</v>
      </c>
      <c r="K42" t="s">
        <v>307</v>
      </c>
      <c r="L42" t="str">
        <f>VLOOKUP(Table16[[#This Row],[SiteID]], Locations[#All], 3, FALSE)</f>
        <v>va</v>
      </c>
      <c r="M42" t="str">
        <f>VLOOKUP(Table16[[#This Row],[SiteID]], Locations[#All], 4, FALSE)</f>
        <v>USGov Virginia</v>
      </c>
      <c r="N42" t="s">
        <v>151</v>
      </c>
      <c r="O4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"vadeptstoragebackupa" -Location "USGov Virginia" -Description "This storage account for Agency dept's, Subscription Storage workload purpose of Backup" -Type "Standard_GRS"</v>
      </c>
    </row>
    <row r="43" spans="1:15" x14ac:dyDescent="0.45">
      <c r="A43" t="s">
        <v>365</v>
      </c>
      <c r="B43" t="s">
        <v>323</v>
      </c>
      <c r="C43" t="str">
        <f>LOWER(Table16[[#This Row],[LocationID (Computed)]]&amp;Table16[[#This Row],[Agency (Computed)]]&amp;Table16[[#This Row],[SubName (Computed)]]&amp;Table16[[#This Row],[Purpose]]&amp;Table16[[#This Row],[Instance]])</f>
        <v>iadeptstoragebackupa</v>
      </c>
      <c r="D43">
        <f>LEN(Table16[[#This Row],[Name (Computed) ]])</f>
        <v>20</v>
      </c>
      <c r="E43" t="str">
        <f>"This storage account for Agency " &amp; Table16[[#This Row],[Agency (Computed)]]&amp;"'s, Subscription "&amp;Table16[[#This Row],[SubName (Computed)]]&amp;" workload purpose of "&amp;Table16[[#This Row],[Purpose]]</f>
        <v>This storage account for Agency dept's, Subscription Storage workload purpose of Backup</v>
      </c>
      <c r="F43" t="str">
        <f>VLOOKUP(Table16[[#This Row],[SubID]], Subscriptions[#All], 7, FALSE)</f>
        <v>Storage</v>
      </c>
      <c r="G43" t="str">
        <f>VLOOKUP(Table16[[#This Row],[SubID]], Subscriptions[#All], 4, FALSE)</f>
        <v>dept</v>
      </c>
      <c r="H43" t="s">
        <v>279</v>
      </c>
      <c r="I43" t="s">
        <v>779</v>
      </c>
      <c r="J43" t="s">
        <v>780</v>
      </c>
      <c r="K43" t="s">
        <v>565</v>
      </c>
      <c r="L43" t="str">
        <f>VLOOKUP(Table16[[#This Row],[SiteID]], Locations[#All], 3, FALSE)</f>
        <v>ia</v>
      </c>
      <c r="M43" t="str">
        <f>VLOOKUP(Table16[[#This Row],[SiteID]], Locations[#All], 4, FALSE)</f>
        <v>USGov Iowa</v>
      </c>
      <c r="N43" t="s">
        <v>151</v>
      </c>
      <c r="O4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"iadeptstoragebackupa" -Location "USGov Iowa" -Description "This storage account for Agency dept's, Subscription Storage workload purpose of Backup" -Type "Standard_GRS"</v>
      </c>
    </row>
    <row r="44" spans="1:15" x14ac:dyDescent="0.45">
      <c r="A44" t="s">
        <v>340</v>
      </c>
      <c r="B44" t="s">
        <v>323</v>
      </c>
      <c r="C44" t="str">
        <f>LOWER(Table16[[#This Row],[LocationID (Computed)]]&amp;Table16[[#This Row],[Agency (Computed)]]&amp;Table16[[#This Row],[SubName (Computed)]]&amp;Table16[[#This Row],[Purpose]]&amp;Table16[[#This Row],[Instance]])</f>
        <v>vadeptstoragedataa</v>
      </c>
      <c r="D44">
        <f>LEN(Table16[[#This Row],[Name (Computed) ]])</f>
        <v>18</v>
      </c>
      <c r="E44" t="str">
        <f>"This storage account for Agency " &amp; Table16[[#This Row],[Agency (Computed)]]&amp;"'s, Subscription "&amp;Table16[[#This Row],[SubName (Computed)]]&amp;" workload purpose of "&amp;Table16[[#This Row],[Purpose]]</f>
        <v>This storage account for Agency dept's, Subscription Storage workload purpose of Data</v>
      </c>
      <c r="F44" t="str">
        <f>VLOOKUP(Table16[[#This Row],[SubID]], Subscriptions[#All], 7, FALSE)</f>
        <v>Storage</v>
      </c>
      <c r="G44" t="str">
        <f>VLOOKUP(Table16[[#This Row],[SubID]], Subscriptions[#All], 4, FALSE)</f>
        <v>dept</v>
      </c>
      <c r="H44" t="s">
        <v>279</v>
      </c>
      <c r="I44" t="s">
        <v>572</v>
      </c>
      <c r="J44" t="s">
        <v>294</v>
      </c>
      <c r="K44" t="s">
        <v>307</v>
      </c>
      <c r="L44" t="str">
        <f>VLOOKUP(Table16[[#This Row],[SiteID]], Locations[#All], 3, FALSE)</f>
        <v>va</v>
      </c>
      <c r="M44" t="str">
        <f>VLOOKUP(Table16[[#This Row],[SiteID]], Locations[#All], 4, FALSE)</f>
        <v>USGov Virginia</v>
      </c>
      <c r="N44" t="s">
        <v>151</v>
      </c>
      <c r="O4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"vadeptstoragedataa" -Location "USGov Virginia" -Description "This storage account for Agency dept's, Subscription Storage workload purpose of Data" -Type "Standard_LRS"</v>
      </c>
    </row>
    <row r="45" spans="1:15" x14ac:dyDescent="0.45">
      <c r="A45" t="s">
        <v>345</v>
      </c>
      <c r="B45" t="s">
        <v>323</v>
      </c>
      <c r="C45" t="str">
        <f>LOWER(Table16[[#This Row],[LocationID (Computed)]]&amp;Table16[[#This Row],[Agency (Computed)]]&amp;Table16[[#This Row],[SubName (Computed)]]&amp;Table16[[#This Row],[Purpose]]&amp;Table16[[#This Row],[Instance]])</f>
        <v>iadeptstoragedataa</v>
      </c>
      <c r="D45">
        <f>LEN(Table16[[#This Row],[Name (Computed) ]])</f>
        <v>18</v>
      </c>
      <c r="E45" t="str">
        <f>"This storage account for Agency " &amp; Table16[[#This Row],[Agency (Computed)]]&amp;"'s, Subscription "&amp;Table16[[#This Row],[SubName (Computed)]]&amp;" workload purpose of "&amp;Table16[[#This Row],[Purpose]]</f>
        <v>This storage account for Agency dept's, Subscription Storage workload purpose of Data</v>
      </c>
      <c r="F45" t="str">
        <f>VLOOKUP(Table16[[#This Row],[SubID]], Subscriptions[#All], 7, FALSE)</f>
        <v>Storage</v>
      </c>
      <c r="G45" t="str">
        <f>VLOOKUP(Table16[[#This Row],[SubID]], Subscriptions[#All], 4, FALSE)</f>
        <v>dept</v>
      </c>
      <c r="H45" t="s">
        <v>279</v>
      </c>
      <c r="I45" t="s">
        <v>572</v>
      </c>
      <c r="J45" t="s">
        <v>294</v>
      </c>
      <c r="K45" t="s">
        <v>565</v>
      </c>
      <c r="L45" t="str">
        <f>VLOOKUP(Table16[[#This Row],[SiteID]], Locations[#All], 3, FALSE)</f>
        <v>ia</v>
      </c>
      <c r="M45" t="str">
        <f>VLOOKUP(Table16[[#This Row],[SiteID]], Locations[#All], 4, FALSE)</f>
        <v>USGov Iowa</v>
      </c>
      <c r="N45" t="s">
        <v>151</v>
      </c>
      <c r="O4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"iadeptstoragedataa" -Location "USGov Iowa" -Description "This storage account for Agency dept's, Subscription Storage workload purpose of Data" -Type "Standard_LRS"</v>
      </c>
    </row>
    <row r="46" spans="1:15" x14ac:dyDescent="0.45">
      <c r="A46" t="s">
        <v>350</v>
      </c>
      <c r="B46" t="s">
        <v>323</v>
      </c>
      <c r="C46" t="str">
        <f>LOWER(Table16[[#This Row],[LocationID (Computed)]]&amp;Table16[[#This Row],[Agency (Computed)]]&amp;Table16[[#This Row],[SubName (Computed)]]&amp;Table16[[#This Row],[Purpose]]&amp;Table16[[#This Row],[Instance]])</f>
        <v>vadeptstoragedba</v>
      </c>
      <c r="D46">
        <f>LEN(Table16[[#This Row],[Name (Computed) ]])</f>
        <v>16</v>
      </c>
      <c r="E46" t="s">
        <v>295</v>
      </c>
      <c r="F46" t="str">
        <f>VLOOKUP(Table16[[#This Row],[SubID]], Subscriptions[#All], 7, FALSE)</f>
        <v>Storage</v>
      </c>
      <c r="G46" t="str">
        <f>VLOOKUP(Table16[[#This Row],[SubID]], Subscriptions[#All], 4, FALSE)</f>
        <v>dept</v>
      </c>
      <c r="H46" t="s">
        <v>279</v>
      </c>
      <c r="I46" t="s">
        <v>781</v>
      </c>
      <c r="J46" t="s">
        <v>488</v>
      </c>
      <c r="K46" t="s">
        <v>307</v>
      </c>
      <c r="L46" t="str">
        <f>VLOOKUP(Table16[[#This Row],[SiteID]], Locations[#All], 3, FALSE)</f>
        <v>va</v>
      </c>
      <c r="M46" t="str">
        <f>VLOOKUP(Table16[[#This Row],[SiteID]], Locations[#All], 4, FALSE)</f>
        <v>USGov Virginia</v>
      </c>
      <c r="N46" t="s">
        <v>151</v>
      </c>
      <c r="O4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"vadeptstoragedba" -Location "USGov Virginia" -Description "Used to host Images" -Type "Premium_LRS"</v>
      </c>
    </row>
    <row r="47" spans="1:15" x14ac:dyDescent="0.45">
      <c r="A47" t="s">
        <v>355</v>
      </c>
      <c r="B47" t="s">
        <v>323</v>
      </c>
      <c r="C47" t="str">
        <f>LOWER(Table16[[#This Row],[LocationID (Computed)]]&amp;Table16[[#This Row],[Agency (Computed)]]&amp;Table16[[#This Row],[SubName (Computed)]]&amp;Table16[[#This Row],[Purpose]]&amp;Table16[[#This Row],[Instance]])</f>
        <v>iadeptstoragedba</v>
      </c>
      <c r="D47">
        <f>LEN(Table16[[#This Row],[Name (Computed) ]])</f>
        <v>16</v>
      </c>
      <c r="E47" t="s">
        <v>296</v>
      </c>
      <c r="F47" t="str">
        <f>VLOOKUP(Table16[[#This Row],[SubID]], Subscriptions[#All], 7, FALSE)</f>
        <v>Storage</v>
      </c>
      <c r="G47" t="str">
        <f>VLOOKUP(Table16[[#This Row],[SubID]], Subscriptions[#All], 4, FALSE)</f>
        <v>dept</v>
      </c>
      <c r="H47" t="s">
        <v>279</v>
      </c>
      <c r="I47" t="s">
        <v>781</v>
      </c>
      <c r="J47" t="s">
        <v>488</v>
      </c>
      <c r="K47" t="s">
        <v>565</v>
      </c>
      <c r="L47" t="str">
        <f>VLOOKUP(Table16[[#This Row],[SiteID]], Locations[#All], 3, FALSE)</f>
        <v>ia</v>
      </c>
      <c r="M47" t="str">
        <f>VLOOKUP(Table16[[#This Row],[SiteID]], Locations[#All], 4, FALSE)</f>
        <v>USGov Iowa</v>
      </c>
      <c r="N47" t="s">
        <v>151</v>
      </c>
      <c r="O4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"iadeptstoragedba" -Location "USGov Iowa" -Description "Used to Host Data" -Type "Premium_LRS"</v>
      </c>
    </row>
    <row r="48" spans="1:15" x14ac:dyDescent="0.45">
      <c r="A48" t="s">
        <v>330</v>
      </c>
      <c r="B48" t="s">
        <v>323</v>
      </c>
      <c r="C48" t="str">
        <f>LOWER(Table16[[#This Row],[LocationID (Computed)]]&amp;Table16[[#This Row],[Agency (Computed)]]&amp;Table16[[#This Row],[SubName (Computed)]]&amp;Table16[[#This Row],[Purpose]]&amp;Table16[[#This Row],[Instance]])</f>
        <v>vadeptstorageimagesa</v>
      </c>
      <c r="D48">
        <f>LEN(Table16[[#This Row],[Name (Computed) ]])</f>
        <v>20</v>
      </c>
      <c r="E48" t="s">
        <v>328</v>
      </c>
      <c r="F48" t="str">
        <f>VLOOKUP(Table16[[#This Row],[SubID]], Subscriptions[#All], 7, FALSE)</f>
        <v>Storage</v>
      </c>
      <c r="G48" t="str">
        <f>VLOOKUP(Table16[[#This Row],[SubID]], Subscriptions[#All], 4, FALSE)</f>
        <v>dept</v>
      </c>
      <c r="H48" t="s">
        <v>279</v>
      </c>
      <c r="I48" t="s">
        <v>572</v>
      </c>
      <c r="J48" t="s">
        <v>293</v>
      </c>
      <c r="K48" t="s">
        <v>307</v>
      </c>
      <c r="L48" t="str">
        <f>VLOOKUP(Table16[[#This Row],[SiteID]], Locations[#All], 3, FALSE)</f>
        <v>va</v>
      </c>
      <c r="M48" t="str">
        <f>VLOOKUP(Table16[[#This Row],[SiteID]], Locations[#All], 4, FALSE)</f>
        <v>USGov Virginia</v>
      </c>
      <c r="N48" t="s">
        <v>151</v>
      </c>
      <c r="O48"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"vadeptstorageimagesa" -Location "USGov Virginia" -Description "On premise connected to Azure Storage" -Type "Standard_LRS"</v>
      </c>
    </row>
    <row r="49" spans="1:15" x14ac:dyDescent="0.45">
      <c r="A49" t="s">
        <v>335</v>
      </c>
      <c r="B49" t="s">
        <v>323</v>
      </c>
      <c r="C49" t="str">
        <f>LOWER(Table16[[#This Row],[LocationID (Computed)]]&amp;Table16[[#This Row],[Agency (Computed)]]&amp;Table16[[#This Row],[SubName (Computed)]]&amp;Table16[[#This Row],[Purpose]]&amp;Table16[[#This Row],[Instance]])</f>
        <v>iadeptstorageimagesa</v>
      </c>
      <c r="D49">
        <f>LEN(Table16[[#This Row],[Name (Computed) ]])</f>
        <v>20</v>
      </c>
      <c r="E49" t="s">
        <v>291</v>
      </c>
      <c r="F49" t="str">
        <f>VLOOKUP(Table16[[#This Row],[SubID]], Subscriptions[#All], 7, FALSE)</f>
        <v>Storage</v>
      </c>
      <c r="G49" t="str">
        <f>VLOOKUP(Table16[[#This Row],[SubID]], Subscriptions[#All], 4, FALSE)</f>
        <v>dept</v>
      </c>
      <c r="H49" t="s">
        <v>279</v>
      </c>
      <c r="I49" t="s">
        <v>572</v>
      </c>
      <c r="J49" t="s">
        <v>293</v>
      </c>
      <c r="K49" t="s">
        <v>565</v>
      </c>
      <c r="L49" t="str">
        <f>VLOOKUP(Table16[[#This Row],[SiteID]], Locations[#All], 3, FALSE)</f>
        <v>ia</v>
      </c>
      <c r="M49" t="str">
        <f>VLOOKUP(Table16[[#This Row],[SiteID]], Locations[#All], 4, FALSE)</f>
        <v>USGov Iowa</v>
      </c>
      <c r="N49" t="s">
        <v>151</v>
      </c>
      <c r="O49"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"iadeptstorageimagesa" -Location "USGov Iowa" -Description "This storage account in the Services Subscription is used to host VHD's for Virtual Machines" -Type "Standard_LRS"</v>
      </c>
    </row>
    <row r="50" spans="1:15" x14ac:dyDescent="0.45">
      <c r="A50" t="s">
        <v>368</v>
      </c>
      <c r="B50" t="s">
        <v>323</v>
      </c>
      <c r="C50" t="str">
        <f>LOWER(Table16[[#This Row],[LocationID (Computed)]]&amp;Table16[[#This Row],[Agency (Computed)]]&amp;Table16[[#This Row],[SubName (Computed)]]&amp;Table16[[#This Row],[Purpose]]&amp;Table16[[#This Row],[Instance]])</f>
        <v>vadeptstorageonprembackupa</v>
      </c>
      <c r="D50">
        <f>LEN(Table16[[#This Row],[Name (Computed) ]])</f>
        <v>26</v>
      </c>
      <c r="E50" t="s">
        <v>295</v>
      </c>
      <c r="F50" t="str">
        <f>VLOOKUP(Table16[[#This Row],[SubID]], Subscriptions[#All], 7, FALSE)</f>
        <v>Storage</v>
      </c>
      <c r="G50" t="str">
        <f>VLOOKUP(Table16[[#This Row],[SubID]], Subscriptions[#All], 4, FALSE)</f>
        <v>dept</v>
      </c>
      <c r="H50" t="s">
        <v>279</v>
      </c>
      <c r="I50" t="s">
        <v>779</v>
      </c>
      <c r="J50" t="s">
        <v>782</v>
      </c>
      <c r="K50" t="s">
        <v>307</v>
      </c>
      <c r="L50" t="str">
        <f>VLOOKUP(Table16[[#This Row],[SiteID]], Locations[#All], 3, FALSE)</f>
        <v>va</v>
      </c>
      <c r="M50" t="str">
        <f>VLOOKUP(Table16[[#This Row],[SiteID]], Locations[#All], 4, FALSE)</f>
        <v>USGov Virginia</v>
      </c>
      <c r="N50" t="s">
        <v>151</v>
      </c>
      <c r="O50"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"vadeptstorageonprembackupa" -Location "USGov Virginia" -Description "Used to host Images" -Type "Standard_GRS"</v>
      </c>
    </row>
    <row r="51" spans="1:15" x14ac:dyDescent="0.45">
      <c r="A51" t="s">
        <v>369</v>
      </c>
      <c r="B51" t="s">
        <v>323</v>
      </c>
      <c r="C51" t="str">
        <f>LOWER(Table16[[#This Row],[LocationID (Computed)]]&amp;Table16[[#This Row],[Agency (Computed)]]&amp;Table16[[#This Row],[SubName (Computed)]]&amp;Table16[[#This Row],[Purpose]]&amp;Table16[[#This Row],[Instance]])</f>
        <v>iadeptstorageonprembackupa</v>
      </c>
      <c r="D51">
        <f>LEN(Table16[[#This Row],[Name (Computed) ]])</f>
        <v>26</v>
      </c>
      <c r="E51" t="s">
        <v>296</v>
      </c>
      <c r="F51" t="str">
        <f>VLOOKUP(Table16[[#This Row],[SubID]], Subscriptions[#All], 7, FALSE)</f>
        <v>Storage</v>
      </c>
      <c r="G51" t="str">
        <f>VLOOKUP(Table16[[#This Row],[SubID]], Subscriptions[#All], 4, FALSE)</f>
        <v>dept</v>
      </c>
      <c r="H51" t="s">
        <v>279</v>
      </c>
      <c r="I51" t="s">
        <v>779</v>
      </c>
      <c r="J51" t="s">
        <v>782</v>
      </c>
      <c r="K51" t="s">
        <v>565</v>
      </c>
      <c r="L51" t="str">
        <f>VLOOKUP(Table16[[#This Row],[SiteID]], Locations[#All], 3, FALSE)</f>
        <v>ia</v>
      </c>
      <c r="M51" t="str">
        <f>VLOOKUP(Table16[[#This Row],[SiteID]], Locations[#All], 4, FALSE)</f>
        <v>USGov Iowa</v>
      </c>
      <c r="N51" t="s">
        <v>151</v>
      </c>
      <c r="O51"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"iadeptstorageonprembackupa" -Location "USGov Iowa" -Description "Used to Host Data" -Type "Standard_GRS"</v>
      </c>
    </row>
    <row r="52" spans="1:15" x14ac:dyDescent="0.45">
      <c r="A52" t="s">
        <v>370</v>
      </c>
      <c r="B52" t="s">
        <v>323</v>
      </c>
      <c r="C52" t="str">
        <f>LOWER(Table16[[#This Row],[LocationID (Computed)]]&amp;Table16[[#This Row],[Agency (Computed)]]&amp;Table16[[#This Row],[SubName (Computed)]]&amp;Table16[[#This Row],[Purpose]]&amp;Table16[[#This Row],[Instance]])</f>
        <v>vadeptstorageonpremhybrida</v>
      </c>
      <c r="D52">
        <f>LEN(Table16[[#This Row],[Name (Computed) ]])</f>
        <v>26</v>
      </c>
      <c r="E52" t="s">
        <v>328</v>
      </c>
      <c r="F52" t="str">
        <f>VLOOKUP(Table16[[#This Row],[SubID]], Subscriptions[#All], 7, FALSE)</f>
        <v>Storage</v>
      </c>
      <c r="G52" t="str">
        <f>VLOOKUP(Table16[[#This Row],[SubID]], Subscriptions[#All], 4, FALSE)</f>
        <v>dept</v>
      </c>
      <c r="H52" t="s">
        <v>279</v>
      </c>
      <c r="I52" t="s">
        <v>779</v>
      </c>
      <c r="J52" t="s">
        <v>783</v>
      </c>
      <c r="K52" t="s">
        <v>307</v>
      </c>
      <c r="L52" t="str">
        <f>VLOOKUP(Table16[[#This Row],[SiteID]], Locations[#All], 3, FALSE)</f>
        <v>va</v>
      </c>
      <c r="M52" t="str">
        <f>VLOOKUP(Table16[[#This Row],[SiteID]], Locations[#All], 4, FALSE)</f>
        <v>USGov Virginia</v>
      </c>
      <c r="N52" t="s">
        <v>151</v>
      </c>
      <c r="O52"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"vadeptstorageonpremhybrida" -Location "USGov Virginia" -Description "On premise connected to Azure Storage" -Type "Standard_GRS"</v>
      </c>
    </row>
    <row r="53" spans="1:15" x14ac:dyDescent="0.45">
      <c r="A53" t="s">
        <v>371</v>
      </c>
      <c r="B53" t="s">
        <v>323</v>
      </c>
      <c r="C53" t="str">
        <f>LOWER(Table16[[#This Row],[LocationID (Computed)]]&amp;Table16[[#This Row],[Agency (Computed)]]&amp;Table16[[#This Row],[SubName (Computed)]]&amp;Table16[[#This Row],[Purpose]]&amp;Table16[[#This Row],[Instance]])</f>
        <v>iadeptstorageonpremhybrida</v>
      </c>
      <c r="D53">
        <f>LEN(Table16[[#This Row],[Name (Computed) ]])</f>
        <v>26</v>
      </c>
      <c r="E53" t="s">
        <v>291</v>
      </c>
      <c r="F53" t="str">
        <f>VLOOKUP(Table16[[#This Row],[SubID]], Subscriptions[#All], 7, FALSE)</f>
        <v>Storage</v>
      </c>
      <c r="G53" t="str">
        <f>VLOOKUP(Table16[[#This Row],[SubID]], Subscriptions[#All], 4, FALSE)</f>
        <v>dept</v>
      </c>
      <c r="H53" t="s">
        <v>279</v>
      </c>
      <c r="I53" t="s">
        <v>779</v>
      </c>
      <c r="J53" t="s">
        <v>783</v>
      </c>
      <c r="K53" t="s">
        <v>565</v>
      </c>
      <c r="L53" t="str">
        <f>VLOOKUP(Table16[[#This Row],[SiteID]], Locations[#All], 3, FALSE)</f>
        <v>ia</v>
      </c>
      <c r="M53" t="str">
        <f>VLOOKUP(Table16[[#This Row],[SiteID]], Locations[#All], 4, FALSE)</f>
        <v>USGov Iowa</v>
      </c>
      <c r="N53" t="s">
        <v>151</v>
      </c>
      <c r="O53"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"iadeptstorageonpremhybrida" -Location "USGov Iowa" -Description "This storage account in the Services Subscription is used to host VHD's for Virtual Machines" -Type "Standard_GRS"</v>
      </c>
    </row>
    <row r="54" spans="1:15" x14ac:dyDescent="0.45">
      <c r="A54" t="s">
        <v>282</v>
      </c>
      <c r="B54" t="s">
        <v>323</v>
      </c>
      <c r="C54" t="str">
        <f>LOWER(Table16[[#This Row],[LocationID (Computed)]]&amp;Table16[[#This Row],[Agency (Computed)]]&amp;Table16[[#This Row],[SubName (Computed)]]&amp;Table16[[#This Row],[Purpose]]&amp;Table16[[#This Row],[Instance]])</f>
        <v>vadeptstorageosa</v>
      </c>
      <c r="D54">
        <f>LEN(Table16[[#This Row],[Name (Computed) ]])</f>
        <v>16</v>
      </c>
      <c r="E54" t="s">
        <v>295</v>
      </c>
      <c r="F54" t="str">
        <f>VLOOKUP(Table16[[#This Row],[SubID]], Subscriptions[#All], 7, FALSE)</f>
        <v>Storage</v>
      </c>
      <c r="G54" t="str">
        <f>VLOOKUP(Table16[[#This Row],[SubID]], Subscriptions[#All], 4, FALSE)</f>
        <v>dept</v>
      </c>
      <c r="H54" t="s">
        <v>279</v>
      </c>
      <c r="I54" t="s">
        <v>572</v>
      </c>
      <c r="J54" t="s">
        <v>192</v>
      </c>
      <c r="K54" t="s">
        <v>307</v>
      </c>
      <c r="L54" t="str">
        <f>VLOOKUP(Table16[[#This Row],[SiteID]], Locations[#All], 3, FALSE)</f>
        <v>va</v>
      </c>
      <c r="M54" t="str">
        <f>VLOOKUP(Table16[[#This Row],[SiteID]], Locations[#All], 4, FALSE)</f>
        <v>USGov Virginia</v>
      </c>
      <c r="N54" t="s">
        <v>151</v>
      </c>
      <c r="O54"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"vadeptstorageosa" -Location "USGov Virginia" -Description "Used to host Images" -Type "Standard_LRS"</v>
      </c>
    </row>
    <row r="55" spans="1:15" x14ac:dyDescent="0.45">
      <c r="A55" t="s">
        <v>287</v>
      </c>
      <c r="B55" t="s">
        <v>323</v>
      </c>
      <c r="C55" t="str">
        <f>LOWER(Table16[[#This Row],[LocationID (Computed)]]&amp;Table16[[#This Row],[Agency (Computed)]]&amp;Table16[[#This Row],[SubName (Computed)]]&amp;Table16[[#This Row],[Purpose]]&amp;Table16[[#This Row],[Instance]])</f>
        <v>iadeptstorageosa</v>
      </c>
      <c r="D55">
        <f>LEN(Table16[[#This Row],[Name (Computed) ]])</f>
        <v>16</v>
      </c>
      <c r="E55" t="s">
        <v>296</v>
      </c>
      <c r="F55" t="str">
        <f>VLOOKUP(Table16[[#This Row],[SubID]], Subscriptions[#All], 7, FALSE)</f>
        <v>Storage</v>
      </c>
      <c r="G55" t="str">
        <f>VLOOKUP(Table16[[#This Row],[SubID]], Subscriptions[#All], 4, FALSE)</f>
        <v>dept</v>
      </c>
      <c r="H55" t="s">
        <v>279</v>
      </c>
      <c r="I55" t="s">
        <v>572</v>
      </c>
      <c r="J55" t="s">
        <v>192</v>
      </c>
      <c r="K55" t="s">
        <v>565</v>
      </c>
      <c r="L55" t="str">
        <f>VLOOKUP(Table16[[#This Row],[SiteID]], Locations[#All], 3, FALSE)</f>
        <v>ia</v>
      </c>
      <c r="M55" t="str">
        <f>VLOOKUP(Table16[[#This Row],[SiteID]], Locations[#All], 4, FALSE)</f>
        <v>USGov Iowa</v>
      </c>
      <c r="N55" t="s">
        <v>151</v>
      </c>
      <c r="O55"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"iadeptstorageosa" -Location "USGov Iowa" -Description "Used to Host Data" -Type "Standard_LRS"</v>
      </c>
    </row>
    <row r="56" spans="1:15" x14ac:dyDescent="0.45">
      <c r="A56" t="s">
        <v>366</v>
      </c>
      <c r="B56" t="s">
        <v>323</v>
      </c>
      <c r="C56" t="str">
        <f>LOWER(Table16[[#This Row],[LocationID (Computed)]]&amp;Table16[[#This Row],[Agency (Computed)]]&amp;Table16[[#This Row],[SubName (Computed)]]&amp;Table16[[#This Row],[Purpose]]&amp;Table16[[#This Row],[Instance]])</f>
        <v>vadeptstoragestorsimplea</v>
      </c>
      <c r="D56">
        <f>LEN(Table16[[#This Row],[Name (Computed) ]])</f>
        <v>24</v>
      </c>
      <c r="E56" t="s">
        <v>328</v>
      </c>
      <c r="F56" t="str">
        <f>VLOOKUP(Table16[[#This Row],[SubID]], Subscriptions[#All], 7, FALSE)</f>
        <v>Storage</v>
      </c>
      <c r="G56" t="str">
        <f>VLOOKUP(Table16[[#This Row],[SubID]], Subscriptions[#All], 4, FALSE)</f>
        <v>dept</v>
      </c>
      <c r="H56" t="s">
        <v>279</v>
      </c>
      <c r="I56" t="s">
        <v>779</v>
      </c>
      <c r="J56" t="s">
        <v>566</v>
      </c>
      <c r="K56" t="s">
        <v>307</v>
      </c>
      <c r="L56" t="str">
        <f>VLOOKUP(Table16[[#This Row],[SiteID]], Locations[#All], 3, FALSE)</f>
        <v>va</v>
      </c>
      <c r="M56" t="str">
        <f>VLOOKUP(Table16[[#This Row],[SiteID]], Locations[#All], 4, FALSE)</f>
        <v>USGov Virginia</v>
      </c>
      <c r="N56" t="s">
        <v>151</v>
      </c>
      <c r="O56" t="str">
        <f>"New-AzureStorageAccount -StorageAccountName """&amp;Table16[[#This Row],[Name (Computed) ]]&amp;""" -Location """&amp;Table16[[#This Row],[AzureLocationName]]&amp;""" -Description """&amp;Table16[[#This Row],[Description]]&amp;""""&amp;" -Type """&amp;Table16[[#This Row],[Redundance (LR, GR, ROGR, ZR)]]&amp;""""</f>
        <v>New-AzureStorageAccount -StorageAccountName "vadeptstoragestorsimplea" -Location "USGov Virginia" -Description "On premise connected to Azure Storage" -Type "Standard_GRS"</v>
      </c>
    </row>
    <row r="57" spans="1:15" x14ac:dyDescent="0.45">
      <c r="A57" t="s">
        <v>367</v>
      </c>
      <c r="B57" t="s">
        <v>323</v>
      </c>
      <c r="C57" t="str">
        <f>LOWER(Table16[[#This Row],[LocationID (Computed)]]&amp;Table16[[#This Row],[Agency (Computed)]]&amp;Table16[[#This Row],[SubName (Computed)]]&amp;Table16[[#This Row],[Purpose]]&amp;Table16[[#This Row],[Instance]])</f>
        <v>iadeptstoragestorsimplea</v>
      </c>
      <c r="D57">
        <f>LEN(Table16[[#This Row],[Name (Computed) ]])</f>
        <v>24</v>
      </c>
      <c r="E57" t="s">
        <v>291</v>
      </c>
      <c r="F57" t="str">
        <f>VLOOKUP(Table16[[#This Row],[SubID]], Subscriptions[#All], 7, FALSE)</f>
        <v>Storage</v>
      </c>
      <c r="G57" t="str">
        <f>VLOOKUP(Table16[[#This Row],[SubID]], Subscriptions[#All], 4, FALSE)</f>
        <v>dept</v>
      </c>
      <c r="H57" t="s">
        <v>279</v>
      </c>
      <c r="I57" t="s">
        <v>779</v>
      </c>
      <c r="J57" t="s">
        <v>566</v>
      </c>
      <c r="K57" t="s">
        <v>565</v>
      </c>
      <c r="L57" t="str">
        <f>VLOOKUP(Table16[[#This Row],[SiteID]], Locations[#All], 3, FALSE)</f>
        <v>ia</v>
      </c>
      <c r="M57" t="str">
        <f>VLOOKUP(Table16[[#This Row],[SiteID]], Locations[#All], 4, FALSE)</f>
        <v>USGov Iowa</v>
      </c>
      <c r="N57" t="s">
        <v>151</v>
      </c>
      <c r="O57" t="str">
        <f>"New-AzureStorageAccount -StorageAccountName """&amp;Table16[[#This Row],[Name (Computed) ]]&amp;""" -Location """&amp;Table16[[#This Row],[AzureLocationName]]&amp;""" -Description """&amp;Table16[[#This Row],[Description]]&amp;""""&amp;" -Type """&amp;Table16[[#This Row],[Redundance (LR, GR, ROGR, ZR)]]&amp;""""</f>
        <v>New-AzureStorageAccount -StorageAccountName "iadeptstoragestorsimplea" -Location "USGov Iowa" -Description "This storage account in the Services Subscription is used to host VHD's for Virtual Machines" -Type "Standard_GRS"</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workbookViewId="0">
      <selection activeCell="C2" sqref="C2:C5"/>
    </sheetView>
  </sheetViews>
  <sheetFormatPr defaultRowHeight="14.25" x14ac:dyDescent="0.45"/>
  <cols>
    <col min="2" max="2" width="9.86328125" customWidth="1"/>
    <col min="3" max="3" width="25.59765625" customWidth="1"/>
    <col min="4" max="4" width="13.265625" customWidth="1"/>
    <col min="7" max="7" width="18.1328125" customWidth="1"/>
    <col min="8" max="9" width="19.1328125" customWidth="1"/>
    <col min="10" max="10" width="14.86328125" customWidth="1"/>
    <col min="11" max="11" width="24" customWidth="1"/>
    <col min="12" max="12" width="15.59765625" customWidth="1"/>
    <col min="13" max="13" width="24" customWidth="1"/>
    <col min="15" max="15" width="25.86328125" customWidth="1"/>
    <col min="16" max="16" width="27.59765625" customWidth="1"/>
    <col min="17" max="17" width="15.1328125" customWidth="1"/>
    <col min="19" max="19" width="15.86328125" customWidth="1"/>
    <col min="21" max="21" width="12.59765625" customWidth="1"/>
    <col min="22" max="22" width="13.86328125" customWidth="1"/>
    <col min="23" max="23" width="17.3984375" customWidth="1"/>
    <col min="24" max="24" width="16.265625" customWidth="1"/>
    <col min="25" max="25" width="10.59765625" customWidth="1"/>
    <col min="26" max="26" width="17" customWidth="1"/>
    <col min="27" max="27" width="12.265625" customWidth="1"/>
    <col min="28" max="28" width="14.59765625" customWidth="1"/>
    <col min="29" max="29" width="11.86328125" customWidth="1"/>
    <col min="30" max="30" width="16.265625" customWidth="1"/>
    <col min="31" max="31" width="12" customWidth="1"/>
    <col min="32" max="32" width="13.86328125" customWidth="1"/>
    <col min="33" max="33" width="16" customWidth="1"/>
    <col min="34" max="34" width="10.86328125" customWidth="1"/>
    <col min="35" max="35" width="15.1328125" customWidth="1"/>
    <col min="36" max="36" width="16.1328125" customWidth="1"/>
    <col min="37" max="37" width="11.59765625" customWidth="1"/>
    <col min="38" max="38" width="15.59765625" customWidth="1"/>
    <col min="39" max="39" width="10.59765625" customWidth="1"/>
  </cols>
  <sheetData>
    <row r="1" spans="1:34" x14ac:dyDescent="0.45">
      <c r="A1" s="33" t="s">
        <v>784</v>
      </c>
      <c r="B1" s="35" t="s">
        <v>582</v>
      </c>
      <c r="C1" s="34" t="s">
        <v>112</v>
      </c>
      <c r="D1" s="34" t="s">
        <v>653</v>
      </c>
      <c r="E1" s="32" t="s">
        <v>0</v>
      </c>
      <c r="F1" s="34" t="s">
        <v>234</v>
      </c>
      <c r="G1" s="35" t="s">
        <v>651</v>
      </c>
      <c r="H1" s="35" t="s">
        <v>652</v>
      </c>
      <c r="I1" s="34" t="s">
        <v>786</v>
      </c>
      <c r="J1" s="35" t="s">
        <v>104</v>
      </c>
      <c r="K1" s="34" t="s">
        <v>785</v>
      </c>
      <c r="L1" s="35" t="s">
        <v>235</v>
      </c>
      <c r="M1" s="34" t="s">
        <v>106</v>
      </c>
      <c r="N1" s="35" t="s">
        <v>236</v>
      </c>
      <c r="O1" s="34" t="s">
        <v>109</v>
      </c>
      <c r="P1" s="35" t="s">
        <v>237</v>
      </c>
      <c r="Q1" s="35" t="s">
        <v>239</v>
      </c>
      <c r="R1" s="34" t="s">
        <v>240</v>
      </c>
      <c r="S1" s="35" t="s">
        <v>107</v>
      </c>
      <c r="T1" s="34" t="s">
        <v>108</v>
      </c>
      <c r="U1" s="35" t="s">
        <v>249</v>
      </c>
      <c r="V1" s="35" t="s">
        <v>241</v>
      </c>
      <c r="W1" s="34" t="s">
        <v>247</v>
      </c>
      <c r="X1" s="34" t="s">
        <v>246</v>
      </c>
      <c r="Y1" s="34" t="s">
        <v>242</v>
      </c>
      <c r="Z1" s="35" t="s">
        <v>243</v>
      </c>
      <c r="AA1" s="34" t="s">
        <v>244</v>
      </c>
      <c r="AB1" s="35" t="s">
        <v>245</v>
      </c>
      <c r="AC1" s="35" t="s">
        <v>110</v>
      </c>
      <c r="AD1" s="35" t="s">
        <v>111</v>
      </c>
      <c r="AE1" s="34" t="s">
        <v>248</v>
      </c>
      <c r="AF1" s="34" t="s">
        <v>250</v>
      </c>
      <c r="AG1" s="34" t="s">
        <v>251</v>
      </c>
      <c r="AH1" s="34" t="s">
        <v>113</v>
      </c>
    </row>
    <row r="2" spans="1:34" x14ac:dyDescent="0.45">
      <c r="A2" t="s">
        <v>393</v>
      </c>
      <c r="B2" t="s">
        <v>588</v>
      </c>
      <c r="C2" t="str">
        <f>Users[[#This Row],[DepartmentName (Computed)]]&amp;"_"&amp;Users[[#This Row],[AccountName (Computed)]]&amp;"_"&amp;E2</f>
        <v>dept_Managed_DA</v>
      </c>
      <c r="E2" t="s">
        <v>549</v>
      </c>
      <c r="G2" t="str">
        <f>VLOOKUP(Users[[#This Row],[DeptID]], Departments[#All], 2)</f>
        <v>dept</v>
      </c>
      <c r="H2" t="str">
        <f>VLOOKUP(Users[[#This Row],[DeptID]], Departments[#All], 4)</f>
        <v>Managed</v>
      </c>
      <c r="I2" t="s">
        <v>638</v>
      </c>
      <c r="J2" t="s">
        <v>298</v>
      </c>
      <c r="K2" t="str">
        <f>VLOOKUP(Users[[#This Row],[DeptID]], Departments[#All],3)</f>
        <v>Description of the Organization</v>
      </c>
      <c r="L2" t="str">
        <f>Users[[#This Row],[DepartmentName (Computed)]]&amp;"_"&amp;Users[[#This Row],[Title]]</f>
        <v>dept_DA</v>
      </c>
      <c r="M2" t="str">
        <f>Users[[#This Row],[username]]&amp;"@"&amp;Users[[#This Row],[Tenant ]]</f>
        <v>dept_Managed_DA@&lt;tenant&gt;.onmicrosoft.com</v>
      </c>
      <c r="P2" t="s">
        <v>238</v>
      </c>
    </row>
    <row r="3" spans="1:34" x14ac:dyDescent="0.45">
      <c r="A3" t="s">
        <v>394</v>
      </c>
      <c r="B3" t="s">
        <v>640</v>
      </c>
      <c r="C3" t="str">
        <f>Users[[#This Row],[DepartmentName (Computed)]]&amp;"_"&amp;Users[[#This Row],[AccountName (Computed)]]&amp;"_"&amp;E3</f>
        <v>dept_Sandbox_DA</v>
      </c>
      <c r="E3" t="s">
        <v>549</v>
      </c>
      <c r="G3" t="str">
        <f>VLOOKUP(Users[[#This Row],[DeptID]], Departments[#All], 2)</f>
        <v>dept</v>
      </c>
      <c r="H3" t="str">
        <f>VLOOKUP(Users[[#This Row],[DeptID]], Departments[#All], 4)</f>
        <v>Sandbox</v>
      </c>
      <c r="I3" t="s">
        <v>638</v>
      </c>
      <c r="J3" t="s">
        <v>298</v>
      </c>
      <c r="K3" t="str">
        <f>VLOOKUP(Users[[#This Row],[DeptID]], Departments[#All],3)</f>
        <v>Description of the Organization</v>
      </c>
      <c r="L3" t="str">
        <f>Users[[#This Row],[DepartmentName (Computed)]]&amp;"_"&amp;Users[[#This Row],[Title]]</f>
        <v>dept_DA</v>
      </c>
      <c r="M3" t="str">
        <f>Users[[#This Row],[username]]&amp;"@"&amp;Users[[#This Row],[Tenant ]]</f>
        <v>dept_Sandbox_DA@&lt;tenant&gt;.onmicrosoft.com</v>
      </c>
      <c r="P3" t="s">
        <v>238</v>
      </c>
    </row>
    <row r="4" spans="1:34" x14ac:dyDescent="0.45">
      <c r="A4" t="s">
        <v>395</v>
      </c>
      <c r="B4" t="s">
        <v>588</v>
      </c>
      <c r="C4" t="str">
        <f>Users[[#This Row],[DepartmentName (Computed)]]&amp;"_"&amp;Users[[#This Row],[AccountName (Computed)]]&amp;"_"&amp;E4</f>
        <v>dept_Managed_AA</v>
      </c>
      <c r="E4" t="s">
        <v>550</v>
      </c>
      <c r="G4" t="str">
        <f>VLOOKUP(Users[[#This Row],[DeptID]], Departments[#All], 2)</f>
        <v>dept</v>
      </c>
      <c r="H4" t="str">
        <f>VLOOKUP(Users[[#This Row],[DeptID]], Departments[#All], 4)</f>
        <v>Managed</v>
      </c>
      <c r="I4" t="s">
        <v>638</v>
      </c>
      <c r="J4" t="s">
        <v>298</v>
      </c>
      <c r="K4" t="str">
        <f>VLOOKUP(Users[[#This Row],[DeptID]], Departments[#All],3)</f>
        <v>Description of the Organization</v>
      </c>
      <c r="L4" t="str">
        <f>Users[[#This Row],[DepartmentName (Computed)]]&amp;"_"&amp;Users[[#This Row],[Title]]</f>
        <v>dept_AA</v>
      </c>
      <c r="M4" t="str">
        <f>Users[[#This Row],[username]]&amp;"@"&amp;Users[[#This Row],[Tenant ]]</f>
        <v>dept_Managed_AA@&lt;tenant&gt;.onmicrosoft.com</v>
      </c>
      <c r="P4" t="s">
        <v>238</v>
      </c>
    </row>
    <row r="5" spans="1:34" x14ac:dyDescent="0.45">
      <c r="A5" t="s">
        <v>396</v>
      </c>
      <c r="B5" t="s">
        <v>640</v>
      </c>
      <c r="C5" t="str">
        <f>Users[[#This Row],[DepartmentName (Computed)]]&amp;"_"&amp;Users[[#This Row],[AccountName (Computed)]]&amp;"_"&amp;E5</f>
        <v>dept_Sandbox_AA</v>
      </c>
      <c r="E5" t="s">
        <v>550</v>
      </c>
      <c r="G5" t="str">
        <f>VLOOKUP(Users[[#This Row],[DeptID]], Departments[#All], 2)</f>
        <v>dept</v>
      </c>
      <c r="H5" t="str">
        <f>VLOOKUP(Users[[#This Row],[DeptID]], Departments[#All], 4)</f>
        <v>Sandbox</v>
      </c>
      <c r="I5" t="s">
        <v>638</v>
      </c>
      <c r="J5" t="s">
        <v>298</v>
      </c>
      <c r="K5" t="str">
        <f>VLOOKUP(Users[[#This Row],[DeptID]], Departments[#All],3)</f>
        <v>Description of the Organization</v>
      </c>
      <c r="L5" t="str">
        <f>Users[[#This Row],[DepartmentName (Computed)]]&amp;"_"&amp;Users[[#This Row],[Title]]</f>
        <v>dept_AA</v>
      </c>
      <c r="M5" t="str">
        <f>Users[[#This Row],[username]]&amp;"@"&amp;Users[[#This Row],[Tenant ]]</f>
        <v>dept_Sandbox_AA@&lt;tenant&gt;.onmicrosoft.com</v>
      </c>
      <c r="P5" t="s">
        <v>238</v>
      </c>
    </row>
    <row r="6" spans="1:34" x14ac:dyDescent="0.45">
      <c r="A6" t="s">
        <v>833</v>
      </c>
      <c r="C6" s="29" t="e">
        <f>Users[[#This Row],[DepartmentName (Computed)]]&amp;"_"&amp;Users[[#This Row],[AccountName (Computed)]]&amp;"_"&amp;E6</f>
        <v>#N/A</v>
      </c>
      <c r="G6" t="e">
        <f>VLOOKUP(Users[[#This Row],[DeptID]], Departments[#All], 2)</f>
        <v>#N/A</v>
      </c>
      <c r="H6" s="29" t="e">
        <f>VLOOKUP(Users[[#This Row],[DeptID]], Departments[#All], 4)</f>
        <v>#N/A</v>
      </c>
      <c r="K6" t="e">
        <f>VLOOKUP(Users[[#This Row],[DeptID]], Departments[#All],3)</f>
        <v>#N/A</v>
      </c>
      <c r="L6" s="29" t="e">
        <f>Users[[#This Row],[DepartmentName (Computed)]]&amp;"_"&amp;Users[[#This Row],[Title]]</f>
        <v>#N/A</v>
      </c>
      <c r="M6" s="29" t="e">
        <f>Users[[#This Row],[username]]&amp;"@"&amp;Users[[#This Row],[Tenant ]]</f>
        <v>#N/A</v>
      </c>
    </row>
    <row r="7" spans="1:34" x14ac:dyDescent="0.45">
      <c r="A7" t="s">
        <v>834</v>
      </c>
      <c r="C7" s="29" t="e">
        <f>Users[[#This Row],[DepartmentName (Computed)]]&amp;"_"&amp;Users[[#This Row],[AccountName (Computed)]]&amp;"_"&amp;E7</f>
        <v>#N/A</v>
      </c>
      <c r="G7" t="e">
        <f>VLOOKUP(Users[[#This Row],[DeptID]], Departments[#All], 2)</f>
        <v>#N/A</v>
      </c>
      <c r="H7" s="29" t="e">
        <f>VLOOKUP(Users[[#This Row],[DeptID]], Departments[#All], 4)</f>
        <v>#N/A</v>
      </c>
      <c r="K7" t="e">
        <f>VLOOKUP(Users[[#This Row],[DeptID]], Departments[#All],3)</f>
        <v>#N/A</v>
      </c>
      <c r="L7" s="29" t="e">
        <f>Users[[#This Row],[DepartmentName (Computed)]]&amp;"_"&amp;Users[[#This Row],[Title]]</f>
        <v>#N/A</v>
      </c>
      <c r="M7" s="29" t="e">
        <f>Users[[#This Row],[username]]&amp;"@"&amp;Users[[#This Row],[Tenant ]]</f>
        <v>#N/A</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A9" sqref="A9:XFD11"/>
    </sheetView>
  </sheetViews>
  <sheetFormatPr defaultRowHeight="14.25" x14ac:dyDescent="0.45"/>
  <cols>
    <col min="1" max="1" width="13.59765625" customWidth="1"/>
    <col min="2" max="2" width="16.1328125" customWidth="1"/>
    <col min="3" max="3" width="45.1328125" customWidth="1"/>
  </cols>
  <sheetData>
    <row r="1" spans="1:3" x14ac:dyDescent="0.45">
      <c r="A1" t="s">
        <v>812</v>
      </c>
      <c r="B1" t="s">
        <v>813</v>
      </c>
      <c r="C1" t="s">
        <v>814</v>
      </c>
    </row>
    <row r="2" spans="1:3" x14ac:dyDescent="0.45">
      <c r="A2" t="s">
        <v>822</v>
      </c>
      <c r="B2" t="s">
        <v>829</v>
      </c>
    </row>
    <row r="3" spans="1:3" x14ac:dyDescent="0.45">
      <c r="A3" t="s">
        <v>823</v>
      </c>
      <c r="B3" t="s">
        <v>830</v>
      </c>
    </row>
    <row r="4" spans="1:3" x14ac:dyDescent="0.45">
      <c r="A4" t="s">
        <v>824</v>
      </c>
      <c r="B4" t="s">
        <v>831</v>
      </c>
    </row>
    <row r="5" spans="1:3" x14ac:dyDescent="0.45">
      <c r="A5" t="s">
        <v>825</v>
      </c>
      <c r="B5" t="s">
        <v>832</v>
      </c>
    </row>
    <row r="6" spans="1:3" x14ac:dyDescent="0.45">
      <c r="A6" t="s">
        <v>826</v>
      </c>
      <c r="B6" t="s">
        <v>933</v>
      </c>
    </row>
    <row r="7" spans="1:3" x14ac:dyDescent="0.45">
      <c r="A7" t="s">
        <v>827</v>
      </c>
      <c r="B7" t="s">
        <v>36</v>
      </c>
    </row>
    <row r="8" spans="1:3" x14ac:dyDescent="0.45">
      <c r="A8" t="s">
        <v>828</v>
      </c>
      <c r="B8" t="s">
        <v>932</v>
      </c>
    </row>
    <row r="9" spans="1:3" x14ac:dyDescent="0.45">
      <c r="B9" t="s">
        <v>942</v>
      </c>
    </row>
    <row r="10" spans="1:3" x14ac:dyDescent="0.45">
      <c r="B10" t="s">
        <v>943</v>
      </c>
    </row>
    <row r="11" spans="1:3" x14ac:dyDescent="0.45">
      <c r="B11" t="s">
        <v>944</v>
      </c>
    </row>
    <row r="12" spans="1:3" x14ac:dyDescent="0.45">
      <c r="B12" t="s">
        <v>945</v>
      </c>
    </row>
    <row r="13" spans="1:3" x14ac:dyDescent="0.45">
      <c r="B13" t="s">
        <v>946</v>
      </c>
    </row>
    <row r="14" spans="1:3" x14ac:dyDescent="0.45">
      <c r="B14" t="s">
        <v>947</v>
      </c>
    </row>
    <row r="15" spans="1:3" x14ac:dyDescent="0.45">
      <c r="B15" t="s">
        <v>948</v>
      </c>
    </row>
    <row r="16" spans="1:3" x14ac:dyDescent="0.45">
      <c r="B16" t="s">
        <v>949</v>
      </c>
    </row>
    <row r="17" spans="2:2" x14ac:dyDescent="0.45">
      <c r="B17" t="s">
        <v>950</v>
      </c>
    </row>
    <row r="18" spans="2:2" x14ac:dyDescent="0.45">
      <c r="B18" t="s">
        <v>951</v>
      </c>
    </row>
    <row r="19" spans="2:2" x14ac:dyDescent="0.45">
      <c r="B19" t="s">
        <v>952</v>
      </c>
    </row>
    <row r="20" spans="2:2" x14ac:dyDescent="0.45">
      <c r="B20" t="s">
        <v>953</v>
      </c>
    </row>
    <row r="21" spans="2:2" x14ac:dyDescent="0.45">
      <c r="B21" t="s">
        <v>954</v>
      </c>
    </row>
    <row r="22" spans="2:2" x14ac:dyDescent="0.45">
      <c r="B22" t="s">
        <v>933</v>
      </c>
    </row>
    <row r="23" spans="2:2" x14ac:dyDescent="0.45">
      <c r="B23" t="s">
        <v>955</v>
      </c>
    </row>
    <row r="24" spans="2:2" x14ac:dyDescent="0.45">
      <c r="B24" t="s">
        <v>956</v>
      </c>
    </row>
    <row r="25" spans="2:2" x14ac:dyDescent="0.45">
      <c r="B25" t="s">
        <v>957</v>
      </c>
    </row>
    <row r="26" spans="2:2" x14ac:dyDescent="0.45">
      <c r="B26" t="s">
        <v>958</v>
      </c>
    </row>
    <row r="27" spans="2:2" x14ac:dyDescent="0.45">
      <c r="B27" t="s">
        <v>959</v>
      </c>
    </row>
    <row r="28" spans="2:2" x14ac:dyDescent="0.45">
      <c r="B28" t="s">
        <v>960</v>
      </c>
    </row>
    <row r="29" spans="2:2" x14ac:dyDescent="0.45">
      <c r="B29" t="s">
        <v>961</v>
      </c>
    </row>
    <row r="30" spans="2:2" x14ac:dyDescent="0.45">
      <c r="B30" t="s">
        <v>962</v>
      </c>
    </row>
    <row r="31" spans="2:2" x14ac:dyDescent="0.45">
      <c r="B31" t="s">
        <v>963</v>
      </c>
    </row>
    <row r="32" spans="2:2" x14ac:dyDescent="0.45">
      <c r="B32" t="s">
        <v>964</v>
      </c>
    </row>
    <row r="33" spans="2:2" x14ac:dyDescent="0.45">
      <c r="B33" t="s">
        <v>965</v>
      </c>
    </row>
    <row r="34" spans="2:2" x14ac:dyDescent="0.45">
      <c r="B34" t="s">
        <v>36</v>
      </c>
    </row>
    <row r="35" spans="2:2" x14ac:dyDescent="0.45">
      <c r="B35" t="s">
        <v>932</v>
      </c>
    </row>
    <row r="36" spans="2:2" x14ac:dyDescent="0.45">
      <c r="B36" t="s">
        <v>966</v>
      </c>
    </row>
    <row r="37" spans="2:2" x14ac:dyDescent="0.45">
      <c r="B37" t="s">
        <v>967</v>
      </c>
    </row>
    <row r="38" spans="2:2" x14ac:dyDescent="0.45">
      <c r="B38" t="s">
        <v>968</v>
      </c>
    </row>
    <row r="39" spans="2:2" x14ac:dyDescent="0.45">
      <c r="B39" t="s">
        <v>969</v>
      </c>
    </row>
    <row r="40" spans="2:2" x14ac:dyDescent="0.45">
      <c r="B40" t="s">
        <v>970</v>
      </c>
    </row>
    <row r="41" spans="2:2" x14ac:dyDescent="0.45">
      <c r="B41" t="s">
        <v>971</v>
      </c>
    </row>
    <row r="42" spans="2:2" x14ac:dyDescent="0.45">
      <c r="B42" t="s">
        <v>972</v>
      </c>
    </row>
    <row r="43" spans="2:2" x14ac:dyDescent="0.45">
      <c r="B43" t="s">
        <v>973</v>
      </c>
    </row>
    <row r="44" spans="2:2" x14ac:dyDescent="0.45">
      <c r="B44" t="s">
        <v>974</v>
      </c>
    </row>
    <row r="45" spans="2:2" x14ac:dyDescent="0.45">
      <c r="B45" t="s">
        <v>975</v>
      </c>
    </row>
    <row r="46" spans="2:2" x14ac:dyDescent="0.45">
      <c r="B46" t="s">
        <v>976</v>
      </c>
    </row>
    <row r="47" spans="2:2" x14ac:dyDescent="0.45">
      <c r="B47" t="s">
        <v>977</v>
      </c>
    </row>
    <row r="48" spans="2:2" x14ac:dyDescent="0.45">
      <c r="B48" t="s">
        <v>978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 sqref="B4"/>
    </sheetView>
  </sheetViews>
  <sheetFormatPr defaultRowHeight="14.25" x14ac:dyDescent="0.45"/>
  <cols>
    <col min="1" max="1" width="9.73046875" customWidth="1"/>
    <col min="3" max="3" width="23.1328125" customWidth="1"/>
    <col min="5" max="5" width="23.1328125" customWidth="1"/>
  </cols>
  <sheetData>
    <row r="1" spans="1:5" x14ac:dyDescent="0.45">
      <c r="A1" t="s">
        <v>815</v>
      </c>
      <c r="B1" t="s">
        <v>812</v>
      </c>
      <c r="C1" t="s">
        <v>816</v>
      </c>
      <c r="D1" t="s">
        <v>784</v>
      </c>
      <c r="E1" t="s">
        <v>817</v>
      </c>
    </row>
    <row r="2" spans="1:5" x14ac:dyDescent="0.45">
      <c r="A2" t="s">
        <v>818</v>
      </c>
      <c r="B2" t="s">
        <v>36</v>
      </c>
    </row>
    <row r="3" spans="1:5" x14ac:dyDescent="0.45">
      <c r="A3" t="s">
        <v>819</v>
      </c>
      <c r="B3" t="s">
        <v>931</v>
      </c>
    </row>
    <row r="4" spans="1:5" x14ac:dyDescent="0.45">
      <c r="A4" t="s">
        <v>820</v>
      </c>
    </row>
    <row r="5" spans="1:5" x14ac:dyDescent="0.45">
      <c r="A5" t="s">
        <v>821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1" sqref="D11"/>
    </sheetView>
  </sheetViews>
  <sheetFormatPr defaultRowHeight="14.25" x14ac:dyDescent="0.45"/>
  <cols>
    <col min="1" max="2" width="12.3984375" customWidth="1"/>
    <col min="3" max="3" width="26.3984375" customWidth="1"/>
    <col min="4" max="4" width="68.1328125" customWidth="1"/>
  </cols>
  <sheetData>
    <row r="1" spans="1:5" x14ac:dyDescent="0.45">
      <c r="A1" t="s">
        <v>206</v>
      </c>
      <c r="B1" t="s">
        <v>42</v>
      </c>
      <c r="C1" t="s">
        <v>64</v>
      </c>
      <c r="D1" t="s">
        <v>1</v>
      </c>
      <c r="E1" t="s">
        <v>213</v>
      </c>
    </row>
    <row r="2" spans="1:5" x14ac:dyDescent="0.45">
      <c r="A2" t="s">
        <v>212</v>
      </c>
      <c r="B2">
        <v>3</v>
      </c>
    </row>
    <row r="3" spans="1:5" ht="24" customHeight="1" x14ac:dyDescent="0.45">
      <c r="A3" t="s">
        <v>214</v>
      </c>
      <c r="B3">
        <v>1</v>
      </c>
    </row>
    <row r="4" spans="1:5" x14ac:dyDescent="0.45">
      <c r="A4" t="s">
        <v>215</v>
      </c>
      <c r="B4">
        <v>1</v>
      </c>
    </row>
    <row r="5" spans="1:5" x14ac:dyDescent="0.45">
      <c r="A5" t="s">
        <v>216</v>
      </c>
      <c r="B5">
        <v>2</v>
      </c>
    </row>
    <row r="6" spans="1:5" x14ac:dyDescent="0.45">
      <c r="A6" t="s">
        <v>217</v>
      </c>
      <c r="B6">
        <v>2</v>
      </c>
    </row>
    <row r="7" spans="1:5" x14ac:dyDescent="0.45">
      <c r="A7" t="s">
        <v>218</v>
      </c>
      <c r="B7">
        <v>3</v>
      </c>
    </row>
    <row r="8" spans="1:5" x14ac:dyDescent="0.45">
      <c r="A8" t="s">
        <v>219</v>
      </c>
      <c r="B8">
        <v>3</v>
      </c>
    </row>
    <row r="9" spans="1:5" x14ac:dyDescent="0.45">
      <c r="A9" t="s">
        <v>220</v>
      </c>
    </row>
    <row r="10" spans="1:5" x14ac:dyDescent="0.45">
      <c r="A10" t="s">
        <v>221</v>
      </c>
    </row>
    <row r="11" spans="1:5" x14ac:dyDescent="0.45">
      <c r="A11" t="s">
        <v>222</v>
      </c>
    </row>
    <row r="12" spans="1:5" x14ac:dyDescent="0.45">
      <c r="A12" t="s">
        <v>223</v>
      </c>
    </row>
    <row r="16" spans="1:5" x14ac:dyDescent="0.45">
      <c r="D16" s="31"/>
    </row>
    <row r="17" spans="4:4" x14ac:dyDescent="0.45">
      <c r="D17" s="1"/>
    </row>
  </sheetData>
  <pageMargins left="0.7" right="0.7" top="0.75" bottom="0.75" header="0.3" footer="0.3"/>
  <pageSetup orientation="portrait" horizontalDpi="4294967293"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
  <sheetViews>
    <sheetView zoomScaleNormal="100" workbookViewId="0">
      <pane ySplit="1" topLeftCell="A2" activePane="bottomLeft" state="frozen"/>
      <selection pane="bottomLeft" activeCell="C2" sqref="C2:C17"/>
    </sheetView>
  </sheetViews>
  <sheetFormatPr defaultRowHeight="14.25" x14ac:dyDescent="0.45"/>
  <cols>
    <col min="3" max="3" width="11.86328125" customWidth="1"/>
    <col min="4" max="4" width="17.3984375" style="15" customWidth="1"/>
    <col min="5" max="5" width="14.1328125" style="15" customWidth="1"/>
    <col min="6" max="6" width="11" style="15" customWidth="1"/>
    <col min="7" max="8" width="7" style="16" customWidth="1"/>
    <col min="10" max="10" width="7" style="16" customWidth="1"/>
    <col min="11" max="11" width="10.1328125" style="16" customWidth="1"/>
    <col min="12" max="12" width="8.59765625" style="16" customWidth="1"/>
    <col min="13" max="13" width="7.1328125" customWidth="1"/>
    <col min="15" max="15" width="7.1328125" style="16" customWidth="1"/>
    <col min="17" max="17" width="6.3984375" style="15" customWidth="1"/>
    <col min="18" max="18" width="7.73046875" customWidth="1"/>
    <col min="19" max="19" width="25.59765625" style="16" customWidth="1"/>
    <col min="20" max="20" width="9.73046875" style="57" customWidth="1"/>
    <col min="21" max="21" width="26" style="15" customWidth="1"/>
    <col min="22" max="22" width="14.1328125" style="15" customWidth="1"/>
    <col min="23" max="23" width="5.265625" customWidth="1"/>
    <col min="24" max="24" width="10.3984375" style="15" customWidth="1"/>
    <col min="27" max="27" width="11.1328125" style="15" customWidth="1"/>
    <col min="30" max="30" width="6.73046875" style="23" customWidth="1"/>
    <col min="31" max="31" width="5.3984375" style="15" customWidth="1"/>
    <col min="32" max="32" width="17.3984375" style="15" customWidth="1"/>
    <col min="33" max="33" width="11" style="15" customWidth="1"/>
  </cols>
  <sheetData>
    <row r="1" spans="1:33" s="5" customFormat="1" ht="101.25" customHeight="1" x14ac:dyDescent="0.45">
      <c r="A1" t="s">
        <v>4</v>
      </c>
      <c r="B1" s="15" t="s">
        <v>114</v>
      </c>
      <c r="C1" s="16" t="s">
        <v>185</v>
      </c>
      <c r="D1" s="16" t="s">
        <v>1</v>
      </c>
      <c r="E1" s="17" t="s">
        <v>173</v>
      </c>
      <c r="F1" s="17" t="s">
        <v>540</v>
      </c>
      <c r="G1" s="17" t="s">
        <v>539</v>
      </c>
      <c r="H1" s="17" t="s">
        <v>837</v>
      </c>
      <c r="I1" s="18" t="s">
        <v>156</v>
      </c>
      <c r="J1" s="18" t="s">
        <v>538</v>
      </c>
      <c r="K1" s="19" t="s">
        <v>170</v>
      </c>
      <c r="L1" s="20" t="s">
        <v>84</v>
      </c>
      <c r="M1" s="20" t="s">
        <v>85</v>
      </c>
      <c r="N1" s="20" t="s">
        <v>207</v>
      </c>
      <c r="O1" s="20" t="s">
        <v>759</v>
      </c>
      <c r="P1" s="59" t="s">
        <v>38</v>
      </c>
      <c r="Q1" s="54" t="s">
        <v>169</v>
      </c>
      <c r="R1" s="60" t="s">
        <v>789</v>
      </c>
      <c r="S1" s="55" t="s">
        <v>388</v>
      </c>
      <c r="T1" s="58" t="s">
        <v>760</v>
      </c>
      <c r="U1" s="58" t="s">
        <v>761</v>
      </c>
      <c r="V1" s="61" t="s">
        <v>762</v>
      </c>
      <c r="W1" s="50" t="s">
        <v>6</v>
      </c>
      <c r="X1" s="15" t="s">
        <v>306</v>
      </c>
      <c r="Y1" s="52" t="s">
        <v>89</v>
      </c>
      <c r="Z1" s="20" t="s">
        <v>37</v>
      </c>
      <c r="AA1" s="20" t="s">
        <v>305</v>
      </c>
      <c r="AB1" s="20" t="s">
        <v>303</v>
      </c>
      <c r="AC1" s="20" t="s">
        <v>150</v>
      </c>
      <c r="AD1" s="20" t="s">
        <v>194</v>
      </c>
      <c r="AE1" s="20" t="s">
        <v>195</v>
      </c>
      <c r="AF1" s="15" t="s">
        <v>186</v>
      </c>
      <c r="AG1" s="5" t="s">
        <v>299</v>
      </c>
    </row>
    <row r="2" spans="1:33" s="15" customFormat="1" ht="42.75" x14ac:dyDescent="0.45">
      <c r="A2" t="s">
        <v>254</v>
      </c>
      <c r="B2" s="15" t="s">
        <v>149</v>
      </c>
      <c r="C2" s="24" t="str">
        <f>LOWER(VMs[[#This Row],[SiteID (Computed)]] &amp;VMs[[#This Row],[Class]]&amp; VMs[[#This Row],[Function]]&amp;VMs[[#This Row],[Service Name '#]]&amp;VMs[[#This Row],[Instance]])</f>
        <v>servicespaads1a</v>
      </c>
      <c r="D2" s="21" t="s">
        <v>174</v>
      </c>
      <c r="E2" s="21">
        <f>SUM(VMs[[#This Row],[ImageDiskSize (GB)]:[DataDiskSize (GB)]])</f>
        <v>151</v>
      </c>
      <c r="F2" s="21">
        <v>127</v>
      </c>
      <c r="G2" s="21">
        <v>24</v>
      </c>
      <c r="H2" s="21"/>
      <c r="I2" s="21" t="s">
        <v>230</v>
      </c>
      <c r="J2" s="15" t="s">
        <v>118</v>
      </c>
      <c r="K2" s="22">
        <v>744</v>
      </c>
      <c r="L2" s="24" t="s">
        <v>153</v>
      </c>
      <c r="M2" s="15" t="s">
        <v>201</v>
      </c>
      <c r="O2" s="24" t="s">
        <v>470</v>
      </c>
      <c r="P2" s="16" t="str">
        <f>VLOOKUP(VMs[[#This Row],[SubnetID]], Subnets!A14:U107, 8, FALSE)</f>
        <v>va</v>
      </c>
      <c r="Q2" s="26" t="str">
        <f>VLOOKUP(VMs[[#This Row],[SubnetID]], Subnets[],21, FALSE)</f>
        <v>SERVICES</v>
      </c>
      <c r="R2" t="str">
        <f>VLOOKUP(VMs[[#This Row],[SubnetID]], Subnets[],22, FALSE)</f>
        <v>sub04</v>
      </c>
      <c r="S2" s="56" t="str">
        <f>VLOOKUP(VMs[[#This Row],[SubnetID]], Subnets[],14, FALSE)</f>
        <v>mag_dept_managed_services</v>
      </c>
      <c r="T2" s="25">
        <f>VLOOKUP(VMs[[#This Row],[SubnetID]], Subnets[],  2, FALSE)</f>
        <v>600</v>
      </c>
      <c r="U2" s="49" t="str">
        <f>VLOOKUP(VMs[[#This Row],[SubnetID]], Subnets[], 4, FALSE)</f>
        <v>Services_600_dept_Srvcs_va</v>
      </c>
      <c r="V2" s="15" t="str">
        <f>VLOOKUP(VMs[[#This Row],[SubnetID]], Subnets[], 12, FALSE)</f>
        <v>10.130.56.0</v>
      </c>
      <c r="W2" s="16">
        <v>15</v>
      </c>
      <c r="X2" s="16"/>
      <c r="Y2" s="15" t="s">
        <v>88</v>
      </c>
      <c r="Z2" s="15">
        <v>1</v>
      </c>
      <c r="AA2" s="15" t="str">
        <f>LOWER(VMs[[#This Row],[SiteID (Computed)]] &amp;VMs[[#This Row],[Class]]&amp; VMs[[#This Row],[Function]]&amp;VMs[[#This Row],[Service Name '#]])</f>
        <v>servicespaads1</v>
      </c>
      <c r="AB2" s="15">
        <v>1</v>
      </c>
      <c r="AC2" s="15" t="s">
        <v>151</v>
      </c>
      <c r="AD2" s="15">
        <f>VLOOKUP(VMs[[#This Row],[RoleSize]], AzureSpecs[],7, FALSE)</f>
        <v>3.5</v>
      </c>
      <c r="AE2" s="15">
        <f>VLOOKUP(VMs[[#This Row],[RoleSize]], AzureSpecs[],6, FALSE)</f>
        <v>2</v>
      </c>
      <c r="AG2" s="36" t="b">
        <v>1</v>
      </c>
    </row>
    <row r="3" spans="1:33" s="15" customFormat="1" ht="42.75" x14ac:dyDescent="0.45">
      <c r="A3" t="s">
        <v>255</v>
      </c>
      <c r="B3" s="15" t="s">
        <v>149</v>
      </c>
      <c r="C3" s="24" t="str">
        <f>LOWER(VMs[[#This Row],[SiteID (Computed)]] &amp;VMs[[#This Row],[Class]]&amp; VMs[[#This Row],[Function]]&amp;VMs[[#This Row],[Service Name '#]]&amp;VMs[[#This Row],[Instance]])</f>
        <v>servicespadds1a</v>
      </c>
      <c r="D3" s="21" t="s">
        <v>261</v>
      </c>
      <c r="E3" s="21">
        <f>SUM(VMs[[#This Row],[ImageDiskSize (GB)]:[DataDiskSize (GB)]])</f>
        <v>151</v>
      </c>
      <c r="F3" s="21">
        <v>127</v>
      </c>
      <c r="G3" s="21">
        <v>24</v>
      </c>
      <c r="H3" s="21"/>
      <c r="I3" s="21" t="s">
        <v>231</v>
      </c>
      <c r="J3" s="15" t="s">
        <v>118</v>
      </c>
      <c r="K3" s="22">
        <f>24*31</f>
        <v>744</v>
      </c>
      <c r="L3" s="15" t="s">
        <v>153</v>
      </c>
      <c r="M3" s="15" t="s">
        <v>201</v>
      </c>
      <c r="O3" s="24" t="s">
        <v>470</v>
      </c>
      <c r="P3" s="16" t="str">
        <f>VLOOKUP(VMs[[#This Row],[SubnetID]], Subnets!A15:U108, 8, FALSE)</f>
        <v>va</v>
      </c>
      <c r="Q3" s="26" t="str">
        <f>VLOOKUP(VMs[[#This Row],[SubnetID]], Subnets[],21, FALSE)</f>
        <v>SERVICES</v>
      </c>
      <c r="R3" s="24" t="str">
        <f>VLOOKUP(VMs[[#This Row],[SubnetID]], Subnets[#Data],22, FALSE)</f>
        <v>sub04</v>
      </c>
      <c r="S3" s="56" t="str">
        <f>VLOOKUP(VMs[[#This Row],[SubnetID]], Subnets[],14, FALSE)</f>
        <v>mag_dept_managed_services</v>
      </c>
      <c r="T3" s="25">
        <f>VLOOKUP(VMs[[#This Row],[SubnetID]], Subnets[],  2, FALSE)</f>
        <v>600</v>
      </c>
      <c r="U3" s="49" t="str">
        <f>VLOOKUP(VMs[[#This Row],[SubnetID]], Subnets[], 4, FALSE)</f>
        <v>Services_600_dept_Srvcs_va</v>
      </c>
      <c r="V3" s="15" t="str">
        <f>VLOOKUP(VMs[[#This Row],[SubnetID]], Subnets[], 12, FALSE)</f>
        <v>10.130.56.0</v>
      </c>
      <c r="W3" s="15">
        <v>11</v>
      </c>
      <c r="Y3" s="15" t="s">
        <v>88</v>
      </c>
      <c r="Z3" s="15">
        <v>1</v>
      </c>
      <c r="AA3" s="15" t="str">
        <f>LOWER(VMs[[#This Row],[SiteID (Computed)]] &amp;VMs[[#This Row],[Class]]&amp; VMs[[#This Row],[Function]]&amp;VMs[[#This Row],[Service Name '#]])</f>
        <v>servicespadds1</v>
      </c>
      <c r="AB3" s="15">
        <v>1</v>
      </c>
      <c r="AC3" s="15" t="s">
        <v>151</v>
      </c>
      <c r="AD3" s="15">
        <f>VLOOKUP(VMs[[#This Row],[RoleSize]], AzureSpecs[],7, FALSE)</f>
        <v>3.5</v>
      </c>
      <c r="AE3" s="15">
        <f>VLOOKUP(VMs[[#This Row],[RoleSize]], AzureSpecs[],6, FALSE)</f>
        <v>2</v>
      </c>
      <c r="AG3" s="36" t="b">
        <v>1</v>
      </c>
    </row>
    <row r="4" spans="1:33" s="15" customFormat="1" ht="42.75" x14ac:dyDescent="0.45">
      <c r="A4" t="s">
        <v>256</v>
      </c>
      <c r="B4" s="15" t="s">
        <v>149</v>
      </c>
      <c r="C4" s="24" t="str">
        <f>LOWER(VMs[[#This Row],[SiteID (Computed)]] &amp;VMs[[#This Row],[Class]]&amp; VMs[[#This Row],[Function]]&amp;VMs[[#This Row],[Service Name '#]]&amp;VMs[[#This Row],[Instance]])</f>
        <v>servicespadds1b</v>
      </c>
      <c r="D4" s="21" t="s">
        <v>172</v>
      </c>
      <c r="E4" s="21">
        <f>SUM(VMs[[#This Row],[ImageDiskSize (GB)]:[DataDiskSize (GB)]])</f>
        <v>151</v>
      </c>
      <c r="F4" s="21">
        <v>127</v>
      </c>
      <c r="G4" s="21">
        <v>24</v>
      </c>
      <c r="H4" s="21"/>
      <c r="I4" s="21" t="s">
        <v>231</v>
      </c>
      <c r="J4" s="15" t="s">
        <v>118</v>
      </c>
      <c r="K4" s="22">
        <f>24*31</f>
        <v>744</v>
      </c>
      <c r="L4" s="15" t="s">
        <v>153</v>
      </c>
      <c r="M4" s="15" t="s">
        <v>201</v>
      </c>
      <c r="O4" s="24" t="s">
        <v>470</v>
      </c>
      <c r="P4" s="16" t="str">
        <f>VLOOKUP(VMs[[#This Row],[SubnetID]], Subnets!A16:U109, 8, FALSE)</f>
        <v>va</v>
      </c>
      <c r="Q4" s="26" t="str">
        <f>VLOOKUP(VMs[[#This Row],[SubnetID]], Subnets[],21, FALSE)</f>
        <v>SERVICES</v>
      </c>
      <c r="R4" s="24" t="str">
        <f>VLOOKUP(VMs[[#This Row],[SubnetID]], Subnets[#Data],22, FALSE)</f>
        <v>sub04</v>
      </c>
      <c r="S4" s="56" t="str">
        <f>VLOOKUP(VMs[[#This Row],[SubnetID]], Subnets[],14, FALSE)</f>
        <v>mag_dept_managed_services</v>
      </c>
      <c r="T4" s="25">
        <f>VLOOKUP(VMs[[#This Row],[SubnetID]], Subnets[],  2, FALSE)</f>
        <v>600</v>
      </c>
      <c r="U4" s="49" t="str">
        <f>VLOOKUP(VMs[[#This Row],[SubnetID]], Subnets[], 4, FALSE)</f>
        <v>Services_600_dept_Srvcs_va</v>
      </c>
      <c r="V4" s="15" t="str">
        <f>VLOOKUP(VMs[[#This Row],[SubnetID]], Subnets[], 12, FALSE)</f>
        <v>10.130.56.0</v>
      </c>
      <c r="W4" s="15">
        <v>12</v>
      </c>
      <c r="Y4" s="15" t="s">
        <v>88</v>
      </c>
      <c r="Z4" s="15">
        <v>1</v>
      </c>
      <c r="AA4" s="15" t="str">
        <f>LOWER(VMs[[#This Row],[SiteID (Computed)]] &amp;VMs[[#This Row],[Class]]&amp; VMs[[#This Row],[Function]]&amp;VMs[[#This Row],[Service Name '#]])</f>
        <v>servicespadds1</v>
      </c>
      <c r="AB4" s="15">
        <v>1</v>
      </c>
      <c r="AC4" s="15" t="s">
        <v>152</v>
      </c>
      <c r="AD4" s="15">
        <f>VLOOKUP(VMs[[#This Row],[RoleSize]], AzureSpecs[],7, FALSE)</f>
        <v>3.5</v>
      </c>
      <c r="AE4" s="15">
        <f>VLOOKUP(VMs[[#This Row],[RoleSize]], AzureSpecs[],6, FALSE)</f>
        <v>2</v>
      </c>
      <c r="AG4" s="36" t="b">
        <v>1</v>
      </c>
    </row>
    <row r="5" spans="1:33" s="15" customFormat="1" ht="42.75" x14ac:dyDescent="0.45">
      <c r="A5" t="s">
        <v>260</v>
      </c>
      <c r="B5" s="15" t="s">
        <v>149</v>
      </c>
      <c r="C5" s="24" t="str">
        <f>LOWER(VMs[[#This Row],[SiteID (Computed)]] &amp;VMs[[#This Row],[Class]]&amp; VMs[[#This Row],[Function]]&amp;VMs[[#This Row],[Service Name '#]]&amp;VMs[[#This Row],[Instance]])</f>
        <v>servicespadfs1a</v>
      </c>
      <c r="D5" s="21" t="s">
        <v>154</v>
      </c>
      <c r="E5" s="21">
        <f>SUM(VMs[[#This Row],[ImageDiskSize (GB)]:[DataDiskSize (GB)]])</f>
        <v>151</v>
      </c>
      <c r="F5" s="21">
        <v>127</v>
      </c>
      <c r="G5" s="21">
        <v>24</v>
      </c>
      <c r="H5" s="21"/>
      <c r="I5" s="21" t="s">
        <v>232</v>
      </c>
      <c r="J5" s="15" t="s">
        <v>118</v>
      </c>
      <c r="K5" s="22">
        <f>24*31</f>
        <v>744</v>
      </c>
      <c r="L5" s="24" t="s">
        <v>153</v>
      </c>
      <c r="M5" s="15" t="s">
        <v>196</v>
      </c>
      <c r="N5" s="15" t="s">
        <v>201</v>
      </c>
      <c r="O5" s="24" t="s">
        <v>470</v>
      </c>
      <c r="P5" s="16" t="str">
        <f>VLOOKUP(VMs[[#This Row],[SubnetID]], Subnets!A17:U110, 8, FALSE)</f>
        <v>va</v>
      </c>
      <c r="Q5" s="26" t="str">
        <f>VLOOKUP(VMs[[#This Row],[SubnetID]], Subnets[],21, FALSE)</f>
        <v>SERVICES</v>
      </c>
      <c r="R5" s="24" t="str">
        <f>VLOOKUP(VMs[[#This Row],[SubnetID]], Subnets[#Data],22, FALSE)</f>
        <v>sub04</v>
      </c>
      <c r="S5" s="56" t="str">
        <f>VLOOKUP(VMs[[#This Row],[SubnetID]], Subnets[],14, FALSE)</f>
        <v>mag_dept_managed_services</v>
      </c>
      <c r="T5" s="25">
        <f>VLOOKUP(VMs[[#This Row],[SubnetID]], Subnets[],  2, FALSE)</f>
        <v>600</v>
      </c>
      <c r="U5" s="49" t="str">
        <f>VLOOKUP(VMs[[#This Row],[SubnetID]], Subnets[], 4, FALSE)</f>
        <v>Services_600_dept_Srvcs_va</v>
      </c>
      <c r="V5" s="15" t="str">
        <f>VLOOKUP(VMs[[#This Row],[SubnetID]], Subnets[], 12, FALSE)</f>
        <v>10.130.56.0</v>
      </c>
      <c r="W5" s="15">
        <v>13</v>
      </c>
      <c r="X5" s="15" t="s">
        <v>787</v>
      </c>
      <c r="Y5" s="15" t="s">
        <v>88</v>
      </c>
      <c r="Z5" s="15">
        <v>1</v>
      </c>
      <c r="AA5" s="15" t="str">
        <f>LOWER(VMs[[#This Row],[SiteID (Computed)]] &amp;VMs[[#This Row],[Class]]&amp; VMs[[#This Row],[Function]]&amp;VMs[[#This Row],[Service Name '#]])</f>
        <v>servicespadfs1</v>
      </c>
      <c r="AB5" s="15">
        <v>1</v>
      </c>
      <c r="AC5" s="15" t="s">
        <v>151</v>
      </c>
      <c r="AD5" s="15">
        <f>VLOOKUP(VMs[[#This Row],[RoleSize]], AzureSpecs[],7, FALSE)</f>
        <v>3.5</v>
      </c>
      <c r="AE5" s="15">
        <f>VLOOKUP(VMs[[#This Row],[RoleSize]], AzureSpecs[],6, FALSE)</f>
        <v>2</v>
      </c>
      <c r="AG5" s="36" t="b">
        <v>1</v>
      </c>
    </row>
    <row r="6" spans="1:33" s="15" customFormat="1" ht="42.75" x14ac:dyDescent="0.45">
      <c r="A6" t="s">
        <v>257</v>
      </c>
      <c r="B6" s="15" t="s">
        <v>149</v>
      </c>
      <c r="C6" s="24" t="str">
        <f>LOWER(VMs[[#This Row],[SiteID (Computed)]] &amp;VMs[[#This Row],[Class]]&amp; VMs[[#This Row],[Function]]&amp;VMs[[#This Row],[Service Name '#]]&amp;VMs[[#This Row],[Instance]])</f>
        <v>servicespadfs1b</v>
      </c>
      <c r="D6" s="21" t="s">
        <v>154</v>
      </c>
      <c r="E6" s="21">
        <f>SUM(VMs[[#This Row],[ImageDiskSize (GB)]:[DataDiskSize (GB)]])</f>
        <v>151</v>
      </c>
      <c r="F6" s="21">
        <v>127</v>
      </c>
      <c r="G6" s="21">
        <v>24</v>
      </c>
      <c r="H6" s="21"/>
      <c r="I6" s="21" t="s">
        <v>232</v>
      </c>
      <c r="J6" s="15" t="s">
        <v>118</v>
      </c>
      <c r="K6" s="22">
        <f>24*31</f>
        <v>744</v>
      </c>
      <c r="L6" s="24" t="s">
        <v>153</v>
      </c>
      <c r="M6" s="15" t="s">
        <v>196</v>
      </c>
      <c r="N6" s="15" t="s">
        <v>201</v>
      </c>
      <c r="O6" s="24" t="s">
        <v>470</v>
      </c>
      <c r="P6" s="16" t="str">
        <f>VLOOKUP(VMs[[#This Row],[SubnetID]], Subnets!A18:U111, 8, FALSE)</f>
        <v>va</v>
      </c>
      <c r="Q6" s="26" t="str">
        <f>VLOOKUP(VMs[[#This Row],[SubnetID]], Subnets[],21, FALSE)</f>
        <v>SERVICES</v>
      </c>
      <c r="R6" s="24" t="str">
        <f>VLOOKUP(VMs[[#This Row],[SubnetID]], Subnets[#Data],22, FALSE)</f>
        <v>sub04</v>
      </c>
      <c r="S6" s="56" t="str">
        <f>VLOOKUP(VMs[[#This Row],[SubnetID]], Subnets[],14, FALSE)</f>
        <v>mag_dept_managed_services</v>
      </c>
      <c r="T6" s="25">
        <f>VLOOKUP(VMs[[#This Row],[SubnetID]], Subnets[],  2, FALSE)</f>
        <v>600</v>
      </c>
      <c r="U6" s="49" t="str">
        <f>VLOOKUP(VMs[[#This Row],[SubnetID]], Subnets[], 4, FALSE)</f>
        <v>Services_600_dept_Srvcs_va</v>
      </c>
      <c r="V6" s="15" t="str">
        <f>VLOOKUP(VMs[[#This Row],[SubnetID]], Subnets[], 12, FALSE)</f>
        <v>10.130.56.0</v>
      </c>
      <c r="W6" s="15">
        <v>14</v>
      </c>
      <c r="X6" s="15" t="s">
        <v>787</v>
      </c>
      <c r="Y6" s="15" t="s">
        <v>88</v>
      </c>
      <c r="Z6" s="15">
        <v>1</v>
      </c>
      <c r="AA6" s="15" t="str">
        <f>LOWER(VMs[[#This Row],[SiteID (Computed)]] &amp;VMs[[#This Row],[Class]]&amp; VMs[[#This Row],[Function]]&amp;VMs[[#This Row],[Service Name '#]])</f>
        <v>servicespadfs1</v>
      </c>
      <c r="AB6" s="15">
        <v>1</v>
      </c>
      <c r="AC6" s="15" t="s">
        <v>152</v>
      </c>
      <c r="AD6" s="15">
        <f>VLOOKUP(VMs[[#This Row],[RoleSize]], AzureSpecs[],7, FALSE)</f>
        <v>3.5</v>
      </c>
      <c r="AE6" s="15">
        <f>VLOOKUP(VMs[[#This Row],[RoleSize]], AzureSpecs[],6, FALSE)</f>
        <v>2</v>
      </c>
      <c r="AG6" s="36" t="b">
        <v>1</v>
      </c>
    </row>
    <row r="7" spans="1:33" s="15" customFormat="1" ht="42.75" x14ac:dyDescent="0.45">
      <c r="A7" t="s">
        <v>258</v>
      </c>
      <c r="B7" s="15" t="s">
        <v>149</v>
      </c>
      <c r="C7" s="24" t="str">
        <f>LOWER(VMs[[#This Row],[SiteID (Computed)]] &amp;VMs[[#This Row],[Class]]&amp; VMs[[#This Row],[Function]]&amp;VMs[[#This Row],[Service Name '#]]&amp;VMs[[#This Row],[Instance]])</f>
        <v>servicespprxy1a</v>
      </c>
      <c r="D7" s="21" t="s">
        <v>171</v>
      </c>
      <c r="E7" s="21">
        <f>SUM(VMs[[#This Row],[ImageDiskSize (GB)]:[DataDiskSize (GB)]])</f>
        <v>151</v>
      </c>
      <c r="F7" s="21">
        <v>127</v>
      </c>
      <c r="G7" s="21">
        <v>24</v>
      </c>
      <c r="H7" s="21"/>
      <c r="I7" s="21" t="s">
        <v>233</v>
      </c>
      <c r="J7" s="15" t="s">
        <v>118</v>
      </c>
      <c r="K7" s="22">
        <f>24*31</f>
        <v>744</v>
      </c>
      <c r="L7" s="15" t="s">
        <v>153</v>
      </c>
      <c r="M7" s="15" t="s">
        <v>201</v>
      </c>
      <c r="O7" s="15" t="s">
        <v>471</v>
      </c>
      <c r="P7" s="16" t="str">
        <f>VLOOKUP(VMs[[#This Row],[SubnetID]], Subnets!A19:U112, 8, FALSE)</f>
        <v>va</v>
      </c>
      <c r="Q7" s="26" t="str">
        <f>VLOOKUP(VMs[[#This Row],[SubnetID]], Subnets[],21, FALSE)</f>
        <v>SERVICES</v>
      </c>
      <c r="R7" s="24" t="str">
        <f>VLOOKUP(VMs[[#This Row],[SubnetID]], Subnets[#Data],22, FALSE)</f>
        <v>sub04</v>
      </c>
      <c r="S7" s="56" t="str">
        <f>VLOOKUP(VMs[[#This Row],[SubnetID]], Subnets[],14, FALSE)</f>
        <v>mag_dept_managed_services</v>
      </c>
      <c r="T7" s="25">
        <f>VLOOKUP(VMs[[#This Row],[SubnetID]], Subnets[],  2, FALSE)</f>
        <v>650</v>
      </c>
      <c r="U7" s="49" t="str">
        <f>VLOOKUP(VMs[[#This Row],[SubnetID]], Subnets[], 4, FALSE)</f>
        <v>DMZ_650_dept_Srvcs_va</v>
      </c>
      <c r="V7" s="15" t="str">
        <f>VLOOKUP(VMs[[#This Row],[SubnetID]], Subnets[], 12, FALSE)</f>
        <v>10.130.58.0</v>
      </c>
      <c r="W7" s="15">
        <v>11</v>
      </c>
      <c r="X7" s="15" t="s">
        <v>304</v>
      </c>
      <c r="Y7" s="15" t="s">
        <v>88</v>
      </c>
      <c r="Z7" s="15">
        <v>1</v>
      </c>
      <c r="AA7" s="15" t="str">
        <f>LOWER(VMs[[#This Row],[SiteID (Computed)]] &amp;VMs[[#This Row],[Class]]&amp; VMs[[#This Row],[Function]]&amp;VMs[[#This Row],[Service Name '#]])</f>
        <v>servicespprxy1</v>
      </c>
      <c r="AB7" s="15">
        <v>1</v>
      </c>
      <c r="AC7" s="15" t="s">
        <v>151</v>
      </c>
      <c r="AD7" s="15">
        <f>VLOOKUP(VMs[[#This Row],[RoleSize]], AzureSpecs[],7, FALSE)</f>
        <v>3.5</v>
      </c>
      <c r="AE7" s="15">
        <f>VLOOKUP(VMs[[#This Row],[RoleSize]], AzureSpecs[],6, FALSE)</f>
        <v>2</v>
      </c>
      <c r="AG7" s="15" t="b">
        <v>0</v>
      </c>
    </row>
    <row r="8" spans="1:33" s="15" customFormat="1" ht="42.75" x14ac:dyDescent="0.45">
      <c r="A8" t="s">
        <v>259</v>
      </c>
      <c r="B8" s="15" t="s">
        <v>149</v>
      </c>
      <c r="C8" s="24" t="str">
        <f>LOWER(VMs[[#This Row],[SiteID (Computed)]] &amp;VMs[[#This Row],[Class]]&amp; VMs[[#This Row],[Function]]&amp;VMs[[#This Row],[Service Name '#]]&amp;VMs[[#This Row],[Instance]])</f>
        <v>servicespprxy1b</v>
      </c>
      <c r="D8" s="21" t="s">
        <v>171</v>
      </c>
      <c r="E8" s="21">
        <f>SUM(VMs[[#This Row],[ImageDiskSize (GB)]:[DataDiskSize (GB)]])</f>
        <v>151</v>
      </c>
      <c r="F8" s="21">
        <v>127</v>
      </c>
      <c r="G8" s="21">
        <v>24</v>
      </c>
      <c r="H8" s="21"/>
      <c r="I8" s="21" t="s">
        <v>233</v>
      </c>
      <c r="J8" s="15" t="s">
        <v>118</v>
      </c>
      <c r="K8" s="22">
        <v>744</v>
      </c>
      <c r="L8" s="15" t="s">
        <v>153</v>
      </c>
      <c r="M8" s="15" t="s">
        <v>201</v>
      </c>
      <c r="O8" s="15" t="s">
        <v>471</v>
      </c>
      <c r="P8" s="16" t="str">
        <f>VLOOKUP(VMs[[#This Row],[SubnetID]], Subnets!A20:U113, 8, FALSE)</f>
        <v>va</v>
      </c>
      <c r="Q8" s="26" t="str">
        <f>VLOOKUP(VMs[[#This Row],[SubnetID]], Subnets[],21, FALSE)</f>
        <v>SERVICES</v>
      </c>
      <c r="R8" s="24" t="str">
        <f>VLOOKUP(VMs[[#This Row],[SubnetID]], Subnets[#Data],22, FALSE)</f>
        <v>sub04</v>
      </c>
      <c r="S8" s="56" t="str">
        <f>VLOOKUP(VMs[[#This Row],[SubnetID]], Subnets[],14, FALSE)</f>
        <v>mag_dept_managed_services</v>
      </c>
      <c r="T8" s="25">
        <f>VLOOKUP(VMs[[#This Row],[SubnetID]], Subnets[],  2, FALSE)</f>
        <v>650</v>
      </c>
      <c r="U8" s="49" t="str">
        <f>VLOOKUP(VMs[[#This Row],[SubnetID]], Subnets[], 4, FALSE)</f>
        <v>DMZ_650_dept_Srvcs_va</v>
      </c>
      <c r="V8" s="15" t="str">
        <f>VLOOKUP(VMs[[#This Row],[SubnetID]], Subnets[], 12, FALSE)</f>
        <v>10.130.58.0</v>
      </c>
      <c r="W8" s="15">
        <v>12</v>
      </c>
      <c r="X8" s="15" t="s">
        <v>304</v>
      </c>
      <c r="Y8" s="15" t="s">
        <v>88</v>
      </c>
      <c r="Z8" s="15">
        <v>1</v>
      </c>
      <c r="AA8" s="15" t="str">
        <f>LOWER(VMs[[#This Row],[SiteID (Computed)]] &amp;VMs[[#This Row],[Class]]&amp; VMs[[#This Row],[Function]]&amp;VMs[[#This Row],[Service Name '#]])</f>
        <v>servicespprxy1</v>
      </c>
      <c r="AB8" s="15">
        <v>1</v>
      </c>
      <c r="AC8" s="15" t="s">
        <v>152</v>
      </c>
      <c r="AD8" s="15">
        <f>VLOOKUP(VMs[[#This Row],[RoleSize]], AzureSpecs[],7, FALSE)</f>
        <v>3.5</v>
      </c>
      <c r="AE8" s="15">
        <f>VLOOKUP(VMs[[#This Row],[RoleSize]], AzureSpecs[],6, FALSE)</f>
        <v>2</v>
      </c>
      <c r="AG8" s="15" t="b">
        <v>0</v>
      </c>
    </row>
    <row r="9" spans="1:33" s="15" customFormat="1" ht="42.75" hidden="1" x14ac:dyDescent="0.45">
      <c r="A9" t="s">
        <v>791</v>
      </c>
      <c r="B9" s="15" t="s">
        <v>790</v>
      </c>
      <c r="C9" s="24" t="str">
        <f>LOWER(VMs[[#This Row],[SiteID (Computed)]] &amp;VMs[[#This Row],[Class]]&amp; VMs[[#This Row],[Function]]&amp;VMs[[#This Row],[Service Name '#]]&amp;VMs[[#This Row],[Instance]])</f>
        <v>prodprdgw1a</v>
      </c>
      <c r="D9" s="21" t="s">
        <v>792</v>
      </c>
      <c r="E9" s="21">
        <f>SUM(VMs[[#This Row],[ImageDiskSize (GB)]:[DataDiskSize (GB)]])</f>
        <v>151</v>
      </c>
      <c r="F9" s="51">
        <v>127</v>
      </c>
      <c r="G9" s="51">
        <v>24</v>
      </c>
      <c r="H9" s="51"/>
      <c r="I9" s="21" t="s">
        <v>793</v>
      </c>
      <c r="J9" s="15" t="s">
        <v>794</v>
      </c>
      <c r="K9" s="22">
        <v>744</v>
      </c>
      <c r="L9" s="15" t="s">
        <v>153</v>
      </c>
      <c r="O9" s="24" t="s">
        <v>453</v>
      </c>
      <c r="P9" s="16" t="str">
        <f>VLOOKUP(VMs[[#This Row],[SubnetID]], Subnets!A21:U114, 8, FALSE)</f>
        <v>va</v>
      </c>
      <c r="Q9" s="26" t="str">
        <f>VLOOKUP(VMs[[#This Row],[SubnetID]], Subnets[],21, FALSE)</f>
        <v>PROD</v>
      </c>
      <c r="R9" s="24" t="str">
        <f>VLOOKUP(VMs[[#This Row],[SubnetID]], Subnets[#Data],22, FALSE)</f>
        <v>sub03</v>
      </c>
      <c r="S9" s="56" t="str">
        <f>VLOOKUP(VMs[[#This Row],[SubnetID]], Subnets[],14, FALSE)</f>
        <v>mag_dept_managed_prod</v>
      </c>
      <c r="T9" s="25">
        <f>VLOOKUP(VMs[[#This Row],[SubnetID]], Subnets[],  2, FALSE)</f>
        <v>150</v>
      </c>
      <c r="U9" s="49" t="str">
        <f>VLOOKUP(VMs[[#This Row],[SubnetID]], Subnets[], 4, FALSE)</f>
        <v>DMZ_150_dept_prod_va</v>
      </c>
      <c r="V9" s="15" t="str">
        <f>VLOOKUP(VMs[[#This Row],[SubnetID]], Subnets[], 12, FALSE)</f>
        <v>10.130.8.0</v>
      </c>
      <c r="W9" s="16">
        <v>11</v>
      </c>
      <c r="Y9" s="15" t="s">
        <v>88</v>
      </c>
      <c r="Z9" s="15">
        <v>1</v>
      </c>
      <c r="AA9" s="15" t="str">
        <f>LOWER(VMs[[#This Row],[SiteID (Computed)]] &amp;VMs[[#This Row],[Class]]&amp; VMs[[#This Row],[Function]]&amp;VMs[[#This Row],[Service Name '#]])</f>
        <v>prodprdgw1</v>
      </c>
      <c r="AB9" s="15">
        <v>1</v>
      </c>
      <c r="AC9" s="15" t="s">
        <v>151</v>
      </c>
      <c r="AD9" s="15">
        <f>VLOOKUP(VMs[[#This Row],[RoleSize]], AzureSpecs[],7, FALSE)</f>
        <v>1.7</v>
      </c>
      <c r="AE9" s="15">
        <f>VLOOKUP(VMs[[#This Row],[RoleSize]], AzureSpecs[],6, FALSE)</f>
        <v>1</v>
      </c>
      <c r="AF9" s="24"/>
      <c r="AG9" s="15" t="b">
        <v>0</v>
      </c>
    </row>
    <row r="10" spans="1:33" s="15" customFormat="1" ht="42.75" hidden="1" x14ac:dyDescent="0.45">
      <c r="A10" t="s">
        <v>795</v>
      </c>
      <c r="B10" s="15" t="s">
        <v>790</v>
      </c>
      <c r="C10" s="24" t="str">
        <f>LOWER(VMs[[#This Row],[SiteID (Computed)]] &amp;VMs[[#This Row],[Class]]&amp; VMs[[#This Row],[Function]]&amp;VMs[[#This Row],[Service Name '#]]&amp;VMs[[#This Row],[Instance]])</f>
        <v>prodprdgw1b</v>
      </c>
      <c r="D10" s="21" t="s">
        <v>792</v>
      </c>
      <c r="E10" s="21">
        <f>SUM(VMs[[#This Row],[ImageDiskSize (GB)]:[DataDiskSize (GB)]])</f>
        <v>151</v>
      </c>
      <c r="F10" s="51">
        <v>127</v>
      </c>
      <c r="G10" s="51">
        <v>24</v>
      </c>
      <c r="H10" s="51"/>
      <c r="I10" s="21" t="s">
        <v>793</v>
      </c>
      <c r="J10" s="15" t="s">
        <v>794</v>
      </c>
      <c r="K10" s="22">
        <v>744</v>
      </c>
      <c r="L10" s="15" t="s">
        <v>153</v>
      </c>
      <c r="O10" t="s">
        <v>453</v>
      </c>
      <c r="P10" s="16" t="str">
        <f>VLOOKUP(VMs[[#This Row],[SubnetID]], Subnets!A22:U115, 8, FALSE)</f>
        <v>va</v>
      </c>
      <c r="Q10" s="26" t="str">
        <f>VLOOKUP(VMs[[#This Row],[SubnetID]], Subnets[],21, FALSE)</f>
        <v>PROD</v>
      </c>
      <c r="R10" s="24" t="str">
        <f>VLOOKUP(VMs[[#This Row],[SubnetID]], Subnets[#Data],22, FALSE)</f>
        <v>sub03</v>
      </c>
      <c r="S10" s="56" t="str">
        <f>VLOOKUP(VMs[[#This Row],[SubnetID]], Subnets[],14, FALSE)</f>
        <v>mag_dept_managed_prod</v>
      </c>
      <c r="T10" s="25">
        <f>VLOOKUP(VMs[[#This Row],[SubnetID]], Subnets[],  2, FALSE)</f>
        <v>150</v>
      </c>
      <c r="U10" s="49" t="str">
        <f>VLOOKUP(VMs[[#This Row],[SubnetID]], Subnets[], 4, FALSE)</f>
        <v>DMZ_150_dept_prod_va</v>
      </c>
      <c r="V10" s="15" t="str">
        <f>VLOOKUP(VMs[[#This Row],[SubnetID]], Subnets[], 12, FALSE)</f>
        <v>10.130.8.0</v>
      </c>
      <c r="W10" s="16">
        <v>12</v>
      </c>
      <c r="Y10" s="15" t="s">
        <v>88</v>
      </c>
      <c r="Z10" s="15">
        <v>1</v>
      </c>
      <c r="AA10" s="15" t="str">
        <f>LOWER(VMs[[#This Row],[SiteID (Computed)]] &amp;VMs[[#This Row],[Class]]&amp; VMs[[#This Row],[Function]]&amp;VMs[[#This Row],[Service Name '#]])</f>
        <v>prodprdgw1</v>
      </c>
      <c r="AB10" s="15">
        <v>1</v>
      </c>
      <c r="AC10" s="15" t="s">
        <v>152</v>
      </c>
      <c r="AD10" s="15">
        <f>VLOOKUP(VMs[[#This Row],[RoleSize]], AzureSpecs[],7, FALSE)</f>
        <v>1.7</v>
      </c>
      <c r="AE10" s="15">
        <f>VLOOKUP(VMs[[#This Row],[RoleSize]], AzureSpecs[],6, FALSE)</f>
        <v>1</v>
      </c>
      <c r="AF10" s="24"/>
      <c r="AG10" s="15" t="b">
        <v>0</v>
      </c>
    </row>
    <row r="11" spans="1:33" s="15" customFormat="1" ht="42.75" hidden="1" x14ac:dyDescent="0.45">
      <c r="A11" t="s">
        <v>796</v>
      </c>
      <c r="B11" s="15" t="s">
        <v>790</v>
      </c>
      <c r="C11" s="24" t="str">
        <f>LOWER(VMs[[#This Row],[SiteID (Computed)]] &amp;VMs[[#This Row],[Class]]&amp; VMs[[#This Row],[Function]]&amp;VMs[[#This Row],[Service Name '#]]&amp;VMs[[#This Row],[Instance]])</f>
        <v>prodprdlc1a</v>
      </c>
      <c r="D11" s="21" t="s">
        <v>797</v>
      </c>
      <c r="E11" s="21">
        <f>SUM(VMs[[#This Row],[ImageDiskSize (GB)]:[DataDiskSize (GB)]])</f>
        <v>151</v>
      </c>
      <c r="F11" s="51">
        <v>127</v>
      </c>
      <c r="G11" s="51">
        <v>24</v>
      </c>
      <c r="H11" s="51"/>
      <c r="I11" s="21" t="s">
        <v>798</v>
      </c>
      <c r="J11" s="15" t="s">
        <v>799</v>
      </c>
      <c r="K11" s="22">
        <v>744</v>
      </c>
      <c r="L11" s="15" t="s">
        <v>153</v>
      </c>
      <c r="O11" t="s">
        <v>451</v>
      </c>
      <c r="P11" s="16" t="str">
        <f>VLOOKUP(VMs[[#This Row],[SubnetID]], Subnets!A23:U116, 8, FALSE)</f>
        <v>va</v>
      </c>
      <c r="Q11" s="26" t="str">
        <f>VLOOKUP(VMs[[#This Row],[SubnetID]], Subnets[],21, FALSE)</f>
        <v>PROD</v>
      </c>
      <c r="R11" s="24" t="str">
        <f>VLOOKUP(VMs[[#This Row],[SubnetID]], Subnets[#Data],22, FALSE)</f>
        <v>sub03</v>
      </c>
      <c r="S11" s="56" t="str">
        <f>VLOOKUP(VMs[[#This Row],[SubnetID]], Subnets[],14, FALSE)</f>
        <v>mag_dept_managed_prod</v>
      </c>
      <c r="T11" s="25">
        <f>VLOOKUP(VMs[[#This Row],[SubnetID]], Subnets[],  2, FALSE)</f>
        <v>120</v>
      </c>
      <c r="U11" s="49" t="str">
        <f>VLOOKUP(VMs[[#This Row],[SubnetID]], Subnets[], 4, FALSE)</f>
        <v>App_120_dept_prod_va</v>
      </c>
      <c r="V11" s="15" t="str">
        <f>VLOOKUP(VMs[[#This Row],[SubnetID]], Subnets[], 12, FALSE)</f>
        <v>10.130.4.0</v>
      </c>
      <c r="W11" s="15" t="s">
        <v>88</v>
      </c>
      <c r="Y11" s="16">
        <v>11</v>
      </c>
      <c r="AA11" s="15" t="str">
        <f>LOWER(VMs[[#This Row],[SiteID (Computed)]] &amp;VMs[[#This Row],[Class]]&amp; VMs[[#This Row],[Function]]&amp;VMs[[#This Row],[Service Name '#]])</f>
        <v>prodprdlc1</v>
      </c>
      <c r="AB11" s="15">
        <v>1</v>
      </c>
      <c r="AC11" s="15" t="s">
        <v>151</v>
      </c>
      <c r="AD11" s="15">
        <f>VLOOKUP(VMs[[#This Row],[RoleSize]], AzureSpecs[],7, FALSE)</f>
        <v>3.5</v>
      </c>
      <c r="AE11" s="15">
        <f>VLOOKUP(VMs[[#This Row],[RoleSize]], AzureSpecs[],6, FALSE)</f>
        <v>2</v>
      </c>
      <c r="AF11" s="24"/>
    </row>
    <row r="12" spans="1:33" s="15" customFormat="1" ht="28.5" hidden="1" x14ac:dyDescent="0.45">
      <c r="A12" t="s">
        <v>800</v>
      </c>
      <c r="B12" s="15" t="s">
        <v>790</v>
      </c>
      <c r="C12" s="24" t="str">
        <f>LOWER(VMs[[#This Row],[SiteID (Computed)]] &amp;VMs[[#This Row],[Class]]&amp; VMs[[#This Row],[Function]]&amp;VMs[[#This Row],[Service Name '#]]&amp;VMs[[#This Row],[Instance]])</f>
        <v>prodprdcb1a</v>
      </c>
      <c r="D12" s="21" t="s">
        <v>801</v>
      </c>
      <c r="E12" s="21">
        <f>SUM(VMs[[#This Row],[ImageDiskSize (GB)]:[DataDiskSize (GB)]])</f>
        <v>151</v>
      </c>
      <c r="F12" s="51">
        <v>127</v>
      </c>
      <c r="G12" s="51">
        <v>24</v>
      </c>
      <c r="H12" s="51"/>
      <c r="I12" s="21" t="s">
        <v>802</v>
      </c>
      <c r="J12" s="15" t="s">
        <v>794</v>
      </c>
      <c r="K12" s="22">
        <v>744</v>
      </c>
      <c r="L12" s="15" t="s">
        <v>153</v>
      </c>
      <c r="O12" t="s">
        <v>451</v>
      </c>
      <c r="P12" s="16" t="str">
        <f>VLOOKUP(VMs[[#This Row],[SubnetID]], Subnets!A24:U117, 8, FALSE)</f>
        <v>va</v>
      </c>
      <c r="Q12" s="26" t="str">
        <f>VLOOKUP(VMs[[#This Row],[SubnetID]], Subnets[],21, FALSE)</f>
        <v>PROD</v>
      </c>
      <c r="R12" s="24" t="str">
        <f>VLOOKUP(VMs[[#This Row],[SubnetID]], Subnets[#Data],22, FALSE)</f>
        <v>sub03</v>
      </c>
      <c r="S12" s="56" t="str">
        <f>VLOOKUP(VMs[[#This Row],[SubnetID]], Subnets[],14, FALSE)</f>
        <v>mag_dept_managed_prod</v>
      </c>
      <c r="T12" s="25">
        <f>VLOOKUP(VMs[[#This Row],[SubnetID]], Subnets[],  2, FALSE)</f>
        <v>120</v>
      </c>
      <c r="U12" s="49" t="str">
        <f>VLOOKUP(VMs[[#This Row],[SubnetID]], Subnets[], 4, FALSE)</f>
        <v>App_120_dept_prod_va</v>
      </c>
      <c r="V12" s="15" t="str">
        <f>VLOOKUP(VMs[[#This Row],[SubnetID]], Subnets[], 12, FALSE)</f>
        <v>10.130.4.0</v>
      </c>
      <c r="W12" s="15" t="s">
        <v>88</v>
      </c>
      <c r="Y12" s="16">
        <v>12</v>
      </c>
      <c r="AA12" s="15" t="str">
        <f>LOWER(VMs[[#This Row],[SiteID (Computed)]] &amp;VMs[[#This Row],[Class]]&amp; VMs[[#This Row],[Function]]&amp;VMs[[#This Row],[Service Name '#]])</f>
        <v>prodprdcb1</v>
      </c>
      <c r="AB12" s="15">
        <v>1</v>
      </c>
      <c r="AC12" s="15" t="s">
        <v>151</v>
      </c>
      <c r="AD12" s="15">
        <f>VLOOKUP(VMs[[#This Row],[RoleSize]], AzureSpecs[],7, FALSE)</f>
        <v>1.7</v>
      </c>
      <c r="AE12" s="15">
        <f>VLOOKUP(VMs[[#This Row],[RoleSize]], AzureSpecs[],6, FALSE)</f>
        <v>1</v>
      </c>
      <c r="AF12" s="24"/>
    </row>
    <row r="13" spans="1:33" s="15" customFormat="1" ht="42.75" hidden="1" x14ac:dyDescent="0.45">
      <c r="A13" t="s">
        <v>803</v>
      </c>
      <c r="B13" s="15" t="s">
        <v>790</v>
      </c>
      <c r="C13" s="24" t="str">
        <f>LOWER(VMs[[#This Row],[SiteID (Computed)]] &amp;VMs[[#This Row],[Class]]&amp; VMs[[#This Row],[Function]]&amp;VMs[[#This Row],[Service Name '#]]&amp;VMs[[#This Row],[Instance]])</f>
        <v>prodprdsb1a</v>
      </c>
      <c r="D13" s="21" t="s">
        <v>804</v>
      </c>
      <c r="E13" s="21">
        <f>SUM(VMs[[#This Row],[ImageDiskSize (GB)]:[DataDiskSize (GB)]])</f>
        <v>151</v>
      </c>
      <c r="F13" s="51">
        <v>127</v>
      </c>
      <c r="G13" s="51">
        <v>24</v>
      </c>
      <c r="H13" s="51"/>
      <c r="I13" s="21" t="s">
        <v>805</v>
      </c>
      <c r="J13" s="15" t="s">
        <v>118</v>
      </c>
      <c r="K13" s="22">
        <v>744</v>
      </c>
      <c r="L13" s="15" t="s">
        <v>153</v>
      </c>
      <c r="O13" t="s">
        <v>456</v>
      </c>
      <c r="P13" s="16" t="str">
        <f>VLOOKUP(VMs[[#This Row],[SubnetID]], Subnets!A25:U118, 8, FALSE)</f>
        <v>va</v>
      </c>
      <c r="Q13" s="26" t="str">
        <f>VLOOKUP(VMs[[#This Row],[SubnetID]], Subnets[],21, FALSE)</f>
        <v>PROD</v>
      </c>
      <c r="R13" s="24" t="str">
        <f>VLOOKUP(VMs[[#This Row],[SubnetID]], Subnets[#Data],22, FALSE)</f>
        <v>sub03</v>
      </c>
      <c r="S13" s="56" t="str">
        <f>VLOOKUP(VMs[[#This Row],[SubnetID]], Subnets[],14, FALSE)</f>
        <v>mag_dept_managed_prod</v>
      </c>
      <c r="T13" s="25">
        <f>VLOOKUP(VMs[[#This Row],[SubnetID]], Subnets[],  2, FALSE)</f>
        <v>162</v>
      </c>
      <c r="U13" s="49" t="str">
        <f>VLOOKUP(VMs[[#This Row],[SubnetID]], Subnets[], 4, FALSE)</f>
        <v>Users_Tier2_162_dept_prod_va</v>
      </c>
      <c r="V13" s="15" t="str">
        <f>VLOOKUP(VMs[[#This Row],[SubnetID]], Subnets[], 12, FALSE)</f>
        <v>10.130.11.0</v>
      </c>
      <c r="W13" s="15" t="s">
        <v>88</v>
      </c>
      <c r="Y13" s="16">
        <v>11</v>
      </c>
      <c r="Z13" s="15">
        <v>10</v>
      </c>
      <c r="AA13" s="15" t="str">
        <f>LOWER(VMs[[#This Row],[SiteID (Computed)]] &amp;VMs[[#This Row],[Class]]&amp; VMs[[#This Row],[Function]]&amp;VMs[[#This Row],[Service Name '#]])</f>
        <v>prodprdsb1</v>
      </c>
      <c r="AB13" s="15">
        <v>1</v>
      </c>
      <c r="AC13" s="15" t="s">
        <v>151</v>
      </c>
      <c r="AD13" s="15">
        <f>VLOOKUP(VMs[[#This Row],[RoleSize]], AzureSpecs[],7, FALSE)</f>
        <v>3.5</v>
      </c>
      <c r="AE13" s="15">
        <f>VLOOKUP(VMs[[#This Row],[RoleSize]], AzureSpecs[],6, FALSE)</f>
        <v>2</v>
      </c>
      <c r="AF13" s="24"/>
    </row>
    <row r="14" spans="1:33" s="15" customFormat="1" ht="42.75" hidden="1" x14ac:dyDescent="0.45">
      <c r="A14" t="s">
        <v>806</v>
      </c>
      <c r="B14" s="15" t="s">
        <v>790</v>
      </c>
      <c r="C14" s="24" t="str">
        <f>LOWER(VMs[[#This Row],[SiteID (Computed)]] &amp;VMs[[#This Row],[Class]]&amp; VMs[[#This Row],[Function]]&amp;VMs[[#This Row],[Service Name '#]]&amp;VMs[[#This Row],[Instance]])</f>
        <v>prodprdsb1b</v>
      </c>
      <c r="D14" s="21" t="s">
        <v>804</v>
      </c>
      <c r="E14" s="21">
        <f>SUM(VMs[[#This Row],[ImageDiskSize (GB)]:[DataDiskSize (GB)]])</f>
        <v>151</v>
      </c>
      <c r="F14" s="51">
        <v>127</v>
      </c>
      <c r="G14" s="51">
        <v>24</v>
      </c>
      <c r="H14" s="51"/>
      <c r="I14" s="21" t="s">
        <v>805</v>
      </c>
      <c r="J14" s="15" t="s">
        <v>799</v>
      </c>
      <c r="K14" s="22">
        <v>744</v>
      </c>
      <c r="L14" s="15" t="s">
        <v>153</v>
      </c>
      <c r="O14" t="s">
        <v>456</v>
      </c>
      <c r="P14" s="16" t="str">
        <f>VLOOKUP(VMs[[#This Row],[SubnetID]], Subnets!A26:U119, 8, FALSE)</f>
        <v>va</v>
      </c>
      <c r="Q14" s="26" t="str">
        <f>VLOOKUP(VMs[[#This Row],[SubnetID]], Subnets[],21, FALSE)</f>
        <v>PROD</v>
      </c>
      <c r="R14" s="24" t="str">
        <f>VLOOKUP(VMs[[#This Row],[SubnetID]], Subnets[#Data],22, FALSE)</f>
        <v>sub03</v>
      </c>
      <c r="S14" s="56" t="str">
        <f>VLOOKUP(VMs[[#This Row],[SubnetID]], Subnets[],14, FALSE)</f>
        <v>mag_dept_managed_prod</v>
      </c>
      <c r="T14" s="25">
        <f>VLOOKUP(VMs[[#This Row],[SubnetID]], Subnets[],  2, FALSE)</f>
        <v>162</v>
      </c>
      <c r="U14" s="49" t="str">
        <f>VLOOKUP(VMs[[#This Row],[SubnetID]], Subnets[], 4, FALSE)</f>
        <v>Users_Tier2_162_dept_prod_va</v>
      </c>
      <c r="V14" s="15" t="str">
        <f>VLOOKUP(VMs[[#This Row],[SubnetID]], Subnets[], 12, FALSE)</f>
        <v>10.130.11.0</v>
      </c>
      <c r="W14" s="15" t="s">
        <v>88</v>
      </c>
      <c r="Y14" s="16">
        <v>12</v>
      </c>
      <c r="AA14" s="15" t="str">
        <f>LOWER(VMs[[#This Row],[SiteID (Computed)]] &amp;VMs[[#This Row],[Class]]&amp; VMs[[#This Row],[Function]]&amp;VMs[[#This Row],[Service Name '#]])</f>
        <v>prodprdsb1</v>
      </c>
      <c r="AB14" s="15">
        <v>1</v>
      </c>
      <c r="AC14" s="15" t="s">
        <v>152</v>
      </c>
      <c r="AD14" s="15">
        <f>VLOOKUP(VMs[[#This Row],[RoleSize]], AzureSpecs[],7, FALSE)</f>
        <v>3.5</v>
      </c>
      <c r="AE14" s="15">
        <f>VLOOKUP(VMs[[#This Row],[RoleSize]], AzureSpecs[],6, FALSE)</f>
        <v>2</v>
      </c>
      <c r="AF14" s="24"/>
    </row>
    <row r="15" spans="1:33" s="15" customFormat="1" ht="42.75" hidden="1" x14ac:dyDescent="0.45">
      <c r="A15" t="s">
        <v>807</v>
      </c>
      <c r="B15" s="15" t="s">
        <v>808</v>
      </c>
      <c r="C15" s="24" t="str">
        <f>LOWER(VMs[[#This Row],[SiteID (Computed)]] &amp;VMs[[#This Row],[Class]]&amp; VMs[[#This Row],[Function]]&amp;VMs[[#This Row],[Service Name '#]]&amp;VMs[[#This Row],[Instance]])</f>
        <v>prodpsqls1a</v>
      </c>
      <c r="D15" s="21" t="s">
        <v>809</v>
      </c>
      <c r="E15" s="21">
        <f>SUM(VMs[[#This Row],[ImageDiskSize (GB)]:[DataDiskSize (GB)]])</f>
        <v>151</v>
      </c>
      <c r="F15" s="51">
        <v>127</v>
      </c>
      <c r="G15" s="51">
        <v>24</v>
      </c>
      <c r="H15" s="51"/>
      <c r="I15" s="21" t="s">
        <v>810</v>
      </c>
      <c r="J15" s="15" t="s">
        <v>204</v>
      </c>
      <c r="K15" s="22">
        <v>744</v>
      </c>
      <c r="L15" s="15" t="s">
        <v>153</v>
      </c>
      <c r="O15" t="s">
        <v>452</v>
      </c>
      <c r="P15" s="16" t="str">
        <f>VLOOKUP(VMs[[#This Row],[SubnetID]], Subnets!A27:U120, 8, FALSE)</f>
        <v>va</v>
      </c>
      <c r="Q15" s="39" t="str">
        <f>VLOOKUP(VMs[[#This Row],[SubnetID]], Subnets[#Data],21, FALSE)</f>
        <v>PROD</v>
      </c>
      <c r="R15" s="24" t="str">
        <f>VLOOKUP(VMs[[#This Row],[SubnetID]], Subnets[#Data],22, FALSE)</f>
        <v>sub03</v>
      </c>
      <c r="S15" s="56" t="str">
        <f>VLOOKUP(VMs[[#This Row],[SubnetID]], Subnets[],14, FALSE)</f>
        <v>mag_dept_managed_prod</v>
      </c>
      <c r="T15" s="25">
        <f>VLOOKUP(VMs[[#This Row],[SubnetID]], Subnets[],  2, FALSE)</f>
        <v>130</v>
      </c>
      <c r="U15" s="49" t="str">
        <f>VLOOKUP(VMs[[#This Row],[SubnetID]], Subnets[], 4, FALSE)</f>
        <v>Database_130_dept_prod_va</v>
      </c>
      <c r="V15" s="15" t="str">
        <f>VLOOKUP(VMs[[#This Row],[SubnetID]], Subnets[], 12, FALSE)</f>
        <v>10.130.6.0</v>
      </c>
      <c r="W15" s="15" t="s">
        <v>88</v>
      </c>
      <c r="Y15" s="16">
        <v>11</v>
      </c>
      <c r="AA15" s="15" t="str">
        <f>LOWER(VMs[[#This Row],[SiteID (Computed)]] &amp;VMs[[#This Row],[Class]]&amp; VMs[[#This Row],[Function]]&amp;VMs[[#This Row],[Service Name '#]])</f>
        <v>prodpsqls1</v>
      </c>
      <c r="AB15" s="15">
        <v>1</v>
      </c>
      <c r="AC15" s="15" t="s">
        <v>151</v>
      </c>
      <c r="AD15" s="15">
        <f>VLOOKUP(VMs[[#This Row],[RoleSize]], AzureSpecs[],7, FALSE)</f>
        <v>7</v>
      </c>
      <c r="AE15" s="15">
        <f>VLOOKUP(VMs[[#This Row],[RoleSize]], AzureSpecs[],6, FALSE)</f>
        <v>2</v>
      </c>
      <c r="AF15" s="24"/>
    </row>
    <row r="16" spans="1:33" s="15" customFormat="1" ht="42.75" hidden="1" x14ac:dyDescent="0.45">
      <c r="A16" t="s">
        <v>811</v>
      </c>
      <c r="B16" s="15" t="s">
        <v>808</v>
      </c>
      <c r="C16" s="24" t="str">
        <f>LOWER(VMs[[#This Row],[SiteID (Computed)]] &amp;VMs[[#This Row],[Class]]&amp; VMs[[#This Row],[Function]]&amp;VMs[[#This Row],[Service Name '#]]&amp;VMs[[#This Row],[Instance]])</f>
        <v>prodpsqls1b</v>
      </c>
      <c r="D16" s="21" t="s">
        <v>809</v>
      </c>
      <c r="E16" s="21">
        <f>SUM(VMs[[#This Row],[ImageDiskSize (GB)]:[DataDiskSize (GB)]])</f>
        <v>151</v>
      </c>
      <c r="F16" s="51">
        <v>127</v>
      </c>
      <c r="G16" s="51">
        <v>24</v>
      </c>
      <c r="H16" s="51"/>
      <c r="I16" s="21" t="s">
        <v>810</v>
      </c>
      <c r="J16" s="15" t="s">
        <v>204</v>
      </c>
      <c r="K16" s="22">
        <v>744</v>
      </c>
      <c r="L16" s="15" t="s">
        <v>153</v>
      </c>
      <c r="O16" t="s">
        <v>452</v>
      </c>
      <c r="P16" s="16" t="str">
        <f>VLOOKUP(VMs[[#This Row],[SubnetID]], Subnets!A28:U121, 8, FALSE)</f>
        <v>va</v>
      </c>
      <c r="Q16" s="39" t="str">
        <f>VLOOKUP(VMs[[#This Row],[SubnetID]], Subnets[#Data],21, FALSE)</f>
        <v>PROD</v>
      </c>
      <c r="R16" s="24" t="str">
        <f>VLOOKUP(VMs[[#This Row],[SubnetID]], Subnets[#Data],22, FALSE)</f>
        <v>sub03</v>
      </c>
      <c r="S16" s="56" t="str">
        <f>VLOOKUP(VMs[[#This Row],[SubnetID]], Subnets[],14, FALSE)</f>
        <v>mag_dept_managed_prod</v>
      </c>
      <c r="T16" s="25">
        <f>VLOOKUP(VMs[[#This Row],[SubnetID]], Subnets[],  2, FALSE)</f>
        <v>130</v>
      </c>
      <c r="U16" s="49" t="str">
        <f>VLOOKUP(VMs[[#This Row],[SubnetID]], Subnets[], 4, FALSE)</f>
        <v>Database_130_dept_prod_va</v>
      </c>
      <c r="V16" s="15" t="str">
        <f>VLOOKUP(VMs[[#This Row],[SubnetID]], Subnets[], 12, FALSE)</f>
        <v>10.130.6.0</v>
      </c>
      <c r="W16" s="15" t="s">
        <v>88</v>
      </c>
      <c r="Y16" s="16">
        <v>12</v>
      </c>
      <c r="AA16" s="15" t="str">
        <f>LOWER(VMs[[#This Row],[SiteID (Computed)]] &amp;VMs[[#This Row],[Class]]&amp; VMs[[#This Row],[Function]]&amp;VMs[[#This Row],[Service Name '#]])</f>
        <v>prodpsqls1</v>
      </c>
      <c r="AB16" s="15">
        <v>1</v>
      </c>
      <c r="AC16" s="15" t="s">
        <v>152</v>
      </c>
      <c r="AD16" s="15">
        <f>VLOOKUP(VMs[[#This Row],[RoleSize]], AzureSpecs[],7, FALSE)</f>
        <v>7</v>
      </c>
      <c r="AE16" s="15">
        <f>VLOOKUP(VMs[[#This Row],[RoleSize]], AzureSpecs[],6, FALSE)</f>
        <v>2</v>
      </c>
      <c r="AF16" s="24"/>
    </row>
    <row r="17" spans="2:33" ht="42.75" x14ac:dyDescent="0.45">
      <c r="B17" s="15" t="s">
        <v>149</v>
      </c>
      <c r="C17" s="24" t="str">
        <f>LOWER(VMs[[#This Row],[SiteID (Computed)]] &amp;VMs[[#This Row],[Class]]&amp; VMs[[#This Row],[Function]]&amp;VMs[[#This Row],[Service Name '#]]&amp;VMs[[#This Row],[Instance]])</f>
        <v>servicespatag1a</v>
      </c>
      <c r="D17" s="21" t="s">
        <v>982</v>
      </c>
      <c r="E17" s="51"/>
      <c r="F17" s="51">
        <v>127</v>
      </c>
      <c r="G17" s="51">
        <v>24</v>
      </c>
      <c r="H17" s="51"/>
      <c r="I17" s="21" t="s">
        <v>981</v>
      </c>
      <c r="J17" s="15" t="s">
        <v>118</v>
      </c>
      <c r="K17" s="22">
        <v>744</v>
      </c>
      <c r="L17" s="24" t="s">
        <v>983</v>
      </c>
      <c r="M17" s="24" t="s">
        <v>201</v>
      </c>
      <c r="N17" s="24"/>
      <c r="O17" s="24" t="s">
        <v>470</v>
      </c>
      <c r="P17" s="68" t="str">
        <f>VLOOKUP(VMs[[#This Row],[SubnetID]], Subnets!A29:U122, 8, FALSE)</f>
        <v>va</v>
      </c>
      <c r="Q17" s="69" t="str">
        <f>VLOOKUP(VMs[[#This Row],[SubnetID]], Subnets[],21, FALSE)</f>
        <v>SERVICES</v>
      </c>
      <c r="R17" s="24" t="str">
        <f>VLOOKUP(VMs[[#This Row],[SubnetID]], Subnets[#Data],22, FALSE)</f>
        <v>sub04</v>
      </c>
      <c r="S17" s="70" t="str">
        <f>VLOOKUP(VMs[[#This Row],[SubnetID]], Subnets[],14, FALSE)</f>
        <v>mag_dept_managed_services</v>
      </c>
      <c r="T17" s="25">
        <f>VLOOKUP(VMs[[#This Row],[SubnetID]], Subnets[],  2, FALSE)</f>
        <v>600</v>
      </c>
      <c r="U17" s="71" t="str">
        <f>VLOOKUP(VMs[[#This Row],[SubnetID]], Subnets[], 4, FALSE)</f>
        <v>Services_600_dept_Srvcs_va</v>
      </c>
      <c r="V17" s="49" t="str">
        <f>VLOOKUP(VMs[[#This Row],[SubnetID]], Subnets[], 12, FALSE)</f>
        <v>10.130.56.0</v>
      </c>
      <c r="W17" s="16">
        <v>15</v>
      </c>
      <c r="Y17" s="16" t="s">
        <v>88</v>
      </c>
      <c r="Z17" s="15">
        <v>1</v>
      </c>
      <c r="AA17" s="24" t="str">
        <f>LOWER(VMs[[#This Row],[SiteID (Computed)]] &amp;VMs[[#This Row],[Class]]&amp; VMs[[#This Row],[Function]]&amp;VMs[[#This Row],[Service Name '#]])</f>
        <v>servicespatag1</v>
      </c>
      <c r="AB17" s="15">
        <v>1</v>
      </c>
      <c r="AC17" s="15" t="s">
        <v>151</v>
      </c>
      <c r="AD17" s="15">
        <f>VLOOKUP(VMs[[#This Row],[RoleSize]], AzureSpecs[],7, FALSE)</f>
        <v>3.5</v>
      </c>
      <c r="AE17" s="24">
        <f>VLOOKUP(VMs[[#This Row],[RoleSize]], AzureSpecs[],6, FALSE)</f>
        <v>2</v>
      </c>
      <c r="AF17" s="24"/>
      <c r="AG17" s="15" t="b">
        <v>0</v>
      </c>
    </row>
    <row r="18" spans="2:33" x14ac:dyDescent="0.45">
      <c r="B18" s="15"/>
      <c r="C18" s="24" t="e">
        <f>LOWER(VMs[[#This Row],[SiteID (Computed)]] &amp;VMs[[#This Row],[Class]]&amp; VMs[[#This Row],[Function]]&amp;VMs[[#This Row],[Service Name '#]]&amp;VMs[[#This Row],[Instance]])</f>
        <v>#N/A</v>
      </c>
      <c r="D18" s="21"/>
      <c r="E18" s="51"/>
      <c r="F18" s="51"/>
      <c r="G18" s="51"/>
      <c r="H18" s="51"/>
      <c r="I18" s="51"/>
      <c r="J18" s="15"/>
      <c r="K18" s="22"/>
      <c r="L18" s="24" t="str">
        <f>MID(VMs[[#This Row],[Admin Name]], 4, 1)</f>
        <v/>
      </c>
      <c r="M18" s="24"/>
      <c r="N18" s="24"/>
      <c r="O18" s="24"/>
      <c r="P18" s="68" t="e">
        <f>VLOOKUP(VMs[[#This Row],[SubnetID]], Subnets!A31:U123, 8, FALSE)</f>
        <v>#N/A</v>
      </c>
      <c r="Q18" s="69" t="e">
        <f>VLOOKUP(VMs[[#This Row],[SubnetID]], Subnets[],21, FALSE)</f>
        <v>#N/A</v>
      </c>
      <c r="R18" s="24"/>
      <c r="S18" s="70" t="e">
        <f>VLOOKUP(VMs[[#This Row],[SubnetID]], Subnets[],14, FALSE)</f>
        <v>#N/A</v>
      </c>
      <c r="T18" s="25" t="e">
        <f>VLOOKUP(VMs[[#This Row],[SubnetID]], Subnets[],  2, FALSE)</f>
        <v>#N/A</v>
      </c>
      <c r="U18" s="71" t="e">
        <f>VLOOKUP(VMs[[#This Row],[SubnetID]], Subnets[], 4, FALSE)</f>
        <v>#N/A</v>
      </c>
      <c r="V18" s="49" t="e">
        <f>VLOOKUP(VMs[[#This Row],[SubnetID]], Subnets[], 12, FALSE)</f>
        <v>#N/A</v>
      </c>
      <c r="W18" s="16"/>
      <c r="Y18" s="16"/>
      <c r="Z18" s="15"/>
      <c r="AA18" s="24" t="e">
        <f>LOWER(VMs[[#This Row],[SiteID (Computed)]] &amp;VMs[[#This Row],[Class]]&amp; VMs[[#This Row],[Function]]&amp;VMs[[#This Row],[Service Name '#]])</f>
        <v>#N/A</v>
      </c>
      <c r="AB18" s="15"/>
      <c r="AC18" s="15"/>
      <c r="AD18" s="24" t="e">
        <f>VLOOKUP(VMs[[#This Row],[RoleSize]], AzureID, 5, TRUE)</f>
        <v>#N/A</v>
      </c>
      <c r="AE18" s="24" t="e">
        <f>VLOOKUP(VMs[[#This Row],[RoleSize]], AzureSpecs[],6, FALSE)</f>
        <v>#N/A</v>
      </c>
      <c r="AF18" s="24"/>
    </row>
    <row r="19" spans="2:33" x14ac:dyDescent="0.45">
      <c r="E19" s="15">
        <f>COUNT(VMs[ServerName (Computed:  Site)
"Sitename + function+uid+instance"])</f>
        <v>0</v>
      </c>
      <c r="G19" s="15">
        <f>SUM(E2:E18)</f>
        <v>2265</v>
      </c>
      <c r="H19" s="15"/>
      <c r="J19" s="15"/>
      <c r="Q19" s="15">
        <f>SUM(VMs[Hr/Mo (&lt;=744)])</f>
        <v>11904</v>
      </c>
      <c r="S19" s="15"/>
      <c r="AE19" s="27">
        <f>SUM(K2:K18)</f>
        <v>11904</v>
      </c>
    </row>
  </sheetData>
  <conditionalFormatting sqref="E31:E1048576 E19 C1:C18">
    <cfRule type="duplicateValues" dxfId="59" priority="42"/>
  </conditionalFormatting>
  <pageMargins left="0.7" right="0.7" top="0.75" bottom="0.75" header="0.3" footer="0.3"/>
  <pageSetup orientation="portrait" horizontalDpi="4294967293" verticalDpi="9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5" zoomScaleNormal="85" workbookViewId="0">
      <selection activeCell="D26" sqref="D26"/>
    </sheetView>
  </sheetViews>
  <sheetFormatPr defaultRowHeight="14.25" x14ac:dyDescent="0.45"/>
  <cols>
    <col min="1" max="1" width="13.265625" customWidth="1"/>
    <col min="2" max="2" width="12.59765625" customWidth="1"/>
    <col min="3" max="3" width="24.1328125" customWidth="1"/>
    <col min="4" max="4" width="23.86328125" customWidth="1"/>
    <col min="6" max="6" width="13.265625" customWidth="1"/>
    <col min="7" max="7" width="19" customWidth="1"/>
  </cols>
  <sheetData>
    <row r="1" spans="1:7" ht="23.25" x14ac:dyDescent="0.7">
      <c r="A1" s="78" t="s">
        <v>193</v>
      </c>
      <c r="B1" s="78"/>
      <c r="C1" s="78"/>
      <c r="F1" s="78" t="s">
        <v>211</v>
      </c>
      <c r="G1" s="78"/>
    </row>
    <row r="2" spans="1:7" x14ac:dyDescent="0.45">
      <c r="A2" s="28" t="s">
        <v>197</v>
      </c>
      <c r="B2" t="s">
        <v>199</v>
      </c>
      <c r="C2" t="s">
        <v>200</v>
      </c>
      <c r="D2" t="s">
        <v>209</v>
      </c>
      <c r="F2" s="28" t="s">
        <v>197</v>
      </c>
      <c r="G2" t="s">
        <v>210</v>
      </c>
    </row>
    <row r="3" spans="1:7" x14ac:dyDescent="0.45">
      <c r="A3" s="13" t="s">
        <v>117</v>
      </c>
      <c r="B3" s="29">
        <v>4</v>
      </c>
      <c r="C3" s="30">
        <v>200</v>
      </c>
      <c r="D3" s="29">
        <v>4</v>
      </c>
      <c r="F3" s="13" t="s">
        <v>90</v>
      </c>
      <c r="G3" s="29">
        <v>508</v>
      </c>
    </row>
    <row r="4" spans="1:7" x14ac:dyDescent="0.45">
      <c r="A4" s="13" t="s">
        <v>118</v>
      </c>
      <c r="B4" s="29">
        <v>7</v>
      </c>
      <c r="C4" s="30">
        <v>744</v>
      </c>
      <c r="D4" s="29">
        <v>14</v>
      </c>
      <c r="F4" s="13" t="s">
        <v>153</v>
      </c>
      <c r="G4" s="29">
        <v>1050</v>
      </c>
    </row>
    <row r="5" spans="1:7" x14ac:dyDescent="0.45">
      <c r="A5" s="13" t="s">
        <v>198</v>
      </c>
      <c r="B5" s="29">
        <v>11</v>
      </c>
      <c r="C5" s="30">
        <v>546.18181818181813</v>
      </c>
      <c r="D5" s="29">
        <v>18</v>
      </c>
      <c r="F5" s="13" t="s">
        <v>198</v>
      </c>
      <c r="G5" s="29">
        <v>1558</v>
      </c>
    </row>
  </sheetData>
  <mergeCells count="2">
    <mergeCell ref="A1:C1"/>
    <mergeCell ref="F1:G1"/>
  </mergeCells>
  <pageMargins left="0.7" right="0.7" top="0.75" bottom="0.75" header="0.3" footer="0.3"/>
  <pageSetup orientation="portrait" horizontalDpi="4294967293"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workbookViewId="0">
      <selection activeCell="D2" sqref="D2:E138"/>
    </sheetView>
  </sheetViews>
  <sheetFormatPr defaultRowHeight="14.25" x14ac:dyDescent="0.45"/>
  <cols>
    <col min="1" max="1" width="10.1328125" customWidth="1"/>
    <col min="2" max="2" width="51.86328125" customWidth="1"/>
    <col min="3" max="3" width="10.1328125" style="14" customWidth="1"/>
    <col min="4" max="4" width="13.1328125" customWidth="1"/>
    <col min="5" max="5" width="14.265625" customWidth="1"/>
    <col min="6" max="6" width="8.59765625" style="8" customWidth="1"/>
    <col min="7" max="7" width="11.59765625" style="48" customWidth="1"/>
    <col min="8" max="8" width="11.59765625" style="8" customWidth="1"/>
    <col min="9" max="10" width="11.59765625" customWidth="1"/>
    <col min="12" max="12" width="11.59765625" customWidth="1"/>
  </cols>
  <sheetData>
    <row r="1" spans="1:11" x14ac:dyDescent="0.45">
      <c r="A1" t="s">
        <v>115</v>
      </c>
      <c r="B1" t="s">
        <v>124</v>
      </c>
      <c r="C1" s="14" t="s">
        <v>148</v>
      </c>
      <c r="D1" t="s">
        <v>688</v>
      </c>
      <c r="E1" s="45" t="s">
        <v>689</v>
      </c>
      <c r="F1" s="8" t="s">
        <v>691</v>
      </c>
      <c r="G1" s="48" t="s">
        <v>127</v>
      </c>
      <c r="H1" s="8" t="s">
        <v>211</v>
      </c>
      <c r="I1" s="46" t="s">
        <v>690</v>
      </c>
      <c r="J1" t="s">
        <v>729</v>
      </c>
      <c r="K1" s="46"/>
    </row>
    <row r="2" spans="1:11" x14ac:dyDescent="0.45">
      <c r="A2" t="s">
        <v>1009</v>
      </c>
      <c r="B2" t="s">
        <v>1019</v>
      </c>
      <c r="C2" s="73"/>
      <c r="D2" s="74"/>
      <c r="E2" s="74"/>
      <c r="I2" s="75" t="e">
        <f>1-AzureSpecs[[#This Row],[MACPrice]]/AzureSpecs[[#This Row],[MAGPrice]]</f>
        <v>#DIV/0!</v>
      </c>
      <c r="K2" s="46"/>
    </row>
    <row r="3" spans="1:11" x14ac:dyDescent="0.45">
      <c r="A3" t="s">
        <v>1010</v>
      </c>
      <c r="B3" t="s">
        <v>1020</v>
      </c>
      <c r="C3" s="73"/>
      <c r="D3" s="74"/>
      <c r="E3" s="74"/>
      <c r="I3" s="75" t="e">
        <f>1-AzureSpecs[[#This Row],[MACPrice]]/AzureSpecs[[#This Row],[MAGPrice]]</f>
        <v>#DIV/0!</v>
      </c>
      <c r="K3" s="46"/>
    </row>
    <row r="4" spans="1:11" x14ac:dyDescent="0.45">
      <c r="A4" t="s">
        <v>1011</v>
      </c>
      <c r="B4" t="s">
        <v>1021</v>
      </c>
      <c r="C4" s="73"/>
      <c r="D4" s="74"/>
      <c r="E4" s="74"/>
      <c r="I4" s="75" t="e">
        <f>1-AzureSpecs[[#This Row],[MACPrice]]/AzureSpecs[[#This Row],[MAGPrice]]</f>
        <v>#DIV/0!</v>
      </c>
      <c r="K4" s="46"/>
    </row>
    <row r="5" spans="1:11" x14ac:dyDescent="0.45">
      <c r="A5" t="s">
        <v>1012</v>
      </c>
      <c r="B5" t="s">
        <v>1022</v>
      </c>
      <c r="C5" s="73"/>
      <c r="D5" s="74"/>
      <c r="E5" s="74"/>
      <c r="I5" s="75" t="e">
        <f>1-AzureSpecs[[#This Row],[MACPrice]]/AzureSpecs[[#This Row],[MAGPrice]]</f>
        <v>#DIV/0!</v>
      </c>
      <c r="K5" s="46"/>
    </row>
    <row r="6" spans="1:11" x14ac:dyDescent="0.45">
      <c r="A6" t="s">
        <v>1013</v>
      </c>
      <c r="B6" t="s">
        <v>1023</v>
      </c>
      <c r="C6" s="73"/>
      <c r="D6" s="74"/>
      <c r="E6" s="74"/>
      <c r="I6" s="75" t="e">
        <f>1-AzureSpecs[[#This Row],[MACPrice]]/AzureSpecs[[#This Row],[MAGPrice]]</f>
        <v>#DIV/0!</v>
      </c>
      <c r="K6" s="46"/>
    </row>
    <row r="7" spans="1:11" x14ac:dyDescent="0.45">
      <c r="A7" t="s">
        <v>1014</v>
      </c>
      <c r="B7" t="s">
        <v>1024</v>
      </c>
      <c r="C7" s="73"/>
      <c r="D7" s="74"/>
      <c r="E7" s="74"/>
      <c r="I7" s="75" t="e">
        <f>1-AzureSpecs[[#This Row],[MACPrice]]/AzureSpecs[[#This Row],[MAGPrice]]</f>
        <v>#DIV/0!</v>
      </c>
      <c r="K7" s="46"/>
    </row>
    <row r="8" spans="1:11" x14ac:dyDescent="0.45">
      <c r="A8" t="s">
        <v>1015</v>
      </c>
      <c r="B8" t="s">
        <v>1025</v>
      </c>
      <c r="C8" s="73"/>
      <c r="D8" s="74"/>
      <c r="E8" s="74"/>
      <c r="I8" s="75" t="e">
        <f>1-AzureSpecs[[#This Row],[MACPrice]]/AzureSpecs[[#This Row],[MAGPrice]]</f>
        <v>#DIV/0!</v>
      </c>
      <c r="K8" s="46"/>
    </row>
    <row r="9" spans="1:11" x14ac:dyDescent="0.45">
      <c r="A9" t="s">
        <v>1016</v>
      </c>
      <c r="B9" t="s">
        <v>1026</v>
      </c>
      <c r="C9" s="73"/>
      <c r="D9" s="74"/>
      <c r="E9" s="74"/>
      <c r="I9" s="75" t="e">
        <f>1-AzureSpecs[[#This Row],[MACPrice]]/AzureSpecs[[#This Row],[MAGPrice]]</f>
        <v>#DIV/0!</v>
      </c>
      <c r="K9" s="46"/>
    </row>
    <row r="10" spans="1:11" x14ac:dyDescent="0.45">
      <c r="A10" t="s">
        <v>1017</v>
      </c>
      <c r="B10" t="s">
        <v>1027</v>
      </c>
      <c r="C10" s="73"/>
      <c r="D10" s="74"/>
      <c r="E10" s="74"/>
      <c r="I10" s="75" t="e">
        <f>1-AzureSpecs[[#This Row],[MACPrice]]/AzureSpecs[[#This Row],[MAGPrice]]</f>
        <v>#DIV/0!</v>
      </c>
      <c r="K10" s="46"/>
    </row>
    <row r="11" spans="1:11" x14ac:dyDescent="0.45">
      <c r="A11" t="s">
        <v>1018</v>
      </c>
      <c r="B11" t="s">
        <v>1028</v>
      </c>
      <c r="C11" s="73"/>
      <c r="D11" s="74"/>
      <c r="E11" s="74"/>
      <c r="I11" s="75" t="e">
        <f>1-AzureSpecs[[#This Row],[MACPrice]]/AzureSpecs[[#This Row],[MAGPrice]]</f>
        <v>#DIV/0!</v>
      </c>
      <c r="K11" s="46"/>
    </row>
    <row r="12" spans="1:11" x14ac:dyDescent="0.45">
      <c r="A12" t="s">
        <v>116</v>
      </c>
      <c r="B12" t="s">
        <v>693</v>
      </c>
      <c r="D12" s="45"/>
      <c r="E12" s="45"/>
      <c r="F12" s="8">
        <v>1</v>
      </c>
      <c r="G12" s="48">
        <v>0.76800000000000002</v>
      </c>
      <c r="I12" s="46" t="e">
        <f>1-AzureSpecs[[#This Row],[MACPrice]]/AzureSpecs[[#This Row],[MAGPrice]]</f>
        <v>#DIV/0!</v>
      </c>
      <c r="J12" t="s">
        <v>729</v>
      </c>
      <c r="K12" s="46"/>
    </row>
    <row r="13" spans="1:11" x14ac:dyDescent="0.45">
      <c r="A13" t="s">
        <v>117</v>
      </c>
      <c r="B13" t="s">
        <v>694</v>
      </c>
      <c r="D13" s="45"/>
      <c r="E13" s="45"/>
      <c r="F13" s="8">
        <v>1</v>
      </c>
      <c r="G13" s="48">
        <v>1.7</v>
      </c>
      <c r="I13" s="46" t="e">
        <f>1-AzureSpecs[[#This Row],[MACPrice]]/AzureSpecs[[#This Row],[MAGPrice]]</f>
        <v>#DIV/0!</v>
      </c>
      <c r="J13" t="s">
        <v>729</v>
      </c>
      <c r="K13" s="46"/>
    </row>
    <row r="14" spans="1:11" x14ac:dyDescent="0.45">
      <c r="A14" t="s">
        <v>118</v>
      </c>
      <c r="B14" t="s">
        <v>695</v>
      </c>
      <c r="D14" s="45"/>
      <c r="E14" s="45"/>
      <c r="F14" s="8">
        <v>2</v>
      </c>
      <c r="G14" s="48">
        <v>3.5</v>
      </c>
      <c r="I14" s="46" t="e">
        <f>1-AzureSpecs[[#This Row],[MACPrice]]/AzureSpecs[[#This Row],[MAGPrice]]</f>
        <v>#DIV/0!</v>
      </c>
      <c r="J14" t="s">
        <v>729</v>
      </c>
      <c r="K14" s="46"/>
    </row>
    <row r="15" spans="1:11" x14ac:dyDescent="0.45">
      <c r="A15" t="s">
        <v>851</v>
      </c>
      <c r="B15" t="s">
        <v>852</v>
      </c>
      <c r="D15" s="45"/>
      <c r="E15" s="45"/>
      <c r="I15" s="47" t="e">
        <f>1-AzureSpecs[[#This Row],[MACPrice]]/AzureSpecs[[#This Row],[MAGPrice]]</f>
        <v>#DIV/0!</v>
      </c>
      <c r="K15" s="46"/>
    </row>
    <row r="16" spans="1:11" x14ac:dyDescent="0.45">
      <c r="A16" t="s">
        <v>119</v>
      </c>
      <c r="B16" t="s">
        <v>696</v>
      </c>
      <c r="D16" s="45"/>
      <c r="E16" s="45"/>
      <c r="F16" s="8">
        <v>4</v>
      </c>
      <c r="G16" s="48">
        <v>7</v>
      </c>
      <c r="I16" s="46" t="e">
        <f>1-AzureSpecs[[#This Row],[MACPrice]]/AzureSpecs[[#This Row],[MAGPrice]]</f>
        <v>#DIV/0!</v>
      </c>
      <c r="J16" t="s">
        <v>729</v>
      </c>
      <c r="K16" s="46"/>
    </row>
    <row r="17" spans="1:11" x14ac:dyDescent="0.45">
      <c r="A17" t="s">
        <v>120</v>
      </c>
      <c r="B17" t="s">
        <v>697</v>
      </c>
      <c r="D17" s="45"/>
      <c r="E17" s="45"/>
      <c r="F17" s="8">
        <v>8</v>
      </c>
      <c r="G17" s="48">
        <v>14</v>
      </c>
      <c r="I17" s="46" t="e">
        <f>1-AzureSpecs[[#This Row],[MACPrice]]/AzureSpecs[[#This Row],[MAGPrice]]</f>
        <v>#DIV/0!</v>
      </c>
      <c r="J17" t="s">
        <v>729</v>
      </c>
      <c r="K17" s="46"/>
    </row>
    <row r="18" spans="1:11" x14ac:dyDescent="0.45">
      <c r="A18" t="s">
        <v>855</v>
      </c>
      <c r="B18" t="s">
        <v>856</v>
      </c>
      <c r="D18" s="45"/>
      <c r="E18" s="45"/>
      <c r="I18" s="47" t="e">
        <f>1-AzureSpecs[[#This Row],[MACPrice]]/AzureSpecs[[#This Row],[MAGPrice]]</f>
        <v>#DIV/0!</v>
      </c>
      <c r="K18" s="46"/>
    </row>
    <row r="19" spans="1:11" x14ac:dyDescent="0.45">
      <c r="A19" t="s">
        <v>121</v>
      </c>
      <c r="B19" t="s">
        <v>125</v>
      </c>
      <c r="D19" s="45"/>
      <c r="E19" s="45"/>
      <c r="F19" s="8">
        <v>2</v>
      </c>
      <c r="G19" s="48">
        <v>14</v>
      </c>
      <c r="I19" s="46" t="e">
        <f>1-AzureSpecs[[#This Row],[MACPrice]]/AzureSpecs[[#This Row],[MAGPrice]]</f>
        <v>#DIV/0!</v>
      </c>
      <c r="J19" t="s">
        <v>729</v>
      </c>
      <c r="K19" s="46"/>
    </row>
    <row r="20" spans="1:11" x14ac:dyDescent="0.45">
      <c r="A20" t="s">
        <v>122</v>
      </c>
      <c r="B20" t="s">
        <v>892</v>
      </c>
      <c r="D20" s="45"/>
      <c r="E20" s="45"/>
      <c r="F20" s="8">
        <v>4</v>
      </c>
      <c r="G20" s="48">
        <v>28</v>
      </c>
      <c r="I20" s="46" t="e">
        <f>1-AzureSpecs[[#This Row],[MACPrice]]/AzureSpecs[[#This Row],[MAGPrice]]</f>
        <v>#DIV/0!</v>
      </c>
      <c r="J20" t="s">
        <v>729</v>
      </c>
      <c r="K20" s="46"/>
    </row>
    <row r="21" spans="1:11" x14ac:dyDescent="0.45">
      <c r="A21" t="s">
        <v>853</v>
      </c>
      <c r="B21" t="s">
        <v>854</v>
      </c>
      <c r="D21" s="45"/>
      <c r="E21" s="45"/>
      <c r="I21" s="47" t="e">
        <f>1-AzureSpecs[[#This Row],[MACPrice]]/AzureSpecs[[#This Row],[MAGPrice]]</f>
        <v>#DIV/0!</v>
      </c>
      <c r="K21" s="46"/>
    </row>
    <row r="22" spans="1:11" x14ac:dyDescent="0.45">
      <c r="A22" t="s">
        <v>123</v>
      </c>
      <c r="B22" t="s">
        <v>126</v>
      </c>
      <c r="D22" s="45"/>
      <c r="E22" s="45"/>
      <c r="F22" s="8">
        <v>8</v>
      </c>
      <c r="G22" s="48">
        <v>56</v>
      </c>
      <c r="I22" s="46" t="e">
        <f>1-AzureSpecs[[#This Row],[MACPrice]]/AzureSpecs[[#This Row],[MAGPrice]]</f>
        <v>#DIV/0!</v>
      </c>
      <c r="J22" t="s">
        <v>729</v>
      </c>
      <c r="K22" s="46"/>
    </row>
    <row r="23" spans="1:11" x14ac:dyDescent="0.45">
      <c r="A23" t="s">
        <v>669</v>
      </c>
      <c r="B23" t="s">
        <v>670</v>
      </c>
      <c r="D23" s="45"/>
      <c r="E23" s="45"/>
      <c r="I23" s="46" t="e">
        <f>1-AzureSpecs[[#This Row],[MACPrice]]/AzureSpecs[[#This Row],[MAGPrice]]</f>
        <v>#DIV/0!</v>
      </c>
      <c r="J23" t="s">
        <v>729</v>
      </c>
      <c r="K23" s="46"/>
    </row>
    <row r="24" spans="1:11" x14ac:dyDescent="0.45">
      <c r="A24" t="s">
        <v>671</v>
      </c>
      <c r="B24" t="s">
        <v>672</v>
      </c>
      <c r="D24" s="45"/>
      <c r="E24" s="45"/>
      <c r="I24" s="46" t="e">
        <f>1-AzureSpecs[[#This Row],[MACPrice]]/AzureSpecs[[#This Row],[MAGPrice]]</f>
        <v>#DIV/0!</v>
      </c>
      <c r="J24" t="s">
        <v>729</v>
      </c>
      <c r="K24" s="46"/>
    </row>
    <row r="25" spans="1:11" x14ac:dyDescent="0.45">
      <c r="A25" t="s">
        <v>730</v>
      </c>
      <c r="B25" t="s">
        <v>731</v>
      </c>
      <c r="D25" s="45"/>
      <c r="E25" s="45"/>
      <c r="I25" s="47" t="e">
        <f>1-AzureSpecs[[#This Row],[MACPrice]]/AzureSpecs[[#This Row],[MAGPrice]]</f>
        <v>#DIV/0!</v>
      </c>
      <c r="J25" s="41" t="s">
        <v>729</v>
      </c>
      <c r="K25" s="46"/>
    </row>
    <row r="26" spans="1:11" x14ac:dyDescent="0.45">
      <c r="A26" t="s">
        <v>765</v>
      </c>
      <c r="B26" t="s">
        <v>768</v>
      </c>
      <c r="D26" s="45"/>
      <c r="E26" s="45"/>
      <c r="I26" s="47" t="e">
        <f>1-AzureSpecs[[#This Row],[MACPrice]]/AzureSpecs[[#This Row],[MAGPrice]]</f>
        <v>#DIV/0!</v>
      </c>
      <c r="J26" s="41" t="s">
        <v>729</v>
      </c>
      <c r="K26" s="46"/>
    </row>
    <row r="27" spans="1:11" x14ac:dyDescent="0.45">
      <c r="A27" t="s">
        <v>764</v>
      </c>
      <c r="B27" t="s">
        <v>767</v>
      </c>
      <c r="D27" s="45"/>
      <c r="E27" s="45"/>
      <c r="I27" s="47" t="e">
        <f>1-AzureSpecs[[#This Row],[MACPrice]]/AzureSpecs[[#This Row],[MAGPrice]]</f>
        <v>#DIV/0!</v>
      </c>
      <c r="J27" s="41" t="s">
        <v>729</v>
      </c>
      <c r="K27" s="46"/>
    </row>
    <row r="28" spans="1:11" x14ac:dyDescent="0.45">
      <c r="A28" t="s">
        <v>763</v>
      </c>
      <c r="B28" t="s">
        <v>766</v>
      </c>
      <c r="D28" s="45"/>
      <c r="E28" s="45"/>
      <c r="I28" s="47" t="e">
        <f>1-AzureSpecs[[#This Row],[MACPrice]]/AzureSpecs[[#This Row],[MAGPrice]]</f>
        <v>#DIV/0!</v>
      </c>
      <c r="J28" s="41" t="s">
        <v>729</v>
      </c>
      <c r="K28" s="47"/>
    </row>
    <row r="29" spans="1:11" x14ac:dyDescent="0.45">
      <c r="A29" t="s">
        <v>770</v>
      </c>
      <c r="B29" t="s">
        <v>772</v>
      </c>
      <c r="D29" s="45"/>
      <c r="E29" s="45"/>
      <c r="I29" s="47" t="e">
        <f>1-AzureSpecs[[#This Row],[MACPrice]]/AzureSpecs[[#This Row],[MAGPrice]]</f>
        <v>#DIV/0!</v>
      </c>
      <c r="K29" s="47"/>
    </row>
    <row r="30" spans="1:11" x14ac:dyDescent="0.45">
      <c r="A30" t="s">
        <v>773</v>
      </c>
      <c r="B30" t="s">
        <v>774</v>
      </c>
      <c r="D30" s="45"/>
      <c r="E30" s="45"/>
      <c r="I30" s="47"/>
      <c r="K30" s="47"/>
    </row>
    <row r="31" spans="1:11" x14ac:dyDescent="0.45">
      <c r="A31" t="s">
        <v>732</v>
      </c>
      <c r="B31" t="s">
        <v>733</v>
      </c>
      <c r="D31" s="45"/>
      <c r="E31" s="45"/>
      <c r="I31" s="47" t="e">
        <f>1-AzureSpecs[[#This Row],[MACPrice]]/AzureSpecs[[#This Row],[MAGPrice]]</f>
        <v>#DIV/0!</v>
      </c>
      <c r="J31" s="41" t="s">
        <v>729</v>
      </c>
      <c r="K31" s="47"/>
    </row>
    <row r="32" spans="1:11" x14ac:dyDescent="0.45">
      <c r="A32" t="s">
        <v>769</v>
      </c>
      <c r="B32" t="s">
        <v>771</v>
      </c>
      <c r="D32" s="45"/>
      <c r="E32" s="45"/>
      <c r="I32" s="47" t="e">
        <f>1-AzureSpecs[[#This Row],[MACPrice]]/AzureSpecs[[#This Row],[MAGPrice]]</f>
        <v>#DIV/0!</v>
      </c>
      <c r="J32" s="41" t="s">
        <v>729</v>
      </c>
      <c r="K32" s="47"/>
    </row>
    <row r="33" spans="1:11" x14ac:dyDescent="0.45">
      <c r="A33" t="s">
        <v>904</v>
      </c>
      <c r="B33" t="s">
        <v>903</v>
      </c>
      <c r="D33" s="45"/>
      <c r="E33" s="45"/>
      <c r="I33" s="47" t="e">
        <f>1-AzureSpecs[[#This Row],[MACPrice]]/AzureSpecs[[#This Row],[MAGPrice]]</f>
        <v>#DIV/0!</v>
      </c>
      <c r="K33" s="47"/>
    </row>
    <row r="34" spans="1:11" x14ac:dyDescent="0.45">
      <c r="A34" t="s">
        <v>775</v>
      </c>
      <c r="B34" t="s">
        <v>776</v>
      </c>
      <c r="D34" s="45"/>
      <c r="E34" s="45"/>
      <c r="I34" s="47" t="e">
        <f>1-AzureSpecs[[#This Row],[MACPrice]]/AzureSpecs[[#This Row],[MAGPrice]]</f>
        <v>#DIV/0!</v>
      </c>
      <c r="K34" s="47"/>
    </row>
    <row r="35" spans="1:11" x14ac:dyDescent="0.45">
      <c r="A35" t="s">
        <v>203</v>
      </c>
      <c r="B35" t="s">
        <v>896</v>
      </c>
      <c r="D35" s="45"/>
      <c r="E35" s="45"/>
      <c r="F35" s="8">
        <v>1</v>
      </c>
      <c r="G35" s="48">
        <v>3.5</v>
      </c>
      <c r="I35" s="46" t="e">
        <f>1-AzureSpecs[[#This Row],[MACPrice]]/AzureSpecs[[#This Row],[MAGPrice]]</f>
        <v>#DIV/0!</v>
      </c>
      <c r="J35" t="s">
        <v>729</v>
      </c>
      <c r="K35" s="47"/>
    </row>
    <row r="36" spans="1:11" x14ac:dyDescent="0.45">
      <c r="A36" t="s">
        <v>225</v>
      </c>
      <c r="B36" t="s">
        <v>897</v>
      </c>
      <c r="D36" s="45"/>
      <c r="E36" s="45"/>
      <c r="F36" s="8">
        <v>2</v>
      </c>
      <c r="G36" s="48">
        <v>14</v>
      </c>
      <c r="I36" s="46" t="e">
        <f>1-AzureSpecs[[#This Row],[MACPrice]]/AzureSpecs[[#This Row],[MAGPrice]]</f>
        <v>#DIV/0!</v>
      </c>
      <c r="J36" t="s">
        <v>729</v>
      </c>
      <c r="K36" s="47"/>
    </row>
    <row r="37" spans="1:11" x14ac:dyDescent="0.45">
      <c r="A37" t="s">
        <v>252</v>
      </c>
      <c r="B37" t="s">
        <v>898</v>
      </c>
      <c r="D37" s="45"/>
      <c r="E37" s="45"/>
      <c r="F37" s="8">
        <v>4</v>
      </c>
      <c r="G37" s="48">
        <v>28</v>
      </c>
      <c r="I37" s="46" t="e">
        <f>1-AzureSpecs[[#This Row],[MACPrice]]/AzureSpecs[[#This Row],[MAGPrice]]</f>
        <v>#DIV/0!</v>
      </c>
      <c r="J37" t="s">
        <v>729</v>
      </c>
      <c r="K37" s="47"/>
    </row>
    <row r="38" spans="1:11" x14ac:dyDescent="0.45">
      <c r="A38" t="s">
        <v>208</v>
      </c>
      <c r="B38" t="s">
        <v>728</v>
      </c>
      <c r="D38" s="45"/>
      <c r="E38" s="45"/>
      <c r="F38" s="8">
        <v>8</v>
      </c>
      <c r="G38" s="48">
        <v>56</v>
      </c>
      <c r="I38" s="46" t="e">
        <f>1-AzureSpecs[[#This Row],[MACPrice]]/AzureSpecs[[#This Row],[MAGPrice]]</f>
        <v>#DIV/0!</v>
      </c>
      <c r="J38" t="s">
        <v>729</v>
      </c>
      <c r="K38" s="47"/>
    </row>
    <row r="39" spans="1:11" x14ac:dyDescent="0.45">
      <c r="A39" t="s">
        <v>253</v>
      </c>
      <c r="B39" t="s">
        <v>899</v>
      </c>
      <c r="D39" s="45"/>
      <c r="E39" s="45"/>
      <c r="F39" s="8">
        <v>16</v>
      </c>
      <c r="G39" s="48">
        <v>128</v>
      </c>
      <c r="I39" s="46" t="e">
        <f>1-AzureSpecs[[#This Row],[MACPrice]]/AzureSpecs[[#This Row],[MAGPrice]]</f>
        <v>#DIV/0!</v>
      </c>
      <c r="J39" t="s">
        <v>729</v>
      </c>
      <c r="K39" s="47"/>
    </row>
    <row r="40" spans="1:11" x14ac:dyDescent="0.45">
      <c r="A40" t="s">
        <v>849</v>
      </c>
      <c r="B40" t="s">
        <v>850</v>
      </c>
      <c r="D40" s="45"/>
      <c r="E40" s="45"/>
      <c r="I40" s="47" t="e">
        <f>1-AzureSpecs[[#This Row],[MACPrice]]/AzureSpecs[[#This Row],[MAGPrice]]</f>
        <v>#DIV/0!</v>
      </c>
      <c r="K40" s="47"/>
    </row>
    <row r="41" spans="1:11" x14ac:dyDescent="0.45">
      <c r="A41" t="s">
        <v>845</v>
      </c>
      <c r="B41" t="s">
        <v>843</v>
      </c>
      <c r="D41" s="45"/>
      <c r="E41" s="45"/>
      <c r="I41" s="47" t="e">
        <f>1-AzureSpecs[[#This Row],[MACPrice]]/AzureSpecs[[#This Row],[MAGPrice]]</f>
        <v>#DIV/0!</v>
      </c>
      <c r="J41" t="s">
        <v>729</v>
      </c>
      <c r="K41" s="47"/>
    </row>
    <row r="42" spans="1:11" x14ac:dyDescent="0.45">
      <c r="A42" t="s">
        <v>204</v>
      </c>
      <c r="B42" t="s">
        <v>895</v>
      </c>
      <c r="D42" s="45"/>
      <c r="E42" s="45"/>
      <c r="F42" s="8">
        <v>2</v>
      </c>
      <c r="G42" s="48">
        <v>7</v>
      </c>
      <c r="I42" s="46" t="e">
        <f>1-AzureSpecs[[#This Row],[MACPrice]]/AzureSpecs[[#This Row],[MAGPrice]]</f>
        <v>#DIV/0!</v>
      </c>
      <c r="J42" t="s">
        <v>729</v>
      </c>
      <c r="K42" s="47"/>
    </row>
    <row r="43" spans="1:11" x14ac:dyDescent="0.45">
      <c r="A43" t="s">
        <v>846</v>
      </c>
      <c r="B43" t="s">
        <v>844</v>
      </c>
      <c r="D43" s="45"/>
      <c r="E43" s="45"/>
      <c r="I43" s="47" t="e">
        <f>1-AzureSpecs[[#This Row],[MACPrice]]/AzureSpecs[[#This Row],[MAGPrice]]</f>
        <v>#DIV/0!</v>
      </c>
      <c r="K43" s="47"/>
    </row>
    <row r="44" spans="1:11" x14ac:dyDescent="0.45">
      <c r="A44" t="s">
        <v>202</v>
      </c>
      <c r="B44" t="s">
        <v>900</v>
      </c>
      <c r="D44" s="45"/>
      <c r="E44" s="45"/>
      <c r="F44" s="8">
        <v>4</v>
      </c>
      <c r="G44" s="48">
        <v>14</v>
      </c>
      <c r="I44" s="46" t="e">
        <f>1-AzureSpecs[[#This Row],[MACPrice]]/AzureSpecs[[#This Row],[MAGPrice]]</f>
        <v>#DIV/0!</v>
      </c>
      <c r="J44" t="s">
        <v>729</v>
      </c>
      <c r="K44" s="47"/>
    </row>
    <row r="45" spans="1:11" x14ac:dyDescent="0.45">
      <c r="A45" t="s">
        <v>847</v>
      </c>
      <c r="B45" t="s">
        <v>848</v>
      </c>
      <c r="D45" s="45"/>
      <c r="E45" s="45"/>
      <c r="I45" s="47" t="e">
        <f>1-AzureSpecs[[#This Row],[MACPrice]]/AzureSpecs[[#This Row],[MAGPrice]]</f>
        <v>#DIV/0!</v>
      </c>
      <c r="K45" s="47"/>
    </row>
    <row r="46" spans="1:11" x14ac:dyDescent="0.45">
      <c r="A46" t="s">
        <v>684</v>
      </c>
      <c r="B46" t="s">
        <v>685</v>
      </c>
      <c r="D46" s="45"/>
      <c r="E46" s="45"/>
      <c r="I46" s="46" t="e">
        <f>1-AzureSpecs[[#This Row],[MACPrice]]/AzureSpecs[[#This Row],[MAGPrice]]</f>
        <v>#DIV/0!</v>
      </c>
      <c r="J46" t="s">
        <v>729</v>
      </c>
      <c r="K46" s="47"/>
    </row>
    <row r="47" spans="1:11" x14ac:dyDescent="0.45">
      <c r="A47" t="s">
        <v>205</v>
      </c>
      <c r="B47" t="s">
        <v>893</v>
      </c>
      <c r="D47" s="45"/>
      <c r="E47" s="45"/>
      <c r="F47" s="8">
        <v>8</v>
      </c>
      <c r="G47" s="48">
        <v>28</v>
      </c>
      <c r="I47" s="46" t="e">
        <f>1-AzureSpecs[[#This Row],[MACPrice]]/AzureSpecs[[#This Row],[MAGPrice]]</f>
        <v>#DIV/0!</v>
      </c>
      <c r="J47" t="s">
        <v>729</v>
      </c>
      <c r="K47" s="47"/>
    </row>
    <row r="48" spans="1:11" x14ac:dyDescent="0.45">
      <c r="A48" t="s">
        <v>927</v>
      </c>
      <c r="B48" t="s">
        <v>928</v>
      </c>
      <c r="D48" s="45"/>
      <c r="E48" s="45"/>
      <c r="F48" s="8">
        <v>16</v>
      </c>
      <c r="G48" s="48">
        <v>56</v>
      </c>
      <c r="I48" s="47" t="e">
        <f>1-AzureSpecs[[#This Row],[MACPrice]]/AzureSpecs[[#This Row],[MAGPrice]]</f>
        <v>#DIV/0!</v>
      </c>
      <c r="K48" s="47"/>
    </row>
    <row r="49" spans="1:13" x14ac:dyDescent="0.45">
      <c r="A49" t="s">
        <v>687</v>
      </c>
      <c r="B49" t="s">
        <v>740</v>
      </c>
      <c r="D49" s="45"/>
      <c r="E49" s="45"/>
      <c r="I49" s="46" t="e">
        <f>1-AzureSpecs[[#This Row],[MACPrice]]/AzureSpecs[[#This Row],[MAGPrice]]</f>
        <v>#DIV/0!</v>
      </c>
      <c r="J49" t="s">
        <v>729</v>
      </c>
      <c r="K49" s="47"/>
    </row>
    <row r="50" spans="1:13" x14ac:dyDescent="0.45">
      <c r="A50" t="s">
        <v>875</v>
      </c>
      <c r="B50" t="s">
        <v>876</v>
      </c>
      <c r="D50" s="45"/>
      <c r="E50" s="45"/>
      <c r="I50" s="47" t="e">
        <f>1-AzureSpecs[[#This Row],[MACPrice]]/AzureSpecs[[#This Row],[MAGPrice]]</f>
        <v>#DIV/0!</v>
      </c>
      <c r="K50" s="46"/>
      <c r="M50" t="s">
        <v>7</v>
      </c>
    </row>
    <row r="51" spans="1:13" x14ac:dyDescent="0.45">
      <c r="A51" t="s">
        <v>872</v>
      </c>
      <c r="B51" t="s">
        <v>880</v>
      </c>
      <c r="D51" s="45"/>
      <c r="E51" s="45"/>
      <c r="I51" s="47" t="e">
        <f>1-AzureSpecs[[#This Row],[MACPrice]]/AzureSpecs[[#This Row],[MAGPrice]]</f>
        <v>#DIV/0!</v>
      </c>
      <c r="K51" s="46"/>
    </row>
    <row r="52" spans="1:13" x14ac:dyDescent="0.45">
      <c r="A52" t="s">
        <v>873</v>
      </c>
      <c r="B52" t="s">
        <v>885</v>
      </c>
      <c r="D52" s="45"/>
      <c r="E52" s="45"/>
      <c r="I52" s="47" t="e">
        <f>1-AzureSpecs[[#This Row],[MACPrice]]/AzureSpecs[[#This Row],[MAGPrice]]</f>
        <v>#DIV/0!</v>
      </c>
      <c r="K52" s="46"/>
    </row>
    <row r="53" spans="1:13" x14ac:dyDescent="0.45">
      <c r="A53" t="s">
        <v>857</v>
      </c>
      <c r="B53" t="s">
        <v>858</v>
      </c>
      <c r="D53" s="45"/>
      <c r="E53" s="45"/>
      <c r="I53" s="46" t="e">
        <f>1-AzureSpecs[[#This Row],[MACPrice]]/AzureSpecs[[#This Row],[MAGPrice]]</f>
        <v>#DIV/0!</v>
      </c>
      <c r="K53" s="46"/>
    </row>
    <row r="54" spans="1:13" x14ac:dyDescent="0.45">
      <c r="A54" t="s">
        <v>857</v>
      </c>
      <c r="B54" t="s">
        <v>877</v>
      </c>
      <c r="D54" s="45"/>
      <c r="E54" s="45"/>
      <c r="I54" s="47" t="e">
        <f>1-AzureSpecs[[#This Row],[MACPrice]]/AzureSpecs[[#This Row],[MAGPrice]]</f>
        <v>#DIV/0!</v>
      </c>
      <c r="K54" s="46"/>
    </row>
    <row r="55" spans="1:13" x14ac:dyDescent="0.45">
      <c r="A55" t="s">
        <v>881</v>
      </c>
      <c r="B55" t="s">
        <v>882</v>
      </c>
      <c r="D55" s="45"/>
      <c r="E55" s="45"/>
      <c r="I55" s="47" t="e">
        <f>1-AzureSpecs[[#This Row],[MACPrice]]/AzureSpecs[[#This Row],[MAGPrice]]</f>
        <v>#DIV/0!</v>
      </c>
      <c r="K55" s="46"/>
    </row>
    <row r="56" spans="1:13" x14ac:dyDescent="0.45">
      <c r="A56" t="s">
        <v>862</v>
      </c>
      <c r="B56" t="s">
        <v>874</v>
      </c>
      <c r="D56" s="45"/>
      <c r="E56" s="45"/>
      <c r="I56" s="47" t="e">
        <f>1-AzureSpecs[[#This Row],[MACPrice]]/AzureSpecs[[#This Row],[MAGPrice]]</f>
        <v>#DIV/0!</v>
      </c>
      <c r="K56" s="46"/>
    </row>
    <row r="57" spans="1:13" x14ac:dyDescent="0.45">
      <c r="A57" t="s">
        <v>878</v>
      </c>
      <c r="B57" t="s">
        <v>879</v>
      </c>
      <c r="D57" s="45"/>
      <c r="E57" s="45"/>
      <c r="I57" s="47" t="e">
        <f>1-AzureSpecs[[#This Row],[MACPrice]]/AzureSpecs[[#This Row],[MAGPrice]]</f>
        <v>#DIV/0!</v>
      </c>
      <c r="K57" s="46"/>
    </row>
    <row r="58" spans="1:13" x14ac:dyDescent="0.45">
      <c r="A58" t="s">
        <v>883</v>
      </c>
      <c r="B58" t="s">
        <v>884</v>
      </c>
      <c r="D58" s="45"/>
      <c r="E58" s="45"/>
      <c r="I58" s="47" t="e">
        <f>1-AzureSpecs[[#This Row],[MACPrice]]/AzureSpecs[[#This Row],[MAGPrice]]</f>
        <v>#DIV/0!</v>
      </c>
      <c r="K58" s="46"/>
    </row>
    <row r="59" spans="1:13" x14ac:dyDescent="0.45">
      <c r="A59" t="s">
        <v>865</v>
      </c>
      <c r="B59" t="s">
        <v>866</v>
      </c>
      <c r="D59" s="45"/>
      <c r="E59" s="45"/>
      <c r="I59" s="47" t="e">
        <f>1-AzureSpecs[[#This Row],[MACPrice]]/AzureSpecs[[#This Row],[MAGPrice]]</f>
        <v>#DIV/0!</v>
      </c>
      <c r="K59" s="46"/>
    </row>
    <row r="60" spans="1:13" x14ac:dyDescent="0.45">
      <c r="A60" t="s">
        <v>675</v>
      </c>
      <c r="B60" t="s">
        <v>676</v>
      </c>
      <c r="D60" s="45"/>
      <c r="E60" s="45"/>
      <c r="I60" s="46" t="e">
        <f>1-AzureSpecs[[#This Row],[MACPrice]]/AzureSpecs[[#This Row],[MAGPrice]]</f>
        <v>#DIV/0!</v>
      </c>
      <c r="J60" t="s">
        <v>729</v>
      </c>
      <c r="K60" s="46"/>
    </row>
    <row r="61" spans="1:13" x14ac:dyDescent="0.45">
      <c r="A61" t="s">
        <v>835</v>
      </c>
      <c r="B61" t="s">
        <v>836</v>
      </c>
      <c r="D61" s="45"/>
      <c r="E61" s="45"/>
      <c r="I61" s="46" t="e">
        <f>1-AzureSpecs[[#This Row],[MACPrice]]/AzureSpecs[[#This Row],[MAGPrice]]</f>
        <v>#DIV/0!</v>
      </c>
      <c r="K61" s="46"/>
    </row>
    <row r="62" spans="1:13" x14ac:dyDescent="0.45">
      <c r="A62" t="s">
        <v>673</v>
      </c>
      <c r="B62" t="s">
        <v>674</v>
      </c>
      <c r="D62" s="45"/>
      <c r="E62" s="45"/>
      <c r="I62" s="46" t="e">
        <f>1-AzureSpecs[[#This Row],[MACPrice]]/AzureSpecs[[#This Row],[MAGPrice]]</f>
        <v>#DIV/0!</v>
      </c>
      <c r="J62" t="s">
        <v>729</v>
      </c>
      <c r="K62" s="46"/>
    </row>
    <row r="63" spans="1:13" x14ac:dyDescent="0.45">
      <c r="A63" t="s">
        <v>673</v>
      </c>
      <c r="B63" t="s">
        <v>674</v>
      </c>
      <c r="D63" s="45"/>
      <c r="E63" s="45"/>
      <c r="I63" s="47" t="e">
        <f>1-AzureSpecs[[#This Row],[MACPrice]]/AzureSpecs[[#This Row],[MAGPrice]]</f>
        <v>#DIV/0!</v>
      </c>
      <c r="K63" s="46"/>
    </row>
    <row r="64" spans="1:13" x14ac:dyDescent="0.45">
      <c r="A64" t="s">
        <v>867</v>
      </c>
      <c r="B64" t="s">
        <v>868</v>
      </c>
      <c r="D64" s="45"/>
      <c r="E64" s="45"/>
      <c r="I64" s="47" t="e">
        <f>1-AzureSpecs[[#This Row],[MACPrice]]/AzureSpecs[[#This Row],[MAGPrice]]</f>
        <v>#DIV/0!</v>
      </c>
      <c r="K64" s="46"/>
    </row>
    <row r="65" spans="1:11" x14ac:dyDescent="0.45">
      <c r="A65" t="s">
        <v>864</v>
      </c>
      <c r="B65" t="s">
        <v>863</v>
      </c>
      <c r="D65" s="45"/>
      <c r="E65" s="45"/>
      <c r="I65" s="46" t="e">
        <f>1-AzureSpecs[[#This Row],[MACPrice]]/AzureSpecs[[#This Row],[MAGPrice]]</f>
        <v>#DIV/0!</v>
      </c>
      <c r="K65" s="46"/>
    </row>
    <row r="66" spans="1:11" x14ac:dyDescent="0.45">
      <c r="A66" t="s">
        <v>860</v>
      </c>
      <c r="B66" t="s">
        <v>861</v>
      </c>
      <c r="D66" s="45"/>
      <c r="E66" s="45"/>
      <c r="I66" s="46" t="e">
        <f>1-AzureSpecs[[#This Row],[MACPrice]]/AzureSpecs[[#This Row],[MAGPrice]]</f>
        <v>#DIV/0!</v>
      </c>
      <c r="K66" s="46"/>
    </row>
    <row r="67" spans="1:11" x14ac:dyDescent="0.45">
      <c r="A67" t="s">
        <v>869</v>
      </c>
      <c r="B67" t="s">
        <v>870</v>
      </c>
      <c r="D67" s="45"/>
      <c r="E67" s="45"/>
      <c r="I67" s="47" t="e">
        <f>1-AzureSpecs[[#This Row],[MACPrice]]/AzureSpecs[[#This Row],[MAGPrice]]</f>
        <v>#DIV/0!</v>
      </c>
      <c r="K67" s="46"/>
    </row>
    <row r="68" spans="1:11" x14ac:dyDescent="0.45">
      <c r="A68" t="s">
        <v>859</v>
      </c>
      <c r="B68" t="s">
        <v>871</v>
      </c>
      <c r="D68" s="45"/>
      <c r="E68" s="45"/>
      <c r="I68" s="46" t="e">
        <f>1-AzureSpecs[[#This Row],[MACPrice]]/AzureSpecs[[#This Row],[MAGPrice]]</f>
        <v>#DIV/0!</v>
      </c>
      <c r="K68" s="46"/>
    </row>
    <row r="69" spans="1:11" x14ac:dyDescent="0.45">
      <c r="A69" t="s">
        <v>661</v>
      </c>
      <c r="B69" t="s">
        <v>662</v>
      </c>
      <c r="D69" s="45"/>
      <c r="E69" s="45"/>
      <c r="F69" s="8">
        <v>2</v>
      </c>
      <c r="G69" s="48">
        <v>28</v>
      </c>
      <c r="I69" s="46" t="e">
        <f>1-AzureSpecs[[#This Row],[MACPrice]]/AzureSpecs[[#This Row],[MAGPrice]]</f>
        <v>#DIV/0!</v>
      </c>
      <c r="J69" t="s">
        <v>729</v>
      </c>
      <c r="K69" s="46"/>
    </row>
    <row r="70" spans="1:11" x14ac:dyDescent="0.45">
      <c r="A70" t="s">
        <v>224</v>
      </c>
      <c r="B70" t="s">
        <v>660</v>
      </c>
      <c r="D70" s="45"/>
      <c r="E70" s="45"/>
      <c r="F70" s="8">
        <v>4</v>
      </c>
      <c r="G70" s="48">
        <v>56</v>
      </c>
      <c r="I70" s="46" t="e">
        <f>1-AzureSpecs[[#This Row],[MACPrice]]/AzureSpecs[[#This Row],[MAGPrice]]</f>
        <v>#DIV/0!</v>
      </c>
      <c r="J70" t="s">
        <v>729</v>
      </c>
      <c r="K70" s="46"/>
    </row>
    <row r="71" spans="1:11" x14ac:dyDescent="0.45">
      <c r="A71" t="s">
        <v>663</v>
      </c>
      <c r="B71" t="s">
        <v>664</v>
      </c>
      <c r="D71" s="45"/>
      <c r="E71" s="45"/>
      <c r="F71" s="8">
        <v>8</v>
      </c>
      <c r="G71" s="48">
        <v>112</v>
      </c>
      <c r="I71" s="46" t="e">
        <f>1-AzureSpecs[[#This Row],[MACPrice]]/AzureSpecs[[#This Row],[MAGPrice]]</f>
        <v>#DIV/0!</v>
      </c>
      <c r="J71" t="s">
        <v>729</v>
      </c>
      <c r="K71" s="46"/>
    </row>
    <row r="72" spans="1:11" x14ac:dyDescent="0.45">
      <c r="A72" t="s">
        <v>665</v>
      </c>
      <c r="B72" t="s">
        <v>666</v>
      </c>
      <c r="D72" s="45"/>
      <c r="E72" s="45"/>
      <c r="F72" s="8">
        <v>16</v>
      </c>
      <c r="G72" s="48">
        <v>224</v>
      </c>
      <c r="I72" s="46" t="e">
        <f>1-AzureSpecs[[#This Row],[MACPrice]]/AzureSpecs[[#This Row],[MAGPrice]]</f>
        <v>#DIV/0!</v>
      </c>
      <c r="J72" t="s">
        <v>729</v>
      </c>
      <c r="K72" s="46"/>
    </row>
    <row r="73" spans="1:11" x14ac:dyDescent="0.45">
      <c r="A73" t="s">
        <v>667</v>
      </c>
      <c r="B73" t="s">
        <v>668</v>
      </c>
      <c r="D73" s="45"/>
      <c r="E73" s="45"/>
      <c r="F73" s="8">
        <v>32</v>
      </c>
      <c r="G73" s="48">
        <v>448</v>
      </c>
      <c r="I73" s="46" t="e">
        <f>1-AzureSpecs[[#This Row],[MACPrice]]/AzureSpecs[[#This Row],[MAGPrice]]</f>
        <v>#DIV/0!</v>
      </c>
      <c r="J73" t="s">
        <v>729</v>
      </c>
      <c r="K73" s="46"/>
    </row>
    <row r="74" spans="1:11" x14ac:dyDescent="0.45">
      <c r="A74" t="s">
        <v>658</v>
      </c>
      <c r="B74" t="s">
        <v>738</v>
      </c>
      <c r="C74" s="14">
        <v>0.999</v>
      </c>
      <c r="D74" s="45"/>
      <c r="E74" s="45"/>
      <c r="I74" s="46" t="e">
        <f>1-AzureSpecs[[#This Row],[MACPrice]]/AzureSpecs[[#This Row],[MAGPrice]]</f>
        <v>#DIV/0!</v>
      </c>
      <c r="J74" t="s">
        <v>729</v>
      </c>
      <c r="K74" s="46"/>
    </row>
    <row r="75" spans="1:11" x14ac:dyDescent="0.45">
      <c r="A75" t="s">
        <v>655</v>
      </c>
      <c r="B75" t="s">
        <v>735</v>
      </c>
      <c r="C75" s="14">
        <v>0.999</v>
      </c>
      <c r="D75" s="45"/>
      <c r="E75" s="45"/>
      <c r="I75" s="46" t="e">
        <f>1-AzureSpecs[[#This Row],[MACPrice]]/AzureSpecs[[#This Row],[MAGPrice]]</f>
        <v>#DIV/0!</v>
      </c>
      <c r="J75" t="s">
        <v>729</v>
      </c>
      <c r="K75" s="46"/>
    </row>
    <row r="76" spans="1:11" x14ac:dyDescent="0.45">
      <c r="A76" t="s">
        <v>659</v>
      </c>
      <c r="B76" t="s">
        <v>739</v>
      </c>
      <c r="C76" s="14">
        <v>0.99990000000000001</v>
      </c>
      <c r="D76" s="45"/>
      <c r="E76" s="45"/>
      <c r="I76" s="46" t="e">
        <f>1-AzureSpecs[[#This Row],[MACPrice]]/AzureSpecs[[#This Row],[MAGPrice]]</f>
        <v>#DIV/0!</v>
      </c>
      <c r="J76" t="s">
        <v>729</v>
      </c>
      <c r="K76" s="46"/>
    </row>
    <row r="77" spans="1:11" x14ac:dyDescent="0.45">
      <c r="A77" t="s">
        <v>656</v>
      </c>
      <c r="B77" t="s">
        <v>736</v>
      </c>
      <c r="C77" s="14">
        <v>0.99990000000000001</v>
      </c>
      <c r="D77" s="45"/>
      <c r="E77" s="45"/>
      <c r="I77" s="46" t="e">
        <f>1-AzureSpecs[[#This Row],[MACPrice]]/AzureSpecs[[#This Row],[MAGPrice]]</f>
        <v>#DIV/0!</v>
      </c>
      <c r="J77" t="s">
        <v>729</v>
      </c>
      <c r="K77" s="46"/>
    </row>
    <row r="78" spans="1:11" x14ac:dyDescent="0.45">
      <c r="A78" t="s">
        <v>657</v>
      </c>
      <c r="B78" t="s">
        <v>737</v>
      </c>
      <c r="C78" s="14">
        <v>0.999</v>
      </c>
      <c r="D78" s="45"/>
      <c r="E78" s="45"/>
      <c r="I78" s="46" t="e">
        <f>1-AzureSpecs[[#This Row],[MACPrice]]/AzureSpecs[[#This Row],[MAGPrice]]</f>
        <v>#DIV/0!</v>
      </c>
      <c r="J78" t="s">
        <v>729</v>
      </c>
      <c r="K78" s="46"/>
    </row>
    <row r="79" spans="1:11" x14ac:dyDescent="0.45">
      <c r="A79" t="s">
        <v>888</v>
      </c>
      <c r="B79" t="s">
        <v>889</v>
      </c>
      <c r="D79" s="45"/>
      <c r="E79" s="45"/>
      <c r="I79" s="47" t="e">
        <f>1-AzureSpecs[[#This Row],[MACPrice]]/AzureSpecs[[#This Row],[MAGPrice]]</f>
        <v>#DIV/0!</v>
      </c>
      <c r="K79" s="46"/>
    </row>
    <row r="80" spans="1:11" x14ac:dyDescent="0.45">
      <c r="A80" t="s">
        <v>890</v>
      </c>
      <c r="B80" t="s">
        <v>891</v>
      </c>
      <c r="D80" s="45"/>
      <c r="E80" s="45"/>
      <c r="I80" s="47" t="e">
        <f>1-AzureSpecs[[#This Row],[MACPrice]]/AzureSpecs[[#This Row],[MAGPrice]]</f>
        <v>#DIV/0!</v>
      </c>
      <c r="K80" s="46"/>
    </row>
    <row r="81" spans="1:11" x14ac:dyDescent="0.45">
      <c r="A81" t="s">
        <v>654</v>
      </c>
      <c r="B81" t="s">
        <v>734</v>
      </c>
      <c r="C81" s="14">
        <v>0.999</v>
      </c>
      <c r="D81" s="45"/>
      <c r="E81" s="45"/>
      <c r="I81" s="46" t="e">
        <f>1-AzureSpecs[[#This Row],[MACPrice]]/AzureSpecs[[#This Row],[MAGPrice]]</f>
        <v>#DIV/0!</v>
      </c>
      <c r="J81" t="s">
        <v>729</v>
      </c>
      <c r="K81" s="46"/>
    </row>
    <row r="82" spans="1:11" x14ac:dyDescent="0.45">
      <c r="A82" t="s">
        <v>136</v>
      </c>
      <c r="B82" t="s">
        <v>137</v>
      </c>
      <c r="D82" s="45"/>
      <c r="E82" s="45"/>
      <c r="I82" s="46" t="e">
        <f>1-AzureSpecs[[#This Row],[MACPrice]]/AzureSpecs[[#This Row],[MAGPrice]]</f>
        <v>#DIV/0!</v>
      </c>
      <c r="J82" t="s">
        <v>729</v>
      </c>
      <c r="K82" s="46"/>
    </row>
    <row r="83" spans="1:11" x14ac:dyDescent="0.45">
      <c r="A83" t="s">
        <v>138</v>
      </c>
      <c r="B83" t="s">
        <v>139</v>
      </c>
      <c r="D83" s="45"/>
      <c r="E83" s="45"/>
      <c r="I83" s="46" t="e">
        <f>1-AzureSpecs[[#This Row],[MACPrice]]/AzureSpecs[[#This Row],[MAGPrice]]</f>
        <v>#DIV/0!</v>
      </c>
      <c r="J83" t="s">
        <v>729</v>
      </c>
      <c r="K83" s="46"/>
    </row>
    <row r="84" spans="1:11" x14ac:dyDescent="0.45">
      <c r="A84" t="s">
        <v>140</v>
      </c>
      <c r="B84" t="s">
        <v>141</v>
      </c>
      <c r="D84" s="45"/>
      <c r="E84" s="45"/>
      <c r="I84" s="46" t="e">
        <f>1-AzureSpecs[[#This Row],[MACPrice]]/AzureSpecs[[#This Row],[MAGPrice]]</f>
        <v>#DIV/0!</v>
      </c>
      <c r="J84" t="s">
        <v>729</v>
      </c>
      <c r="K84" s="47"/>
    </row>
    <row r="85" spans="1:11" x14ac:dyDescent="0.45">
      <c r="A85" t="s">
        <v>840</v>
      </c>
      <c r="B85" t="s">
        <v>841</v>
      </c>
      <c r="D85" s="45"/>
      <c r="E85" s="45"/>
      <c r="I85" s="47" t="e">
        <f>1-AzureSpecs[[#This Row],[MACPrice]]/AzureSpecs[[#This Row],[MAGPrice]]</f>
        <v>#DIV/0!</v>
      </c>
      <c r="K85" s="47"/>
    </row>
    <row r="86" spans="1:11" x14ac:dyDescent="0.45">
      <c r="A86" t="s">
        <v>838</v>
      </c>
      <c r="B86" t="s">
        <v>839</v>
      </c>
      <c r="D86" s="45"/>
      <c r="E86" s="45"/>
      <c r="I86" s="47" t="e">
        <f>1-AzureSpecs[[#This Row],[MACPrice]]/AzureSpecs[[#This Row],[MAGPrice]]</f>
        <v>#DIV/0!</v>
      </c>
      <c r="K86" s="47"/>
    </row>
    <row r="87" spans="1:11" x14ac:dyDescent="0.45">
      <c r="A87" t="s">
        <v>901</v>
      </c>
      <c r="B87" t="s">
        <v>902</v>
      </c>
      <c r="D87" s="45"/>
      <c r="E87" s="45"/>
      <c r="I87" s="47" t="e">
        <f>1-AzureSpecs[[#This Row],[MACPrice]]/AzureSpecs[[#This Row],[MAGPrice]]</f>
        <v>#DIV/0!</v>
      </c>
      <c r="K87" s="47"/>
    </row>
    <row r="88" spans="1:11" x14ac:dyDescent="0.45">
      <c r="A88" t="s">
        <v>930</v>
      </c>
      <c r="B88" t="s">
        <v>894</v>
      </c>
      <c r="D88" s="45"/>
      <c r="E88" s="45"/>
      <c r="I88" s="47" t="e">
        <f>1-AzureSpecs[[#This Row],[MACPrice]]/AzureSpecs[[#This Row],[MAGPrice]]</f>
        <v>#DIV/0!</v>
      </c>
      <c r="K88" s="46"/>
    </row>
    <row r="89" spans="1:11" x14ac:dyDescent="0.45">
      <c r="A89" t="s">
        <v>886</v>
      </c>
      <c r="B89" t="s">
        <v>887</v>
      </c>
      <c r="D89" s="45"/>
      <c r="E89" s="45"/>
      <c r="I89" s="47" t="e">
        <f>1-AzureSpecs[[#This Row],[MACPrice]]/AzureSpecs[[#This Row],[MAGPrice]]</f>
        <v>#DIV/0!</v>
      </c>
      <c r="K89" s="46"/>
    </row>
    <row r="90" spans="1:11" x14ac:dyDescent="0.45">
      <c r="A90" t="s">
        <v>144</v>
      </c>
      <c r="B90" t="s">
        <v>142</v>
      </c>
      <c r="C90" s="14">
        <v>0.999</v>
      </c>
      <c r="D90" s="45"/>
      <c r="E90" s="45"/>
      <c r="I90" s="46" t="e">
        <f>1-AzureSpecs[[#This Row],[MACPrice]]/AzureSpecs[[#This Row],[MAGPrice]]</f>
        <v>#DIV/0!</v>
      </c>
      <c r="J90" t="s">
        <v>729</v>
      </c>
      <c r="K90" s="46"/>
    </row>
    <row r="91" spans="1:11" x14ac:dyDescent="0.45">
      <c r="A91" t="s">
        <v>145</v>
      </c>
      <c r="B91" t="s">
        <v>143</v>
      </c>
      <c r="C91" s="14">
        <v>0.99990000000000001</v>
      </c>
      <c r="D91" s="45"/>
      <c r="E91" s="45"/>
      <c r="I91" s="46" t="e">
        <f>1-AzureSpecs[[#This Row],[MACPrice]]/AzureSpecs[[#This Row],[MAGPrice]]</f>
        <v>#DIV/0!</v>
      </c>
      <c r="J91" t="s">
        <v>729</v>
      </c>
      <c r="K91" s="46"/>
    </row>
    <row r="92" spans="1:11" x14ac:dyDescent="0.45">
      <c r="A92" t="s">
        <v>146</v>
      </c>
      <c r="B92" t="s">
        <v>147</v>
      </c>
      <c r="D92" s="45"/>
      <c r="E92" s="45"/>
      <c r="I92" s="46" t="e">
        <f>1-AzureSpecs[[#This Row],[MACPrice]]/AzureSpecs[[#This Row],[MAGPrice]]</f>
        <v>#DIV/0!</v>
      </c>
      <c r="J92" t="s">
        <v>729</v>
      </c>
      <c r="K92" s="46"/>
    </row>
    <row r="93" spans="1:11" x14ac:dyDescent="0.45">
      <c r="A93" t="s">
        <v>188</v>
      </c>
      <c r="B93" t="s">
        <v>189</v>
      </c>
      <c r="D93" s="45"/>
      <c r="E93" s="45"/>
      <c r="F93" s="8">
        <v>0</v>
      </c>
      <c r="G93" s="48">
        <v>0</v>
      </c>
      <c r="I93" s="46" t="e">
        <f>1-AzureSpecs[[#This Row],[MACPrice]]/AzureSpecs[[#This Row],[MAGPrice]]</f>
        <v>#DIV/0!</v>
      </c>
      <c r="J93" t="s">
        <v>729</v>
      </c>
      <c r="K93" s="46"/>
    </row>
    <row r="94" spans="1:11" x14ac:dyDescent="0.45">
      <c r="A94" t="s">
        <v>686</v>
      </c>
      <c r="B94" t="s">
        <v>741</v>
      </c>
      <c r="D94" s="45"/>
      <c r="E94" s="45"/>
      <c r="I94" s="46" t="e">
        <f>1-AzureSpecs[[#This Row],[MACPrice]]/AzureSpecs[[#This Row],[MAGPrice]]</f>
        <v>#DIV/0!</v>
      </c>
      <c r="J94" t="s">
        <v>729</v>
      </c>
      <c r="K94" s="46"/>
    </row>
    <row r="95" spans="1:11" x14ac:dyDescent="0.45">
      <c r="A95" t="s">
        <v>191</v>
      </c>
      <c r="B95" t="s">
        <v>190</v>
      </c>
      <c r="D95" s="45"/>
      <c r="E95" s="45"/>
      <c r="I95" s="46" t="e">
        <f>1-AzureSpecs[[#This Row],[MACPrice]]/AzureSpecs[[#This Row],[MAGPrice]]</f>
        <v>#DIV/0!</v>
      </c>
      <c r="J95" t="s">
        <v>729</v>
      </c>
      <c r="K95" s="46"/>
    </row>
    <row r="96" spans="1:11" x14ac:dyDescent="0.45">
      <c r="A96" t="s">
        <v>710</v>
      </c>
      <c r="B96" t="s">
        <v>716</v>
      </c>
      <c r="D96" s="45"/>
      <c r="E96" s="45"/>
      <c r="I96" s="46" t="e">
        <f>1-AzureSpecs[[#This Row],[MACPrice]]/AzureSpecs[[#This Row],[MAGPrice]]</f>
        <v>#DIV/0!</v>
      </c>
      <c r="J96" t="s">
        <v>729</v>
      </c>
      <c r="K96" s="46"/>
    </row>
    <row r="97" spans="1:11" x14ac:dyDescent="0.45">
      <c r="A97" t="s">
        <v>717</v>
      </c>
      <c r="B97" t="s">
        <v>722</v>
      </c>
      <c r="D97" s="45"/>
      <c r="E97" s="45"/>
      <c r="I97" s="47" t="e">
        <f>1-AzureSpecs[[#This Row],[MACPrice]]/AzureSpecs[[#This Row],[MAGPrice]]</f>
        <v>#DIV/0!</v>
      </c>
      <c r="J97" t="s">
        <v>729</v>
      </c>
      <c r="K97" s="46"/>
    </row>
    <row r="98" spans="1:11" x14ac:dyDescent="0.45">
      <c r="A98" t="s">
        <v>725</v>
      </c>
      <c r="B98" t="s">
        <v>727</v>
      </c>
      <c r="C98" s="14">
        <v>0.999</v>
      </c>
      <c r="D98" s="45"/>
      <c r="E98" s="45"/>
      <c r="I98" s="46" t="e">
        <f>1-AzureSpecs[[#This Row],[MACPrice]]/AzureSpecs[[#This Row],[MAGPrice]]</f>
        <v>#DIV/0!</v>
      </c>
      <c r="J98" t="s">
        <v>729</v>
      </c>
      <c r="K98" s="46"/>
    </row>
    <row r="99" spans="1:11" x14ac:dyDescent="0.45">
      <c r="A99" t="s">
        <v>723</v>
      </c>
      <c r="B99" t="s">
        <v>726</v>
      </c>
      <c r="D99" s="45"/>
      <c r="E99" s="45"/>
      <c r="I99" s="47" t="e">
        <f>1-AzureSpecs[[#This Row],[MACPrice]]/AzureSpecs[[#This Row],[MAGPrice]]</f>
        <v>#DIV/0!</v>
      </c>
      <c r="J99" t="s">
        <v>729</v>
      </c>
      <c r="K99" s="46"/>
    </row>
    <row r="100" spans="1:11" x14ac:dyDescent="0.45">
      <c r="A100" t="s">
        <v>715</v>
      </c>
      <c r="B100" t="s">
        <v>727</v>
      </c>
      <c r="D100" s="45"/>
      <c r="E100" s="45"/>
      <c r="I100" s="46" t="e">
        <f>1-AzureSpecs[[#This Row],[MACPrice]]/AzureSpecs[[#This Row],[MAGPrice]]</f>
        <v>#DIV/0!</v>
      </c>
      <c r="J100" t="s">
        <v>729</v>
      </c>
      <c r="K100" s="46"/>
    </row>
    <row r="101" spans="1:11" x14ac:dyDescent="0.45">
      <c r="A101" t="s">
        <v>724</v>
      </c>
      <c r="B101" t="s">
        <v>727</v>
      </c>
      <c r="D101" s="45"/>
      <c r="E101" s="45"/>
      <c r="I101" s="46" t="e">
        <f>1-AzureSpecs[[#This Row],[MACPrice]]/AzureSpecs[[#This Row],[MAGPrice]]</f>
        <v>#DIV/0!</v>
      </c>
      <c r="J101" t="s">
        <v>729</v>
      </c>
      <c r="K101" s="46"/>
    </row>
    <row r="102" spans="1:11" x14ac:dyDescent="0.45">
      <c r="A102" t="s">
        <v>711</v>
      </c>
      <c r="B102" t="s">
        <v>718</v>
      </c>
      <c r="D102" s="45"/>
      <c r="E102" s="45"/>
      <c r="I102" s="46" t="e">
        <f>1-AzureSpecs[[#This Row],[MACPrice]]/AzureSpecs[[#This Row],[MAGPrice]]</f>
        <v>#DIV/0!</v>
      </c>
      <c r="J102" t="s">
        <v>729</v>
      </c>
      <c r="K102" s="46"/>
    </row>
    <row r="103" spans="1:11" x14ac:dyDescent="0.45">
      <c r="A103" t="s">
        <v>712</v>
      </c>
      <c r="B103" t="s">
        <v>719</v>
      </c>
      <c r="D103" s="45"/>
      <c r="E103" s="45"/>
      <c r="I103" s="46" t="e">
        <f>1-AzureSpecs[[#This Row],[MACPrice]]/AzureSpecs[[#This Row],[MAGPrice]]</f>
        <v>#DIV/0!</v>
      </c>
      <c r="J103" t="s">
        <v>729</v>
      </c>
      <c r="K103" s="46"/>
    </row>
    <row r="104" spans="1:11" x14ac:dyDescent="0.45">
      <c r="A104" t="s">
        <v>713</v>
      </c>
      <c r="B104" t="s">
        <v>720</v>
      </c>
      <c r="D104" s="45"/>
      <c r="E104" s="45"/>
      <c r="I104" s="47" t="e">
        <f>1-AzureSpecs[[#This Row],[MACPrice]]/AzureSpecs[[#This Row],[MAGPrice]]</f>
        <v>#DIV/0!</v>
      </c>
      <c r="J104" t="s">
        <v>729</v>
      </c>
      <c r="K104" s="46"/>
    </row>
    <row r="105" spans="1:11" x14ac:dyDescent="0.45">
      <c r="A105" t="s">
        <v>714</v>
      </c>
      <c r="B105" t="s">
        <v>721</v>
      </c>
      <c r="D105" s="45"/>
      <c r="E105" s="45"/>
      <c r="I105" s="47" t="e">
        <f>1-AzureSpecs[[#This Row],[MACPrice]]/AzureSpecs[[#This Row],[MAGPrice]]</f>
        <v>#DIV/0!</v>
      </c>
      <c r="J105" t="s">
        <v>729</v>
      </c>
      <c r="K105" s="46"/>
    </row>
    <row r="106" spans="1:11" x14ac:dyDescent="0.45">
      <c r="A106" t="s">
        <v>678</v>
      </c>
      <c r="B106" t="s">
        <v>679</v>
      </c>
      <c r="D106" s="45"/>
      <c r="E106" s="45"/>
      <c r="I106" s="46" t="e">
        <f>1-AzureSpecs[[#This Row],[MACPrice]]/AzureSpecs[[#This Row],[MAGPrice]]</f>
        <v>#DIV/0!</v>
      </c>
      <c r="J106" t="s">
        <v>729</v>
      </c>
      <c r="K106" s="46"/>
    </row>
    <row r="107" spans="1:11" x14ac:dyDescent="0.45">
      <c r="A107" t="s">
        <v>680</v>
      </c>
      <c r="B107" t="s">
        <v>681</v>
      </c>
      <c r="D107" s="45"/>
      <c r="E107" s="45"/>
      <c r="I107" s="46" t="e">
        <f>1-AzureSpecs[[#This Row],[MACPrice]]/AzureSpecs[[#This Row],[MAGPrice]]</f>
        <v>#DIV/0!</v>
      </c>
      <c r="J107" t="s">
        <v>729</v>
      </c>
      <c r="K107" s="46"/>
    </row>
    <row r="108" spans="1:11" x14ac:dyDescent="0.45">
      <c r="A108" t="s">
        <v>682</v>
      </c>
      <c r="B108" t="s">
        <v>683</v>
      </c>
      <c r="D108" s="45"/>
      <c r="E108" s="45"/>
      <c r="I108" s="46" t="e">
        <f>1-AzureSpecs[[#This Row],[MACPrice]]/AzureSpecs[[#This Row],[MAGPrice]]</f>
        <v>#DIV/0!</v>
      </c>
      <c r="J108" t="s">
        <v>729</v>
      </c>
      <c r="K108" s="46"/>
    </row>
    <row r="109" spans="1:11" x14ac:dyDescent="0.45">
      <c r="A109" t="s">
        <v>677</v>
      </c>
      <c r="B109" t="s">
        <v>692</v>
      </c>
      <c r="D109" s="45"/>
      <c r="E109" s="45"/>
      <c r="I109" s="46" t="e">
        <f>1-AzureSpecs[[#This Row],[MACPrice]]/AzureSpecs[[#This Row],[MAGPrice]]</f>
        <v>#DIV/0!</v>
      </c>
      <c r="J109" t="s">
        <v>729</v>
      </c>
      <c r="K109" s="46"/>
    </row>
    <row r="110" spans="1:11" x14ac:dyDescent="0.45">
      <c r="A110" t="s">
        <v>187</v>
      </c>
      <c r="B110" t="s">
        <v>155</v>
      </c>
      <c r="D110" s="45"/>
      <c r="E110" s="45"/>
      <c r="I110" s="46" t="e">
        <f>1-AzureSpecs[[#This Row],[MACPrice]]/AzureSpecs[[#This Row],[MAGPrice]]</f>
        <v>#DIV/0!</v>
      </c>
      <c r="J110" t="s">
        <v>729</v>
      </c>
      <c r="K110" s="46"/>
    </row>
    <row r="111" spans="1:11" x14ac:dyDescent="0.45">
      <c r="A111" t="s">
        <v>132</v>
      </c>
      <c r="B111" t="s">
        <v>133</v>
      </c>
      <c r="D111" s="45"/>
      <c r="E111" s="45"/>
      <c r="I111" s="46" t="e">
        <f>1-AzureSpecs[[#This Row],[MACPrice]]/AzureSpecs[[#This Row],[MAGPrice]]</f>
        <v>#DIV/0!</v>
      </c>
      <c r="J111" t="s">
        <v>729</v>
      </c>
      <c r="K111" s="46"/>
    </row>
    <row r="112" spans="1:11" x14ac:dyDescent="0.45">
      <c r="A112" t="s">
        <v>134</v>
      </c>
      <c r="B112" t="s">
        <v>135</v>
      </c>
      <c r="D112" s="45"/>
      <c r="E112" s="45"/>
      <c r="I112" s="46" t="e">
        <f>1-AzureSpecs[[#This Row],[MACPrice]]/AzureSpecs[[#This Row],[MAGPrice]]</f>
        <v>#DIV/0!</v>
      </c>
      <c r="J112" t="s">
        <v>729</v>
      </c>
      <c r="K112" s="46"/>
    </row>
    <row r="113" spans="1:11" x14ac:dyDescent="0.45">
      <c r="A113" t="s">
        <v>700</v>
      </c>
      <c r="B113" t="s">
        <v>130</v>
      </c>
      <c r="D113" s="45"/>
      <c r="E113" s="45"/>
      <c r="I113" s="46" t="e">
        <f>1-AzureSpecs[[#This Row],[MACPrice]]/AzureSpecs[[#This Row],[MAGPrice]]</f>
        <v>#DIV/0!</v>
      </c>
      <c r="J113" t="s">
        <v>729</v>
      </c>
      <c r="K113" s="46"/>
    </row>
    <row r="114" spans="1:11" x14ac:dyDescent="0.45">
      <c r="A114" t="s">
        <v>742</v>
      </c>
      <c r="B114" t="s">
        <v>130</v>
      </c>
      <c r="D114" s="45"/>
      <c r="E114" s="45"/>
      <c r="I114" s="47" t="e">
        <f>1-AzureSpecs[[#This Row],[MACPrice]]/AzureSpecs[[#This Row],[MAGPrice]]</f>
        <v>#DIV/0!</v>
      </c>
      <c r="K114" s="46"/>
    </row>
    <row r="115" spans="1:11" x14ac:dyDescent="0.45">
      <c r="A115" t="s">
        <v>743</v>
      </c>
      <c r="B115" t="s">
        <v>130</v>
      </c>
      <c r="D115" s="45"/>
      <c r="E115" s="45"/>
      <c r="I115" s="47" t="e">
        <f>1-AzureSpecs[[#This Row],[MACPrice]]/AzureSpecs[[#This Row],[MAGPrice]]</f>
        <v>#DIV/0!</v>
      </c>
      <c r="K115" s="46"/>
    </row>
    <row r="116" spans="1:11" x14ac:dyDescent="0.45">
      <c r="A116" t="s">
        <v>698</v>
      </c>
      <c r="B116" t="s">
        <v>128</v>
      </c>
      <c r="D116" s="45"/>
      <c r="E116" s="45"/>
      <c r="I116" s="46" t="e">
        <f>1-AzureSpecs[[#This Row],[MACPrice]]/AzureSpecs[[#This Row],[MAGPrice]]</f>
        <v>#DIV/0!</v>
      </c>
      <c r="J116" t="s">
        <v>729</v>
      </c>
      <c r="K116" s="46"/>
    </row>
    <row r="117" spans="1:11" x14ac:dyDescent="0.45">
      <c r="A117" t="s">
        <v>699</v>
      </c>
      <c r="B117" t="s">
        <v>129</v>
      </c>
      <c r="D117" s="45"/>
      <c r="E117" s="45"/>
      <c r="I117" s="46" t="e">
        <f>1-AzureSpecs[[#This Row],[MACPrice]]/AzureSpecs[[#This Row],[MAGPrice]]</f>
        <v>#DIV/0!</v>
      </c>
      <c r="J117" t="s">
        <v>729</v>
      </c>
      <c r="K117" s="46"/>
    </row>
    <row r="118" spans="1:11" x14ac:dyDescent="0.45">
      <c r="A118" t="s">
        <v>703</v>
      </c>
      <c r="B118" t="s">
        <v>706</v>
      </c>
      <c r="C118" s="14">
        <v>0.99950000000000006</v>
      </c>
      <c r="D118" s="45"/>
      <c r="E118" s="45"/>
      <c r="F118" s="8">
        <v>1</v>
      </c>
      <c r="G118" s="48">
        <v>1.75</v>
      </c>
      <c r="H118" s="8">
        <v>500</v>
      </c>
      <c r="I118" s="47" t="e">
        <f>1-AzureSpecs[[#This Row],[MACPrice]]/AzureSpecs[[#This Row],[MAGPrice]]</f>
        <v>#DIV/0!</v>
      </c>
      <c r="J118" t="s">
        <v>729</v>
      </c>
      <c r="K118" s="46"/>
    </row>
    <row r="119" spans="1:11" x14ac:dyDescent="0.45">
      <c r="A119" t="s">
        <v>704</v>
      </c>
      <c r="B119" t="s">
        <v>707</v>
      </c>
      <c r="C119" s="14">
        <v>0.99950000000000006</v>
      </c>
      <c r="D119" s="45"/>
      <c r="E119" s="45"/>
      <c r="F119" s="8">
        <v>2</v>
      </c>
      <c r="G119" s="48">
        <v>3.5</v>
      </c>
      <c r="H119" s="8">
        <v>500</v>
      </c>
      <c r="I119" s="47" t="e">
        <f>1-AzureSpecs[[#This Row],[MACPrice]]/AzureSpecs[[#This Row],[MAGPrice]]</f>
        <v>#DIV/0!</v>
      </c>
      <c r="J119" t="s">
        <v>729</v>
      </c>
      <c r="K119" s="46"/>
    </row>
    <row r="120" spans="1:11" x14ac:dyDescent="0.45">
      <c r="A120" t="s">
        <v>705</v>
      </c>
      <c r="B120" t="s">
        <v>708</v>
      </c>
      <c r="C120" s="14">
        <v>0.99950000000000006</v>
      </c>
      <c r="D120" s="45"/>
      <c r="E120" s="45"/>
      <c r="F120" s="8">
        <v>4</v>
      </c>
      <c r="G120" s="48">
        <v>7</v>
      </c>
      <c r="H120" s="8">
        <v>500</v>
      </c>
      <c r="I120" s="47" t="e">
        <f>1-AzureSpecs[[#This Row],[MACPrice]]/AzureSpecs[[#This Row],[MAGPrice]]</f>
        <v>#DIV/0!</v>
      </c>
      <c r="J120" t="s">
        <v>729</v>
      </c>
      <c r="K120" s="46"/>
    </row>
    <row r="121" spans="1:11" x14ac:dyDescent="0.45">
      <c r="A121" t="s">
        <v>702</v>
      </c>
      <c r="B121" t="s">
        <v>709</v>
      </c>
      <c r="C121" s="14">
        <v>0.99950000000000006</v>
      </c>
      <c r="D121" s="45"/>
      <c r="E121" s="45"/>
      <c r="F121" s="8">
        <v>8</v>
      </c>
      <c r="G121" s="48">
        <v>14</v>
      </c>
      <c r="H121" s="8">
        <v>500</v>
      </c>
      <c r="I121" s="47" t="e">
        <f>1-AzureSpecs[[#This Row],[MACPrice]]/AzureSpecs[[#This Row],[MAGPrice]]</f>
        <v>#DIV/0!</v>
      </c>
      <c r="J121" t="s">
        <v>729</v>
      </c>
      <c r="K121" s="46"/>
    </row>
    <row r="122" spans="1:11" x14ac:dyDescent="0.45">
      <c r="A122" t="s">
        <v>701</v>
      </c>
      <c r="B122" t="s">
        <v>131</v>
      </c>
      <c r="D122" s="45"/>
      <c r="E122" s="45"/>
      <c r="I122" s="46" t="e">
        <f>1-AzureSpecs[[#This Row],[MACPrice]]/AzureSpecs[[#This Row],[MAGPrice]]</f>
        <v>#DIV/0!</v>
      </c>
      <c r="J122" t="s">
        <v>729</v>
      </c>
      <c r="K122" s="46"/>
    </row>
    <row r="123" spans="1:11" x14ac:dyDescent="0.45">
      <c r="A123" t="s">
        <v>744</v>
      </c>
      <c r="B123" t="s">
        <v>131</v>
      </c>
      <c r="D123" s="45"/>
      <c r="E123" s="45"/>
      <c r="I123" s="47" t="e">
        <f>1-AzureSpecs[[#This Row],[MACPrice]]/AzureSpecs[[#This Row],[MAGPrice]]</f>
        <v>#DIV/0!</v>
      </c>
      <c r="K123" s="46"/>
    </row>
    <row r="124" spans="1:11" x14ac:dyDescent="0.45">
      <c r="A124" t="s">
        <v>745</v>
      </c>
      <c r="B124" t="s">
        <v>131</v>
      </c>
      <c r="D124" s="45"/>
      <c r="E124" s="45"/>
      <c r="I124" s="47" t="e">
        <f>1-AzureSpecs[[#This Row],[MACPrice]]/AzureSpecs[[#This Row],[MAGPrice]]</f>
        <v>#DIV/0!</v>
      </c>
      <c r="K124" s="46"/>
    </row>
    <row r="125" spans="1:11" x14ac:dyDescent="0.45">
      <c r="D125" s="45"/>
      <c r="E125" s="45"/>
      <c r="I125" s="47"/>
      <c r="K125" s="46"/>
    </row>
    <row r="126" spans="1:11" x14ac:dyDescent="0.45">
      <c r="D126" s="45"/>
      <c r="E126" s="45"/>
      <c r="I126" s="47"/>
      <c r="K126" s="46"/>
    </row>
    <row r="127" spans="1:11" x14ac:dyDescent="0.45">
      <c r="D127" s="45"/>
      <c r="E127" s="45"/>
      <c r="I127" s="47"/>
      <c r="K127" s="46"/>
    </row>
    <row r="128" spans="1:11" x14ac:dyDescent="0.45">
      <c r="D128" s="45"/>
      <c r="E128" s="45"/>
      <c r="I128" s="47" t="e">
        <f>1-AzureSpecs[[#This Row],[MACPrice]]/AzureSpecs[[#This Row],[MAGPrice]]</f>
        <v>#DIV/0!</v>
      </c>
      <c r="K128" s="47"/>
    </row>
    <row r="129" spans="4:15" x14ac:dyDescent="0.45">
      <c r="D129" s="45"/>
      <c r="E129" s="45"/>
      <c r="I129" s="47" t="e">
        <f>1-AzureSpecs[[#This Row],[MACPrice]]/AzureSpecs[[#This Row],[MAGPrice]]</f>
        <v>#DIV/0!</v>
      </c>
    </row>
    <row r="130" spans="4:15" x14ac:dyDescent="0.45">
      <c r="D130" s="45"/>
      <c r="E130" s="45"/>
      <c r="I130" s="47" t="e">
        <f>1-AzureSpecs[[#This Row],[MACPrice]]/AzureSpecs[[#This Row],[MAGPrice]]</f>
        <v>#DIV/0!</v>
      </c>
    </row>
    <row r="131" spans="4:15" x14ac:dyDescent="0.45">
      <c r="D131" s="45"/>
      <c r="E131" s="45"/>
      <c r="I131" s="47" t="e">
        <f>1-AzureSpecs[[#This Row],[MACPrice]]/AzureSpecs[[#This Row],[MAGPrice]]</f>
        <v>#DIV/0!</v>
      </c>
    </row>
    <row r="132" spans="4:15" x14ac:dyDescent="0.45">
      <c r="D132" s="45"/>
      <c r="E132" s="45"/>
      <c r="I132" s="47" t="e">
        <f>1-AzureSpecs[[#This Row],[MACPrice]]/AzureSpecs[[#This Row],[MAGPrice]]</f>
        <v>#DIV/0!</v>
      </c>
    </row>
    <row r="133" spans="4:15" x14ac:dyDescent="0.45">
      <c r="D133" s="45"/>
      <c r="E133" s="45"/>
      <c r="I133" s="47" t="e">
        <f>1-AzureSpecs[[#This Row],[MACPrice]]/AzureSpecs[[#This Row],[MAGPrice]]</f>
        <v>#DIV/0!</v>
      </c>
    </row>
    <row r="134" spans="4:15" x14ac:dyDescent="0.45">
      <c r="D134" s="45"/>
      <c r="E134" s="45"/>
      <c r="I134" s="47" t="e">
        <f>1-AzureSpecs[[#This Row],[MACPrice]]/AzureSpecs[[#This Row],[MAGPrice]]</f>
        <v>#DIV/0!</v>
      </c>
    </row>
    <row r="135" spans="4:15" x14ac:dyDescent="0.45">
      <c r="D135" s="45"/>
      <c r="E135" s="45"/>
      <c r="I135" s="47" t="e">
        <f>1-AzureSpecs[[#This Row],[MACPrice]]/AzureSpecs[[#This Row],[MAGPrice]]</f>
        <v>#DIV/0!</v>
      </c>
    </row>
    <row r="136" spans="4:15" x14ac:dyDescent="0.45">
      <c r="D136" s="45"/>
      <c r="E136" s="45"/>
      <c r="I136" s="47" t="e">
        <f>1-AzureSpecs[[#This Row],[MACPrice]]/AzureSpecs[[#This Row],[MAGPrice]]</f>
        <v>#DIV/0!</v>
      </c>
      <c r="O136">
        <f>0.8*100</f>
        <v>80</v>
      </c>
    </row>
    <row r="137" spans="4:15" x14ac:dyDescent="0.45">
      <c r="D137" s="45"/>
      <c r="E137" s="45"/>
      <c r="I137" s="47" t="e">
        <f>1-AzureSpecs[[#This Row],[MACPrice]]/AzureSpecs[[#This Row],[MAGPrice]]</f>
        <v>#DIV/0!</v>
      </c>
      <c r="O137">
        <f>0.5*2500</f>
        <v>1250</v>
      </c>
    </row>
    <row r="138" spans="4:15" x14ac:dyDescent="0.45">
      <c r="D138" s="45"/>
      <c r="E138" s="45"/>
      <c r="I138" s="47" t="e">
        <f>1-AzureSpecs[[#This Row],[MACPrice]]/AzureSpecs[[#This Row],[MAGPrice]]</f>
        <v>#DIV/0!</v>
      </c>
      <c r="J138" t="s">
        <v>729</v>
      </c>
      <c r="O138">
        <f>0.2*7500</f>
        <v>1500</v>
      </c>
    </row>
    <row r="139" spans="4:15" x14ac:dyDescent="0.45">
      <c r="O139">
        <f>SUM(O135:O138)</f>
        <v>2830</v>
      </c>
    </row>
  </sheetData>
  <hyperlinks>
    <hyperlink ref="J25" r:id="rId1"/>
    <hyperlink ref="J31" r:id="rId2"/>
    <hyperlink ref="J28" r:id="rId3"/>
    <hyperlink ref="J131:J132" r:id="rId4" display="Link"/>
    <hyperlink ref="J32" r:id="rId5"/>
  </hyperlinks>
  <pageMargins left="0.7" right="0.7" top="0.75" bottom="0.75" header="0.3" footer="0.3"/>
  <pageSetup orientation="portrait" r:id="rId6"/>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pane xSplit="3" ySplit="1" topLeftCell="D2" activePane="bottomRight" state="frozenSplit"/>
      <selection pane="topRight" activeCell="B1" sqref="B1"/>
      <selection pane="bottomLeft" activeCell="A19" sqref="A19"/>
      <selection pane="bottomRight" activeCell="C21" sqref="C21"/>
    </sheetView>
  </sheetViews>
  <sheetFormatPr defaultRowHeight="14.25" outlineLevelCol="1" x14ac:dyDescent="0.45"/>
  <cols>
    <col min="1" max="1" width="13.46484375" customWidth="1"/>
    <col min="2" max="2" width="42.6640625" customWidth="1"/>
    <col min="3" max="3" width="30.86328125" customWidth="1"/>
    <col min="4" max="4" width="9.796875" customWidth="1"/>
    <col min="5" max="5" width="8.73046875" hidden="1" customWidth="1" outlineLevel="1"/>
    <col min="6" max="6" width="9.59765625" hidden="1" customWidth="1" outlineLevel="1"/>
    <col min="7" max="7" width="9.1328125" hidden="1" customWidth="1" outlineLevel="1"/>
    <col min="8" max="15" width="9.06640625" hidden="1" customWidth="1" outlineLevel="1"/>
    <col min="16" max="18" width="8.73046875" hidden="1" customWidth="1" outlineLevel="1"/>
    <col min="19" max="26" width="9.06640625" hidden="1" customWidth="1" outlineLevel="1"/>
    <col min="27" max="27" width="9.06640625" collapsed="1"/>
  </cols>
  <sheetData>
    <row r="1" spans="1:28" ht="47.25" x14ac:dyDescent="0.45">
      <c r="A1" t="s">
        <v>273</v>
      </c>
      <c r="B1" t="s">
        <v>926</v>
      </c>
      <c r="C1" t="s">
        <v>388</v>
      </c>
      <c r="D1" t="s">
        <v>905</v>
      </c>
      <c r="E1" s="4" t="s">
        <v>906</v>
      </c>
      <c r="F1" s="4" t="s">
        <v>907</v>
      </c>
      <c r="G1" s="4" t="s">
        <v>908</v>
      </c>
      <c r="H1" s="4" t="s">
        <v>909</v>
      </c>
      <c r="I1" s="4" t="s">
        <v>910</v>
      </c>
      <c r="J1" s="65" t="s">
        <v>116</v>
      </c>
      <c r="K1" s="65" t="s">
        <v>117</v>
      </c>
      <c r="L1" s="65" t="s">
        <v>118</v>
      </c>
      <c r="M1" s="65" t="s">
        <v>119</v>
      </c>
      <c r="N1" s="65" t="s">
        <v>120</v>
      </c>
      <c r="O1" t="s">
        <v>121</v>
      </c>
      <c r="P1" t="s">
        <v>122</v>
      </c>
      <c r="Q1" t="s">
        <v>123</v>
      </c>
      <c r="R1" t="s">
        <v>203</v>
      </c>
      <c r="S1" t="s">
        <v>204</v>
      </c>
      <c r="T1" t="s">
        <v>202</v>
      </c>
      <c r="U1" t="s">
        <v>205</v>
      </c>
      <c r="V1" t="s">
        <v>927</v>
      </c>
      <c r="W1" t="s">
        <v>225</v>
      </c>
      <c r="X1" t="s">
        <v>252</v>
      </c>
      <c r="Y1" t="s">
        <v>208</v>
      </c>
      <c r="Z1" t="s">
        <v>253</v>
      </c>
      <c r="AA1" t="s">
        <v>911</v>
      </c>
      <c r="AB1" t="s">
        <v>929</v>
      </c>
    </row>
    <row r="2" spans="1:28" x14ac:dyDescent="0.45">
      <c r="A2" t="s">
        <v>319</v>
      </c>
      <c r="B2" t="s">
        <v>912</v>
      </c>
      <c r="C2" t="s">
        <v>913</v>
      </c>
      <c r="D2" t="s">
        <v>925</v>
      </c>
      <c r="K2">
        <v>25</v>
      </c>
      <c r="L2">
        <v>25</v>
      </c>
      <c r="M2">
        <v>25</v>
      </c>
      <c r="N2">
        <v>25</v>
      </c>
      <c r="O2">
        <v>8</v>
      </c>
      <c r="P2">
        <v>8</v>
      </c>
      <c r="Q2">
        <v>8</v>
      </c>
      <c r="V2">
        <v>4</v>
      </c>
      <c r="W2">
        <v>8</v>
      </c>
      <c r="X2">
        <v>8</v>
      </c>
      <c r="Y2">
        <v>2</v>
      </c>
      <c r="Z2">
        <v>2</v>
      </c>
      <c r="AA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2">
        <v>280</v>
      </c>
    </row>
    <row r="3" spans="1:28" x14ac:dyDescent="0.45">
      <c r="A3" t="s">
        <v>320</v>
      </c>
      <c r="B3" t="s">
        <v>915</v>
      </c>
      <c r="C3" t="s">
        <v>916</v>
      </c>
      <c r="D3" t="s">
        <v>925</v>
      </c>
      <c r="AA3">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0</v>
      </c>
    </row>
    <row r="4" spans="1:28" x14ac:dyDescent="0.45">
      <c r="A4" t="s">
        <v>321</v>
      </c>
      <c r="B4" t="s">
        <v>917</v>
      </c>
      <c r="C4" t="s">
        <v>918</v>
      </c>
      <c r="D4" t="s">
        <v>925</v>
      </c>
      <c r="K4">
        <v>25</v>
      </c>
      <c r="L4">
        <v>25</v>
      </c>
      <c r="M4">
        <v>25</v>
      </c>
      <c r="N4">
        <v>25</v>
      </c>
      <c r="O4">
        <v>8</v>
      </c>
      <c r="P4">
        <v>8</v>
      </c>
      <c r="Q4">
        <v>8</v>
      </c>
      <c r="V4">
        <v>4</v>
      </c>
      <c r="W4">
        <v>8</v>
      </c>
      <c r="X4">
        <v>8</v>
      </c>
      <c r="Y4">
        <v>4</v>
      </c>
      <c r="Z4">
        <v>2</v>
      </c>
      <c r="AA4">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663</v>
      </c>
      <c r="AB4">
        <v>280</v>
      </c>
    </row>
    <row r="5" spans="1:28" x14ac:dyDescent="0.45">
      <c r="A5" t="s">
        <v>322</v>
      </c>
      <c r="B5" t="s">
        <v>919</v>
      </c>
      <c r="C5" t="s">
        <v>920</v>
      </c>
      <c r="D5" t="s">
        <v>925</v>
      </c>
      <c r="L5">
        <v>14</v>
      </c>
      <c r="M5">
        <v>10</v>
      </c>
      <c r="N5">
        <v>10</v>
      </c>
      <c r="O5">
        <v>2</v>
      </c>
      <c r="P5">
        <v>2</v>
      </c>
      <c r="Q5">
        <v>2</v>
      </c>
      <c r="V5">
        <v>2</v>
      </c>
      <c r="W5">
        <v>4</v>
      </c>
      <c r="X5">
        <v>4</v>
      </c>
      <c r="AA5">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5">
        <v>0</v>
      </c>
    </row>
    <row r="6" spans="1:28" x14ac:dyDescent="0.45">
      <c r="A6" t="s">
        <v>323</v>
      </c>
      <c r="B6" t="s">
        <v>921</v>
      </c>
      <c r="C6" t="s">
        <v>922</v>
      </c>
      <c r="D6" t="s">
        <v>925</v>
      </c>
      <c r="V6">
        <v>5</v>
      </c>
      <c r="AA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6">
        <v>60</v>
      </c>
    </row>
    <row r="7" spans="1:28" x14ac:dyDescent="0.45">
      <c r="B7" t="s">
        <v>923</v>
      </c>
      <c r="C7" t="s">
        <v>924</v>
      </c>
      <c r="D7" t="s">
        <v>925</v>
      </c>
      <c r="L7">
        <v>20</v>
      </c>
      <c r="M7">
        <v>8</v>
      </c>
      <c r="N7">
        <v>12</v>
      </c>
      <c r="O7">
        <v>12</v>
      </c>
      <c r="P7">
        <v>20</v>
      </c>
      <c r="S7">
        <v>12</v>
      </c>
      <c r="V7">
        <v>4</v>
      </c>
      <c r="AA7" s="6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7">
        <v>160</v>
      </c>
    </row>
    <row r="8" spans="1:28" x14ac:dyDescent="0.45">
      <c r="A8" t="s">
        <v>319</v>
      </c>
      <c r="B8" t="s">
        <v>912</v>
      </c>
      <c r="C8" t="s">
        <v>913</v>
      </c>
      <c r="D8" t="s">
        <v>914</v>
      </c>
      <c r="K8">
        <v>25</v>
      </c>
      <c r="L8">
        <v>25</v>
      </c>
      <c r="M8">
        <v>25</v>
      </c>
      <c r="N8">
        <v>25</v>
      </c>
      <c r="O8">
        <v>8</v>
      </c>
      <c r="P8">
        <v>8</v>
      </c>
      <c r="Q8">
        <v>8</v>
      </c>
      <c r="V8">
        <v>4</v>
      </c>
      <c r="W8">
        <v>8</v>
      </c>
      <c r="X8">
        <v>8</v>
      </c>
      <c r="AA8">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599</v>
      </c>
      <c r="AB8">
        <v>280</v>
      </c>
    </row>
    <row r="9" spans="1:28" x14ac:dyDescent="0.45">
      <c r="A9" t="s">
        <v>320</v>
      </c>
      <c r="B9" t="s">
        <v>915</v>
      </c>
      <c r="C9" t="s">
        <v>916</v>
      </c>
      <c r="D9" t="s">
        <v>914</v>
      </c>
      <c r="AA9">
        <f>Forecast[[#This Row],[A0]]*J21+Forecast[[#This Row],[A1]]*K21+Forecast[[#This Row],[A2]]*L21+Forecast[[#This Row],[A3]]*M21+Forecast[[#This Row],[A4]]*N21+Forecast[[#This Row],[A5]]*O21+Forecast[[#This Row],[A6]]*P21+Forecast[[#This Row],[A7]]*Q15+Forecast[[#This Row],[D1]]*R15+Forecast[[#This Row],[D2]]*S15+Forecast[[#This Row],[D3]]*T15+Forecast[[#This Row],[D4]]*U15+Forecast[[#This Row],[D5]]*V15+Forecast[[#This Row],[D11]]*W15+Forecast[[#This Row],[D12]]*X15+Forecast[[#This Row],[D13]]*Y15+Forecast[[#This Row],[D14]]*Z15</f>
        <v>0</v>
      </c>
    </row>
    <row r="10" spans="1:28" x14ac:dyDescent="0.45">
      <c r="A10" t="s">
        <v>321</v>
      </c>
      <c r="B10" t="s">
        <v>917</v>
      </c>
      <c r="C10" t="s">
        <v>918</v>
      </c>
      <c r="D10" t="s">
        <v>914</v>
      </c>
      <c r="K10">
        <v>25</v>
      </c>
      <c r="L10">
        <v>25</v>
      </c>
      <c r="M10">
        <v>25</v>
      </c>
      <c r="N10">
        <v>25</v>
      </c>
      <c r="O10">
        <v>8</v>
      </c>
      <c r="P10">
        <v>8</v>
      </c>
      <c r="Q10">
        <v>8</v>
      </c>
      <c r="V10">
        <v>4</v>
      </c>
      <c r="W10">
        <v>8</v>
      </c>
      <c r="X10">
        <v>8</v>
      </c>
      <c r="Y10">
        <v>2</v>
      </c>
      <c r="Z10">
        <v>2</v>
      </c>
      <c r="AA10">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10">
        <v>280</v>
      </c>
    </row>
    <row r="11" spans="1:28" x14ac:dyDescent="0.45">
      <c r="A11" t="s">
        <v>322</v>
      </c>
      <c r="B11" t="s">
        <v>919</v>
      </c>
      <c r="C11" t="s">
        <v>920</v>
      </c>
      <c r="D11" t="s">
        <v>914</v>
      </c>
      <c r="L11">
        <v>14</v>
      </c>
      <c r="M11">
        <v>10</v>
      </c>
      <c r="N11">
        <v>10</v>
      </c>
      <c r="O11">
        <v>2</v>
      </c>
      <c r="P11">
        <v>2</v>
      </c>
      <c r="Q11">
        <v>2</v>
      </c>
      <c r="V11">
        <v>2</v>
      </c>
      <c r="W11">
        <v>4</v>
      </c>
      <c r="X11">
        <v>4</v>
      </c>
      <c r="AA11">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11">
        <v>0</v>
      </c>
    </row>
    <row r="12" spans="1:28" x14ac:dyDescent="0.45">
      <c r="A12" t="s">
        <v>323</v>
      </c>
      <c r="B12" t="s">
        <v>921</v>
      </c>
      <c r="C12" t="s">
        <v>922</v>
      </c>
      <c r="D12" t="s">
        <v>914</v>
      </c>
      <c r="V12">
        <v>5</v>
      </c>
      <c r="AA1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12">
        <v>60</v>
      </c>
    </row>
    <row r="13" spans="1:28" x14ac:dyDescent="0.45">
      <c r="B13" t="s">
        <v>923</v>
      </c>
      <c r="C13" t="s">
        <v>924</v>
      </c>
      <c r="D13" t="s">
        <v>914</v>
      </c>
      <c r="L13">
        <v>20</v>
      </c>
      <c r="M13">
        <v>8</v>
      </c>
      <c r="N13">
        <v>12</v>
      </c>
      <c r="O13">
        <v>12</v>
      </c>
      <c r="P13">
        <v>20</v>
      </c>
      <c r="S13">
        <v>12</v>
      </c>
      <c r="V13">
        <v>4</v>
      </c>
      <c r="AA13" s="6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13">
        <v>160</v>
      </c>
    </row>
    <row r="14" spans="1:28" x14ac:dyDescent="0.45">
      <c r="J14">
        <f>SUM(Forecast[A0])*(J15)</f>
        <v>0</v>
      </c>
      <c r="K14">
        <f>SUM(Forecast[A1])*(K15)</f>
        <v>100</v>
      </c>
      <c r="L14">
        <f>SUM(Forecast[A2])*(L15)</f>
        <v>336</v>
      </c>
      <c r="M14">
        <f>SUM(Forecast[A3])*(M15)</f>
        <v>544</v>
      </c>
      <c r="N14">
        <f>SUM(Forecast[A4])*(N15)</f>
        <v>1152</v>
      </c>
      <c r="O14">
        <f>SUM(Forecast[A5])*(O15)</f>
        <v>120</v>
      </c>
      <c r="P14">
        <f>SUM(Forecast[A6])*(P15)</f>
        <v>304</v>
      </c>
      <c r="Q14">
        <f>SUM(Forecast[A7])*(Q15)</f>
        <v>288</v>
      </c>
      <c r="R14">
        <f>SUM(Forecast[D1])*(R15)</f>
        <v>0</v>
      </c>
      <c r="S14">
        <f>SUM(Forecast[D2])*(S15)</f>
        <v>48</v>
      </c>
      <c r="T14">
        <f>SUM(Forecast[D3])*(T15)</f>
        <v>0</v>
      </c>
      <c r="U14">
        <f>SUM(Forecast[D4])*(U15)</f>
        <v>0</v>
      </c>
      <c r="V14">
        <f>SUM(Forecast[D5])*(V15)</f>
        <v>608</v>
      </c>
      <c r="W14">
        <f>SUM(Forecast[D11])*(W15)</f>
        <v>80</v>
      </c>
      <c r="X14">
        <f>SUM(Forecast[D12])*(X15)</f>
        <v>160</v>
      </c>
      <c r="Y14">
        <f>SUM(Forecast[D13])*(Y15)</f>
        <v>64</v>
      </c>
      <c r="Z14">
        <f>SUM(Forecast[D14])*(Z15)</f>
        <v>96</v>
      </c>
      <c r="AA14">
        <f>SUM(J14:Z14)</f>
        <v>3900</v>
      </c>
      <c r="AB14">
        <f>SUM(Forecast[Net New])</f>
        <v>1560</v>
      </c>
    </row>
    <row r="15" spans="1:28" x14ac:dyDescent="0.45">
      <c r="J15">
        <v>1</v>
      </c>
      <c r="K15">
        <v>1</v>
      </c>
      <c r="L15">
        <v>2</v>
      </c>
      <c r="M15">
        <v>4</v>
      </c>
      <c r="N15">
        <v>8</v>
      </c>
      <c r="O15">
        <v>2</v>
      </c>
      <c r="P15">
        <v>4</v>
      </c>
      <c r="Q15">
        <v>8</v>
      </c>
      <c r="R15">
        <v>1</v>
      </c>
      <c r="S15">
        <v>2</v>
      </c>
      <c r="T15">
        <v>4</v>
      </c>
      <c r="U15">
        <v>8</v>
      </c>
      <c r="V15">
        <v>16</v>
      </c>
      <c r="W15">
        <v>2</v>
      </c>
      <c r="X15">
        <v>4</v>
      </c>
      <c r="Y15">
        <v>8</v>
      </c>
      <c r="Z15">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 sqref="D2:D3"/>
    </sheetView>
  </sheetViews>
  <sheetFormatPr defaultRowHeight="14.25" x14ac:dyDescent="0.45"/>
  <cols>
    <col min="1" max="1" width="9.265625" customWidth="1"/>
    <col min="2" max="2" width="13.86328125" customWidth="1"/>
    <col min="3" max="3" width="13.265625" customWidth="1"/>
    <col min="4" max="4" width="18.265625" customWidth="1"/>
    <col min="5" max="5" width="26.59765625" customWidth="1"/>
    <col min="6" max="6" width="23" customWidth="1"/>
    <col min="7" max="7" width="30.86328125" customWidth="1"/>
  </cols>
  <sheetData>
    <row r="1" spans="1:7" x14ac:dyDescent="0.45">
      <c r="A1" t="s">
        <v>582</v>
      </c>
      <c r="B1" s="44" t="s">
        <v>105</v>
      </c>
      <c r="C1" s="44" t="s">
        <v>1</v>
      </c>
      <c r="D1" t="s">
        <v>263</v>
      </c>
      <c r="E1" t="s">
        <v>585</v>
      </c>
      <c r="F1" t="s">
        <v>586</v>
      </c>
      <c r="G1" t="s">
        <v>979</v>
      </c>
    </row>
    <row r="2" spans="1:7" x14ac:dyDescent="0.45">
      <c r="A2" t="s">
        <v>583</v>
      </c>
      <c r="B2" s="43" t="s">
        <v>1003</v>
      </c>
      <c r="C2" s="43" t="s">
        <v>639</v>
      </c>
      <c r="D2" t="s">
        <v>372</v>
      </c>
      <c r="E2" t="str">
        <f>Departments[[#This Row],[Department]]&amp;"_"&amp;Departments[[#This Row],[Account]]&amp;"_DA"</f>
        <v>dept_Managed_DA</v>
      </c>
      <c r="F2" t="str">
        <f>Departments[[#This Row],[Department]]&amp;"_"&amp;Departments[[#This Row],[Account]]&amp;"_AA"</f>
        <v>dept_Managed_AA</v>
      </c>
    </row>
    <row r="3" spans="1:7" x14ac:dyDescent="0.45">
      <c r="A3" t="s">
        <v>584</v>
      </c>
      <c r="B3" s="43" t="s">
        <v>1003</v>
      </c>
      <c r="C3" s="43" t="s">
        <v>639</v>
      </c>
      <c r="D3" t="s">
        <v>777</v>
      </c>
      <c r="E3" t="str">
        <f>Departments[[#This Row],[Department]]&amp;"_"&amp;Departments[[#This Row],[Account]]&amp;"_DA"</f>
        <v>dept_Sandbox_DA</v>
      </c>
      <c r="F3" t="str">
        <f>Departments[[#This Row],[Department]]&amp;"_"&amp;Departments[[#This Row],[Account]]&amp;"_AA"</f>
        <v>dept_Sandbox_AA</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opLeftCell="D1" workbookViewId="0">
      <selection activeCell="H2" sqref="H2"/>
    </sheetView>
  </sheetViews>
  <sheetFormatPr defaultRowHeight="14.25" x14ac:dyDescent="0.45"/>
  <cols>
    <col min="2" max="4" width="62.86328125" customWidth="1"/>
    <col min="5" max="5" width="46.265625" customWidth="1"/>
    <col min="6" max="6" width="36" customWidth="1"/>
    <col min="7" max="7" width="20.3984375" customWidth="1"/>
    <col min="8" max="8" width="28.1328125" customWidth="1"/>
  </cols>
  <sheetData>
    <row r="1" spans="1:8" x14ac:dyDescent="0.45">
      <c r="A1" t="s">
        <v>93</v>
      </c>
      <c r="B1" t="s">
        <v>92</v>
      </c>
      <c r="C1" t="s">
        <v>100</v>
      </c>
      <c r="D1" t="s">
        <v>101</v>
      </c>
      <c r="E1" s="11" t="s">
        <v>83</v>
      </c>
      <c r="F1" s="11" t="s">
        <v>94</v>
      </c>
      <c r="G1" s="11" t="s">
        <v>96</v>
      </c>
      <c r="H1" s="12" t="s">
        <v>102</v>
      </c>
    </row>
    <row r="2" spans="1:8" x14ac:dyDescent="0.45">
      <c r="C2" s="10"/>
      <c r="D2" s="10"/>
      <c r="E2" s="10" t="s">
        <v>71</v>
      </c>
      <c r="F2" s="10" t="s">
        <v>95</v>
      </c>
      <c r="G2" s="10" t="s">
        <v>97</v>
      </c>
      <c r="H2" s="10" t="s">
        <v>103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5"/>
  <sheetViews>
    <sheetView workbookViewId="0">
      <pane ySplit="1" topLeftCell="A50" activePane="bottomLeft" state="frozen"/>
      <selection pane="bottomLeft" activeCell="J73" sqref="J73"/>
    </sheetView>
  </sheetViews>
  <sheetFormatPr defaultRowHeight="14.25" x14ac:dyDescent="0.45"/>
  <cols>
    <col min="1" max="1" width="20.265625" customWidth="1"/>
    <col min="4" max="4" width="17.86328125" customWidth="1"/>
    <col min="10" max="10" width="17.3984375" customWidth="1"/>
  </cols>
  <sheetData>
    <row r="1" spans="1:10" x14ac:dyDescent="0.45">
      <c r="A1" t="s">
        <v>63</v>
      </c>
      <c r="B1" t="s">
        <v>176</v>
      </c>
      <c r="C1" t="s">
        <v>177</v>
      </c>
      <c r="D1" t="s">
        <v>175</v>
      </c>
      <c r="E1" t="s">
        <v>176</v>
      </c>
      <c r="F1" t="s">
        <v>177</v>
      </c>
      <c r="G1" t="s">
        <v>178</v>
      </c>
      <c r="H1" t="s">
        <v>179</v>
      </c>
      <c r="I1" t="s">
        <v>180</v>
      </c>
      <c r="J1" t="s">
        <v>1</v>
      </c>
    </row>
    <row r="2" spans="1:10" x14ac:dyDescent="0.45">
      <c r="D2" t="s">
        <v>181</v>
      </c>
      <c r="E2">
        <v>1</v>
      </c>
      <c r="F2">
        <v>1</v>
      </c>
      <c r="H2">
        <v>1000</v>
      </c>
    </row>
    <row r="3" spans="1:10" x14ac:dyDescent="0.45">
      <c r="D3" t="s">
        <v>181</v>
      </c>
      <c r="E3">
        <v>1</v>
      </c>
      <c r="F3">
        <v>2</v>
      </c>
      <c r="H3">
        <v>1000</v>
      </c>
    </row>
    <row r="4" spans="1:10" x14ac:dyDescent="0.45">
      <c r="D4" t="s">
        <v>181</v>
      </c>
      <c r="E4">
        <v>1</v>
      </c>
      <c r="F4">
        <v>3</v>
      </c>
      <c r="H4">
        <v>1000</v>
      </c>
    </row>
    <row r="5" spans="1:10" x14ac:dyDescent="0.45">
      <c r="D5" t="s">
        <v>181</v>
      </c>
      <c r="E5">
        <v>1</v>
      </c>
      <c r="F5">
        <v>4</v>
      </c>
      <c r="H5">
        <v>1000</v>
      </c>
    </row>
    <row r="6" spans="1:10" x14ac:dyDescent="0.45">
      <c r="D6" t="s">
        <v>181</v>
      </c>
      <c r="E6">
        <v>1</v>
      </c>
      <c r="F6">
        <v>5</v>
      </c>
      <c r="H6">
        <v>1000</v>
      </c>
    </row>
    <row r="7" spans="1:10" x14ac:dyDescent="0.45">
      <c r="D7" t="s">
        <v>181</v>
      </c>
      <c r="E7">
        <v>1</v>
      </c>
      <c r="F7">
        <v>6</v>
      </c>
      <c r="H7">
        <v>1000</v>
      </c>
    </row>
    <row r="8" spans="1:10" x14ac:dyDescent="0.45">
      <c r="D8" t="s">
        <v>181</v>
      </c>
      <c r="E8">
        <v>1</v>
      </c>
      <c r="F8">
        <v>7</v>
      </c>
      <c r="H8">
        <v>1000</v>
      </c>
    </row>
    <row r="9" spans="1:10" x14ac:dyDescent="0.45">
      <c r="D9" t="s">
        <v>181</v>
      </c>
      <c r="E9">
        <v>1</v>
      </c>
      <c r="F9">
        <v>8</v>
      </c>
      <c r="H9">
        <v>1000</v>
      </c>
    </row>
    <row r="10" spans="1:10" x14ac:dyDescent="0.45">
      <c r="D10" t="s">
        <v>181</v>
      </c>
      <c r="E10">
        <v>1</v>
      </c>
      <c r="F10">
        <v>9</v>
      </c>
      <c r="H10">
        <v>1000</v>
      </c>
    </row>
    <row r="11" spans="1:10" x14ac:dyDescent="0.45">
      <c r="D11" t="s">
        <v>181</v>
      </c>
      <c r="E11">
        <v>1</v>
      </c>
      <c r="F11">
        <v>10</v>
      </c>
      <c r="H11">
        <v>1000</v>
      </c>
    </row>
    <row r="12" spans="1:10" x14ac:dyDescent="0.45">
      <c r="D12" t="s">
        <v>181</v>
      </c>
      <c r="E12">
        <v>1</v>
      </c>
      <c r="F12">
        <v>11</v>
      </c>
      <c r="H12">
        <v>1000</v>
      </c>
    </row>
    <row r="13" spans="1:10" x14ac:dyDescent="0.45">
      <c r="D13" t="s">
        <v>181</v>
      </c>
      <c r="E13">
        <v>1</v>
      </c>
      <c r="F13">
        <v>12</v>
      </c>
      <c r="H13">
        <v>1000</v>
      </c>
    </row>
    <row r="14" spans="1:10" x14ac:dyDescent="0.45">
      <c r="D14" t="s">
        <v>181</v>
      </c>
      <c r="E14">
        <v>1</v>
      </c>
      <c r="F14">
        <v>13</v>
      </c>
      <c r="H14">
        <v>1000</v>
      </c>
    </row>
    <row r="15" spans="1:10" x14ac:dyDescent="0.45">
      <c r="D15" t="s">
        <v>181</v>
      </c>
      <c r="E15">
        <v>1</v>
      </c>
      <c r="F15">
        <v>14</v>
      </c>
      <c r="H15">
        <v>1000</v>
      </c>
    </row>
    <row r="16" spans="1:10" x14ac:dyDescent="0.45">
      <c r="D16" t="s">
        <v>181</v>
      </c>
      <c r="E16">
        <v>1</v>
      </c>
      <c r="F16">
        <v>15</v>
      </c>
      <c r="H16">
        <v>1000</v>
      </c>
    </row>
    <row r="17" spans="4:8" x14ac:dyDescent="0.45">
      <c r="D17" t="s">
        <v>181</v>
      </c>
      <c r="E17">
        <v>1</v>
      </c>
      <c r="F17">
        <v>16</v>
      </c>
      <c r="H17">
        <v>1000</v>
      </c>
    </row>
    <row r="18" spans="4:8" x14ac:dyDescent="0.45">
      <c r="D18" t="s">
        <v>181</v>
      </c>
      <c r="E18">
        <v>1</v>
      </c>
      <c r="F18">
        <v>17</v>
      </c>
      <c r="H18">
        <v>1000</v>
      </c>
    </row>
    <row r="19" spans="4:8" x14ac:dyDescent="0.45">
      <c r="D19" t="s">
        <v>181</v>
      </c>
      <c r="E19">
        <v>1</v>
      </c>
      <c r="F19">
        <v>18</v>
      </c>
      <c r="H19">
        <v>1000</v>
      </c>
    </row>
    <row r="20" spans="4:8" x14ac:dyDescent="0.45">
      <c r="D20" t="s">
        <v>181</v>
      </c>
      <c r="E20">
        <v>1</v>
      </c>
      <c r="F20">
        <v>19</v>
      </c>
      <c r="H20">
        <v>1000</v>
      </c>
    </row>
    <row r="21" spans="4:8" x14ac:dyDescent="0.45">
      <c r="D21" t="s">
        <v>181</v>
      </c>
      <c r="E21">
        <v>1</v>
      </c>
      <c r="F21">
        <v>20</v>
      </c>
      <c r="H21">
        <v>1000</v>
      </c>
    </row>
    <row r="22" spans="4:8" x14ac:dyDescent="0.45">
      <c r="D22" t="s">
        <v>181</v>
      </c>
      <c r="E22">
        <v>1</v>
      </c>
      <c r="F22">
        <v>21</v>
      </c>
      <c r="H22">
        <v>1000</v>
      </c>
    </row>
    <row r="23" spans="4:8" x14ac:dyDescent="0.45">
      <c r="D23" t="s">
        <v>181</v>
      </c>
      <c r="E23">
        <v>1</v>
      </c>
      <c r="F23">
        <v>22</v>
      </c>
      <c r="H23">
        <v>1000</v>
      </c>
    </row>
    <row r="24" spans="4:8" x14ac:dyDescent="0.45">
      <c r="D24" t="s">
        <v>181</v>
      </c>
      <c r="E24">
        <v>1</v>
      </c>
      <c r="F24">
        <v>23</v>
      </c>
      <c r="H24">
        <v>1000</v>
      </c>
    </row>
    <row r="25" spans="4:8" x14ac:dyDescent="0.45">
      <c r="D25" t="s">
        <v>181</v>
      </c>
      <c r="E25">
        <v>1</v>
      </c>
      <c r="F25">
        <v>24</v>
      </c>
      <c r="H25">
        <v>1000</v>
      </c>
    </row>
    <row r="26" spans="4:8" x14ac:dyDescent="0.45">
      <c r="D26" t="s">
        <v>181</v>
      </c>
      <c r="E26">
        <v>1</v>
      </c>
      <c r="F26">
        <v>25</v>
      </c>
      <c r="H26">
        <v>1000</v>
      </c>
    </row>
    <row r="27" spans="4:8" x14ac:dyDescent="0.45">
      <c r="D27" t="s">
        <v>181</v>
      </c>
      <c r="E27">
        <v>1</v>
      </c>
      <c r="F27">
        <v>26</v>
      </c>
      <c r="H27">
        <v>1000</v>
      </c>
    </row>
    <row r="28" spans="4:8" x14ac:dyDescent="0.45">
      <c r="D28" t="s">
        <v>181</v>
      </c>
      <c r="E28">
        <v>1</v>
      </c>
      <c r="F28">
        <v>27</v>
      </c>
      <c r="H28">
        <v>1000</v>
      </c>
    </row>
    <row r="29" spans="4:8" x14ac:dyDescent="0.45">
      <c r="D29" t="s">
        <v>181</v>
      </c>
      <c r="E29">
        <v>1</v>
      </c>
      <c r="F29">
        <v>28</v>
      </c>
      <c r="H29">
        <v>1000</v>
      </c>
    </row>
    <row r="30" spans="4:8" x14ac:dyDescent="0.45">
      <c r="D30" t="s">
        <v>181</v>
      </c>
      <c r="E30">
        <v>1</v>
      </c>
      <c r="F30">
        <v>29</v>
      </c>
      <c r="H30">
        <v>1000</v>
      </c>
    </row>
    <row r="31" spans="4:8" x14ac:dyDescent="0.45">
      <c r="D31" t="s">
        <v>181</v>
      </c>
      <c r="E31">
        <v>1</v>
      </c>
      <c r="F31">
        <v>30</v>
      </c>
      <c r="H31">
        <v>1000</v>
      </c>
    </row>
    <row r="32" spans="4:8" x14ac:dyDescent="0.45">
      <c r="D32" t="s">
        <v>181</v>
      </c>
      <c r="E32">
        <v>1</v>
      </c>
      <c r="F32">
        <v>31</v>
      </c>
      <c r="H32">
        <v>1000</v>
      </c>
    </row>
    <row r="33" spans="4:8" x14ac:dyDescent="0.45">
      <c r="D33" t="s">
        <v>181</v>
      </c>
      <c r="E33">
        <v>1</v>
      </c>
      <c r="F33">
        <v>32</v>
      </c>
      <c r="H33">
        <v>1000</v>
      </c>
    </row>
    <row r="34" spans="4:8" x14ac:dyDescent="0.45">
      <c r="D34" t="s">
        <v>181</v>
      </c>
      <c r="E34">
        <v>1</v>
      </c>
      <c r="F34">
        <v>33</v>
      </c>
      <c r="H34">
        <v>1000</v>
      </c>
    </row>
    <row r="35" spans="4:8" x14ac:dyDescent="0.45">
      <c r="D35" t="s">
        <v>181</v>
      </c>
      <c r="E35">
        <v>1</v>
      </c>
      <c r="F35">
        <v>34</v>
      </c>
      <c r="H35">
        <v>1000</v>
      </c>
    </row>
    <row r="36" spans="4:8" x14ac:dyDescent="0.45">
      <c r="D36" t="s">
        <v>181</v>
      </c>
      <c r="E36">
        <v>1</v>
      </c>
      <c r="F36">
        <v>35</v>
      </c>
      <c r="H36">
        <v>1000</v>
      </c>
    </row>
    <row r="37" spans="4:8" x14ac:dyDescent="0.45">
      <c r="D37" t="s">
        <v>181</v>
      </c>
      <c r="E37">
        <v>1</v>
      </c>
      <c r="F37">
        <v>36</v>
      </c>
      <c r="H37">
        <v>1000</v>
      </c>
    </row>
    <row r="38" spans="4:8" x14ac:dyDescent="0.45">
      <c r="D38" t="s">
        <v>181</v>
      </c>
      <c r="E38">
        <v>1</v>
      </c>
      <c r="F38">
        <v>37</v>
      </c>
      <c r="H38">
        <v>1000</v>
      </c>
    </row>
    <row r="39" spans="4:8" x14ac:dyDescent="0.45">
      <c r="D39" t="s">
        <v>181</v>
      </c>
      <c r="E39">
        <v>1</v>
      </c>
      <c r="F39">
        <v>38</v>
      </c>
      <c r="H39">
        <v>1000</v>
      </c>
    </row>
    <row r="40" spans="4:8" x14ac:dyDescent="0.45">
      <c r="D40" t="s">
        <v>181</v>
      </c>
      <c r="E40">
        <v>1</v>
      </c>
      <c r="F40">
        <v>39</v>
      </c>
      <c r="H40">
        <v>1000</v>
      </c>
    </row>
    <row r="41" spans="4:8" x14ac:dyDescent="0.45">
      <c r="D41" t="s">
        <v>181</v>
      </c>
      <c r="E41">
        <v>1</v>
      </c>
      <c r="F41">
        <v>40</v>
      </c>
      <c r="H41">
        <v>1000</v>
      </c>
    </row>
    <row r="42" spans="4:8" x14ac:dyDescent="0.45">
      <c r="D42" t="s">
        <v>181</v>
      </c>
      <c r="E42">
        <v>1</v>
      </c>
      <c r="F42">
        <v>41</v>
      </c>
      <c r="H42">
        <v>1000</v>
      </c>
    </row>
    <row r="43" spans="4:8" x14ac:dyDescent="0.45">
      <c r="D43" t="s">
        <v>181</v>
      </c>
      <c r="E43">
        <v>1</v>
      </c>
      <c r="F43">
        <v>42</v>
      </c>
      <c r="H43">
        <v>1000</v>
      </c>
    </row>
    <row r="44" spans="4:8" x14ac:dyDescent="0.45">
      <c r="D44" t="s">
        <v>181</v>
      </c>
      <c r="E44">
        <v>1</v>
      </c>
      <c r="F44">
        <v>43</v>
      </c>
      <c r="H44">
        <v>1000</v>
      </c>
    </row>
    <row r="45" spans="4:8" x14ac:dyDescent="0.45">
      <c r="D45" t="s">
        <v>181</v>
      </c>
      <c r="E45">
        <v>1</v>
      </c>
      <c r="F45">
        <v>44</v>
      </c>
      <c r="H45">
        <v>1000</v>
      </c>
    </row>
    <row r="46" spans="4:8" x14ac:dyDescent="0.45">
      <c r="D46" t="s">
        <v>181</v>
      </c>
      <c r="E46">
        <v>1</v>
      </c>
      <c r="F46">
        <v>45</v>
      </c>
      <c r="H46">
        <v>1000</v>
      </c>
    </row>
    <row r="47" spans="4:8" x14ac:dyDescent="0.45">
      <c r="D47" t="s">
        <v>181</v>
      </c>
      <c r="E47">
        <v>1</v>
      </c>
      <c r="F47">
        <v>46</v>
      </c>
      <c r="H47">
        <v>1000</v>
      </c>
    </row>
    <row r="48" spans="4:8" x14ac:dyDescent="0.45">
      <c r="D48" t="s">
        <v>181</v>
      </c>
      <c r="E48">
        <v>1</v>
      </c>
      <c r="F48">
        <v>47</v>
      </c>
      <c r="H48">
        <v>1000</v>
      </c>
    </row>
    <row r="49" spans="4:8" x14ac:dyDescent="0.45">
      <c r="D49" t="s">
        <v>181</v>
      </c>
      <c r="E49">
        <v>1</v>
      </c>
      <c r="F49">
        <v>48</v>
      </c>
      <c r="H49">
        <v>1000</v>
      </c>
    </row>
    <row r="50" spans="4:8" x14ac:dyDescent="0.45">
      <c r="D50" t="s">
        <v>181</v>
      </c>
      <c r="E50">
        <v>4</v>
      </c>
      <c r="F50">
        <v>1</v>
      </c>
      <c r="H50">
        <v>10000</v>
      </c>
    </row>
    <row r="51" spans="4:8" x14ac:dyDescent="0.45">
      <c r="D51" t="s">
        <v>181</v>
      </c>
      <c r="E51">
        <v>4</v>
      </c>
      <c r="F51">
        <v>2</v>
      </c>
      <c r="H51">
        <v>10000</v>
      </c>
    </row>
    <row r="52" spans="4:8" x14ac:dyDescent="0.45">
      <c r="D52" t="s">
        <v>181</v>
      </c>
      <c r="E52">
        <v>4</v>
      </c>
      <c r="F52">
        <v>3</v>
      </c>
      <c r="H52">
        <v>10000</v>
      </c>
    </row>
    <row r="53" spans="4:8" x14ac:dyDescent="0.45">
      <c r="D53" t="s">
        <v>181</v>
      </c>
      <c r="E53">
        <v>4</v>
      </c>
      <c r="F53">
        <v>4</v>
      </c>
      <c r="H53">
        <v>10000</v>
      </c>
    </row>
    <row r="54" spans="4:8" x14ac:dyDescent="0.45">
      <c r="D54" t="s">
        <v>181</v>
      </c>
      <c r="E54">
        <v>4</v>
      </c>
      <c r="F54">
        <v>5</v>
      </c>
      <c r="H54">
        <v>10000</v>
      </c>
    </row>
    <row r="55" spans="4:8" x14ac:dyDescent="0.45">
      <c r="D55" t="s">
        <v>181</v>
      </c>
      <c r="E55">
        <v>4</v>
      </c>
      <c r="F55">
        <v>6</v>
      </c>
      <c r="H55">
        <v>10000</v>
      </c>
    </row>
    <row r="56" spans="4:8" x14ac:dyDescent="0.45">
      <c r="D56" t="s">
        <v>181</v>
      </c>
      <c r="E56">
        <v>4</v>
      </c>
      <c r="F56">
        <v>7</v>
      </c>
      <c r="H56">
        <v>10000</v>
      </c>
    </row>
    <row r="57" spans="4:8" x14ac:dyDescent="0.45">
      <c r="D57" t="s">
        <v>181</v>
      </c>
      <c r="E57">
        <v>4</v>
      </c>
      <c r="F57">
        <v>8</v>
      </c>
      <c r="H57">
        <v>10000</v>
      </c>
    </row>
    <row r="58" spans="4:8" x14ac:dyDescent="0.45">
      <c r="D58" t="s">
        <v>181</v>
      </c>
      <c r="E58">
        <v>4</v>
      </c>
      <c r="F58">
        <v>9</v>
      </c>
      <c r="H58">
        <v>10000</v>
      </c>
    </row>
    <row r="59" spans="4:8" x14ac:dyDescent="0.45">
      <c r="D59" t="s">
        <v>181</v>
      </c>
      <c r="E59">
        <v>4</v>
      </c>
      <c r="F59">
        <v>10</v>
      </c>
      <c r="H59">
        <v>10000</v>
      </c>
    </row>
    <row r="60" spans="4:8" x14ac:dyDescent="0.45">
      <c r="D60" t="s">
        <v>181</v>
      </c>
      <c r="E60">
        <v>4</v>
      </c>
      <c r="F60">
        <v>11</v>
      </c>
      <c r="H60">
        <v>10000</v>
      </c>
    </row>
    <row r="61" spans="4:8" x14ac:dyDescent="0.45">
      <c r="D61" t="s">
        <v>181</v>
      </c>
      <c r="E61">
        <v>4</v>
      </c>
      <c r="F61">
        <v>12</v>
      </c>
      <c r="H61">
        <v>10000</v>
      </c>
    </row>
    <row r="62" spans="4:8" x14ac:dyDescent="0.45">
      <c r="D62" t="s">
        <v>181</v>
      </c>
      <c r="E62">
        <v>4</v>
      </c>
      <c r="F62">
        <v>13</v>
      </c>
      <c r="H62">
        <v>10000</v>
      </c>
    </row>
    <row r="63" spans="4:8" x14ac:dyDescent="0.45">
      <c r="D63" t="s">
        <v>181</v>
      </c>
      <c r="E63">
        <v>4</v>
      </c>
      <c r="F63">
        <v>14</v>
      </c>
      <c r="H63">
        <v>10000</v>
      </c>
    </row>
    <row r="64" spans="4:8" x14ac:dyDescent="0.45">
      <c r="D64" t="s">
        <v>181</v>
      </c>
      <c r="E64">
        <v>4</v>
      </c>
      <c r="F64">
        <v>15</v>
      </c>
      <c r="H64">
        <v>10000</v>
      </c>
    </row>
    <row r="65" spans="4:8" x14ac:dyDescent="0.45">
      <c r="D65" t="s">
        <v>181</v>
      </c>
      <c r="E65">
        <v>4</v>
      </c>
      <c r="F65">
        <v>16</v>
      </c>
      <c r="H65">
        <v>10000</v>
      </c>
    </row>
    <row r="66" spans="4:8" x14ac:dyDescent="0.45">
      <c r="D66" t="s">
        <v>182</v>
      </c>
      <c r="E66">
        <v>1</v>
      </c>
      <c r="F66">
        <v>1</v>
      </c>
      <c r="H66">
        <v>1000</v>
      </c>
    </row>
    <row r="67" spans="4:8" x14ac:dyDescent="0.45">
      <c r="D67" t="s">
        <v>182</v>
      </c>
      <c r="E67">
        <v>1</v>
      </c>
      <c r="F67">
        <v>2</v>
      </c>
      <c r="H67">
        <v>1000</v>
      </c>
    </row>
    <row r="68" spans="4:8" x14ac:dyDescent="0.45">
      <c r="D68" t="s">
        <v>182</v>
      </c>
      <c r="E68">
        <v>1</v>
      </c>
      <c r="F68">
        <v>3</v>
      </c>
      <c r="H68">
        <v>1000</v>
      </c>
    </row>
    <row r="69" spans="4:8" x14ac:dyDescent="0.45">
      <c r="D69" t="s">
        <v>182</v>
      </c>
      <c r="E69">
        <v>1</v>
      </c>
      <c r="F69">
        <v>4</v>
      </c>
      <c r="H69">
        <v>1000</v>
      </c>
    </row>
    <row r="70" spans="4:8" x14ac:dyDescent="0.45">
      <c r="D70" t="s">
        <v>182</v>
      </c>
      <c r="E70">
        <v>1</v>
      </c>
      <c r="F70">
        <v>5</v>
      </c>
      <c r="H70">
        <v>1000</v>
      </c>
    </row>
    <row r="71" spans="4:8" x14ac:dyDescent="0.45">
      <c r="D71" t="s">
        <v>182</v>
      </c>
      <c r="E71">
        <v>1</v>
      </c>
      <c r="F71">
        <v>6</v>
      </c>
      <c r="H71">
        <v>1000</v>
      </c>
    </row>
    <row r="72" spans="4:8" x14ac:dyDescent="0.45">
      <c r="D72" t="s">
        <v>182</v>
      </c>
      <c r="E72">
        <v>1</v>
      </c>
      <c r="F72">
        <v>7</v>
      </c>
      <c r="H72">
        <v>1000</v>
      </c>
    </row>
    <row r="73" spans="4:8" x14ac:dyDescent="0.45">
      <c r="D73" t="s">
        <v>182</v>
      </c>
      <c r="E73">
        <v>1</v>
      </c>
      <c r="F73">
        <v>8</v>
      </c>
      <c r="H73">
        <v>1000</v>
      </c>
    </row>
    <row r="74" spans="4:8" x14ac:dyDescent="0.45">
      <c r="D74" t="s">
        <v>182</v>
      </c>
      <c r="E74">
        <v>1</v>
      </c>
      <c r="F74">
        <v>9</v>
      </c>
      <c r="H74">
        <v>1000</v>
      </c>
    </row>
    <row r="75" spans="4:8" x14ac:dyDescent="0.45">
      <c r="D75" t="s">
        <v>182</v>
      </c>
      <c r="E75">
        <v>1</v>
      </c>
      <c r="F75">
        <v>10</v>
      </c>
      <c r="H75">
        <v>1000</v>
      </c>
    </row>
    <row r="76" spans="4:8" x14ac:dyDescent="0.45">
      <c r="D76" t="s">
        <v>182</v>
      </c>
      <c r="E76">
        <v>1</v>
      </c>
      <c r="F76">
        <v>11</v>
      </c>
      <c r="H76">
        <v>1000</v>
      </c>
    </row>
    <row r="77" spans="4:8" x14ac:dyDescent="0.45">
      <c r="D77" t="s">
        <v>182</v>
      </c>
      <c r="E77">
        <v>1</v>
      </c>
      <c r="F77">
        <v>12</v>
      </c>
      <c r="H77">
        <v>1000</v>
      </c>
    </row>
    <row r="78" spans="4:8" x14ac:dyDescent="0.45">
      <c r="D78" t="s">
        <v>182</v>
      </c>
      <c r="E78">
        <v>1</v>
      </c>
      <c r="F78">
        <v>13</v>
      </c>
      <c r="H78">
        <v>1000</v>
      </c>
    </row>
    <row r="79" spans="4:8" x14ac:dyDescent="0.45">
      <c r="D79" t="s">
        <v>182</v>
      </c>
      <c r="E79">
        <v>1</v>
      </c>
      <c r="F79">
        <v>14</v>
      </c>
      <c r="H79">
        <v>1000</v>
      </c>
    </row>
    <row r="80" spans="4:8" x14ac:dyDescent="0.45">
      <c r="D80" t="s">
        <v>182</v>
      </c>
      <c r="E80">
        <v>1</v>
      </c>
      <c r="F80">
        <v>15</v>
      </c>
      <c r="H80">
        <v>1000</v>
      </c>
    </row>
    <row r="81" spans="4:8" x14ac:dyDescent="0.45">
      <c r="D81" t="s">
        <v>182</v>
      </c>
      <c r="E81">
        <v>1</v>
      </c>
      <c r="F81">
        <v>16</v>
      </c>
      <c r="H81">
        <v>1000</v>
      </c>
    </row>
    <row r="82" spans="4:8" x14ac:dyDescent="0.45">
      <c r="D82" t="s">
        <v>182</v>
      </c>
      <c r="E82">
        <v>1</v>
      </c>
      <c r="F82">
        <v>17</v>
      </c>
      <c r="H82">
        <v>1000</v>
      </c>
    </row>
    <row r="83" spans="4:8" x14ac:dyDescent="0.45">
      <c r="D83" t="s">
        <v>182</v>
      </c>
      <c r="E83">
        <v>1</v>
      </c>
      <c r="F83">
        <v>18</v>
      </c>
      <c r="H83">
        <v>1000</v>
      </c>
    </row>
    <row r="84" spans="4:8" x14ac:dyDescent="0.45">
      <c r="D84" t="s">
        <v>182</v>
      </c>
      <c r="E84">
        <v>1</v>
      </c>
      <c r="F84">
        <v>19</v>
      </c>
      <c r="H84">
        <v>1000</v>
      </c>
    </row>
    <row r="85" spans="4:8" x14ac:dyDescent="0.45">
      <c r="D85" t="s">
        <v>182</v>
      </c>
      <c r="E85">
        <v>1</v>
      </c>
      <c r="F85">
        <v>20</v>
      </c>
      <c r="H85">
        <v>1000</v>
      </c>
    </row>
    <row r="86" spans="4:8" x14ac:dyDescent="0.45">
      <c r="D86" t="s">
        <v>182</v>
      </c>
      <c r="E86">
        <v>1</v>
      </c>
      <c r="F86">
        <v>21</v>
      </c>
      <c r="H86">
        <v>1000</v>
      </c>
    </row>
    <row r="87" spans="4:8" x14ac:dyDescent="0.45">
      <c r="D87" t="s">
        <v>182</v>
      </c>
      <c r="E87">
        <v>1</v>
      </c>
      <c r="F87">
        <v>22</v>
      </c>
      <c r="H87">
        <v>1000</v>
      </c>
    </row>
    <row r="88" spans="4:8" x14ac:dyDescent="0.45">
      <c r="D88" t="s">
        <v>182</v>
      </c>
      <c r="E88">
        <v>1</v>
      </c>
      <c r="F88">
        <v>23</v>
      </c>
      <c r="H88">
        <v>1000</v>
      </c>
    </row>
    <row r="89" spans="4:8" x14ac:dyDescent="0.45">
      <c r="D89" t="s">
        <v>182</v>
      </c>
      <c r="E89">
        <v>1</v>
      </c>
      <c r="F89">
        <v>24</v>
      </c>
      <c r="H89">
        <v>1000</v>
      </c>
    </row>
    <row r="90" spans="4:8" x14ac:dyDescent="0.45">
      <c r="D90" t="s">
        <v>182</v>
      </c>
      <c r="E90">
        <v>1</v>
      </c>
      <c r="F90">
        <v>25</v>
      </c>
      <c r="H90">
        <v>1000</v>
      </c>
    </row>
    <row r="91" spans="4:8" x14ac:dyDescent="0.45">
      <c r="D91" t="s">
        <v>182</v>
      </c>
      <c r="E91">
        <v>1</v>
      </c>
      <c r="F91">
        <v>26</v>
      </c>
      <c r="H91">
        <v>1000</v>
      </c>
    </row>
    <row r="92" spans="4:8" x14ac:dyDescent="0.45">
      <c r="D92" t="s">
        <v>182</v>
      </c>
      <c r="E92">
        <v>1</v>
      </c>
      <c r="F92">
        <v>27</v>
      </c>
      <c r="H92">
        <v>1000</v>
      </c>
    </row>
    <row r="93" spans="4:8" x14ac:dyDescent="0.45">
      <c r="D93" t="s">
        <v>182</v>
      </c>
      <c r="E93">
        <v>1</v>
      </c>
      <c r="F93">
        <v>28</v>
      </c>
      <c r="H93">
        <v>1000</v>
      </c>
    </row>
    <row r="94" spans="4:8" x14ac:dyDescent="0.45">
      <c r="D94" t="s">
        <v>182</v>
      </c>
      <c r="E94">
        <v>1</v>
      </c>
      <c r="F94">
        <v>29</v>
      </c>
      <c r="H94">
        <v>1000</v>
      </c>
    </row>
    <row r="95" spans="4:8" x14ac:dyDescent="0.45">
      <c r="D95" t="s">
        <v>182</v>
      </c>
      <c r="E95">
        <v>1</v>
      </c>
      <c r="F95">
        <v>30</v>
      </c>
      <c r="H95">
        <v>1000</v>
      </c>
    </row>
    <row r="96" spans="4:8" x14ac:dyDescent="0.45">
      <c r="D96" t="s">
        <v>182</v>
      </c>
      <c r="E96">
        <v>1</v>
      </c>
      <c r="F96">
        <v>31</v>
      </c>
      <c r="H96">
        <v>1000</v>
      </c>
    </row>
    <row r="97" spans="4:8" x14ac:dyDescent="0.45">
      <c r="D97" t="s">
        <v>182</v>
      </c>
      <c r="E97">
        <v>1</v>
      </c>
      <c r="F97">
        <v>32</v>
      </c>
      <c r="H97">
        <v>1000</v>
      </c>
    </row>
    <row r="98" spans="4:8" x14ac:dyDescent="0.45">
      <c r="D98" t="s">
        <v>182</v>
      </c>
      <c r="E98">
        <v>1</v>
      </c>
      <c r="F98">
        <v>33</v>
      </c>
      <c r="H98">
        <v>1000</v>
      </c>
    </row>
    <row r="99" spans="4:8" x14ac:dyDescent="0.45">
      <c r="D99" t="s">
        <v>182</v>
      </c>
      <c r="E99">
        <v>1</v>
      </c>
      <c r="F99">
        <v>34</v>
      </c>
      <c r="H99">
        <v>1000</v>
      </c>
    </row>
    <row r="100" spans="4:8" x14ac:dyDescent="0.45">
      <c r="D100" t="s">
        <v>182</v>
      </c>
      <c r="E100">
        <v>1</v>
      </c>
      <c r="F100">
        <v>35</v>
      </c>
      <c r="H100">
        <v>1000</v>
      </c>
    </row>
    <row r="101" spans="4:8" x14ac:dyDescent="0.45">
      <c r="D101" t="s">
        <v>182</v>
      </c>
      <c r="E101">
        <v>1</v>
      </c>
      <c r="F101">
        <v>36</v>
      </c>
      <c r="H101">
        <v>1000</v>
      </c>
    </row>
    <row r="102" spans="4:8" x14ac:dyDescent="0.45">
      <c r="D102" t="s">
        <v>182</v>
      </c>
      <c r="E102">
        <v>1</v>
      </c>
      <c r="F102">
        <v>37</v>
      </c>
      <c r="H102">
        <v>1000</v>
      </c>
    </row>
    <row r="103" spans="4:8" x14ac:dyDescent="0.45">
      <c r="D103" t="s">
        <v>182</v>
      </c>
      <c r="E103">
        <v>1</v>
      </c>
      <c r="F103">
        <v>38</v>
      </c>
      <c r="H103">
        <v>1000</v>
      </c>
    </row>
    <row r="104" spans="4:8" x14ac:dyDescent="0.45">
      <c r="D104" t="s">
        <v>182</v>
      </c>
      <c r="E104">
        <v>1</v>
      </c>
      <c r="F104">
        <v>39</v>
      </c>
      <c r="H104">
        <v>1000</v>
      </c>
    </row>
    <row r="105" spans="4:8" x14ac:dyDescent="0.45">
      <c r="D105" t="s">
        <v>182</v>
      </c>
      <c r="E105">
        <v>1</v>
      </c>
      <c r="F105">
        <v>40</v>
      </c>
      <c r="H105">
        <v>1000</v>
      </c>
    </row>
    <row r="106" spans="4:8" x14ac:dyDescent="0.45">
      <c r="D106" t="s">
        <v>182</v>
      </c>
      <c r="E106">
        <v>1</v>
      </c>
      <c r="F106">
        <v>41</v>
      </c>
      <c r="H106">
        <v>1000</v>
      </c>
    </row>
    <row r="107" spans="4:8" x14ac:dyDescent="0.45">
      <c r="D107" t="s">
        <v>182</v>
      </c>
      <c r="E107">
        <v>1</v>
      </c>
      <c r="F107">
        <v>42</v>
      </c>
      <c r="H107">
        <v>1000</v>
      </c>
    </row>
    <row r="108" spans="4:8" x14ac:dyDescent="0.45">
      <c r="D108" t="s">
        <v>182</v>
      </c>
      <c r="E108">
        <v>1</v>
      </c>
      <c r="F108">
        <v>43</v>
      </c>
      <c r="H108">
        <v>1000</v>
      </c>
    </row>
    <row r="109" spans="4:8" x14ac:dyDescent="0.45">
      <c r="D109" t="s">
        <v>182</v>
      </c>
      <c r="E109">
        <v>1</v>
      </c>
      <c r="F109">
        <v>44</v>
      </c>
      <c r="H109">
        <v>1000</v>
      </c>
    </row>
    <row r="110" spans="4:8" x14ac:dyDescent="0.45">
      <c r="D110" t="s">
        <v>182</v>
      </c>
      <c r="E110">
        <v>1</v>
      </c>
      <c r="F110">
        <v>45</v>
      </c>
      <c r="H110">
        <v>1000</v>
      </c>
    </row>
    <row r="111" spans="4:8" x14ac:dyDescent="0.45">
      <c r="D111" t="s">
        <v>182</v>
      </c>
      <c r="E111">
        <v>1</v>
      </c>
      <c r="F111">
        <v>46</v>
      </c>
      <c r="H111">
        <v>1000</v>
      </c>
    </row>
    <row r="112" spans="4:8" x14ac:dyDescent="0.45">
      <c r="D112" t="s">
        <v>182</v>
      </c>
      <c r="E112">
        <v>1</v>
      </c>
      <c r="F112">
        <v>47</v>
      </c>
      <c r="H112">
        <v>1000</v>
      </c>
    </row>
    <row r="113" spans="4:8" x14ac:dyDescent="0.45">
      <c r="D113" t="s">
        <v>182</v>
      </c>
      <c r="E113">
        <v>1</v>
      </c>
      <c r="F113">
        <v>48</v>
      </c>
      <c r="H113">
        <v>1000</v>
      </c>
    </row>
    <row r="114" spans="4:8" x14ac:dyDescent="0.45">
      <c r="D114" t="s">
        <v>182</v>
      </c>
      <c r="E114">
        <v>4</v>
      </c>
      <c r="F114">
        <v>1</v>
      </c>
      <c r="H114">
        <v>10000</v>
      </c>
    </row>
    <row r="115" spans="4:8" x14ac:dyDescent="0.45">
      <c r="D115" t="s">
        <v>182</v>
      </c>
      <c r="E115">
        <v>4</v>
      </c>
      <c r="F115">
        <v>2</v>
      </c>
      <c r="H115">
        <v>10000</v>
      </c>
    </row>
    <row r="116" spans="4:8" x14ac:dyDescent="0.45">
      <c r="D116" t="s">
        <v>182</v>
      </c>
      <c r="E116">
        <v>4</v>
      </c>
      <c r="F116">
        <v>3</v>
      </c>
      <c r="H116">
        <v>10000</v>
      </c>
    </row>
    <row r="117" spans="4:8" x14ac:dyDescent="0.45">
      <c r="D117" t="s">
        <v>182</v>
      </c>
      <c r="E117">
        <v>4</v>
      </c>
      <c r="F117">
        <v>4</v>
      </c>
      <c r="H117">
        <v>10000</v>
      </c>
    </row>
    <row r="118" spans="4:8" x14ac:dyDescent="0.45">
      <c r="D118" t="s">
        <v>182</v>
      </c>
      <c r="E118">
        <v>4</v>
      </c>
      <c r="F118">
        <v>5</v>
      </c>
      <c r="H118">
        <v>10000</v>
      </c>
    </row>
    <row r="119" spans="4:8" x14ac:dyDescent="0.45">
      <c r="D119" t="s">
        <v>182</v>
      </c>
      <c r="E119">
        <v>4</v>
      </c>
      <c r="F119">
        <v>6</v>
      </c>
      <c r="H119">
        <v>10000</v>
      </c>
    </row>
    <row r="120" spans="4:8" x14ac:dyDescent="0.45">
      <c r="D120" t="s">
        <v>182</v>
      </c>
      <c r="E120">
        <v>4</v>
      </c>
      <c r="F120">
        <v>7</v>
      </c>
      <c r="H120">
        <v>10000</v>
      </c>
    </row>
    <row r="121" spans="4:8" x14ac:dyDescent="0.45">
      <c r="D121" t="s">
        <v>182</v>
      </c>
      <c r="E121">
        <v>4</v>
      </c>
      <c r="F121">
        <v>8</v>
      </c>
      <c r="H121">
        <v>10000</v>
      </c>
    </row>
    <row r="122" spans="4:8" x14ac:dyDescent="0.45">
      <c r="D122" t="s">
        <v>182</v>
      </c>
      <c r="E122">
        <v>4</v>
      </c>
      <c r="F122">
        <v>9</v>
      </c>
      <c r="H122">
        <v>10000</v>
      </c>
    </row>
    <row r="123" spans="4:8" x14ac:dyDescent="0.45">
      <c r="D123" t="s">
        <v>182</v>
      </c>
      <c r="E123">
        <v>4</v>
      </c>
      <c r="F123">
        <v>10</v>
      </c>
      <c r="H123">
        <v>10000</v>
      </c>
    </row>
    <row r="124" spans="4:8" x14ac:dyDescent="0.45">
      <c r="D124" t="s">
        <v>182</v>
      </c>
      <c r="E124">
        <v>4</v>
      </c>
      <c r="F124">
        <v>11</v>
      </c>
      <c r="H124">
        <v>10000</v>
      </c>
    </row>
    <row r="125" spans="4:8" x14ac:dyDescent="0.45">
      <c r="D125" t="s">
        <v>182</v>
      </c>
      <c r="E125">
        <v>4</v>
      </c>
      <c r="F125">
        <v>12</v>
      </c>
      <c r="H125">
        <v>10000</v>
      </c>
    </row>
    <row r="126" spans="4:8" x14ac:dyDescent="0.45">
      <c r="D126" t="s">
        <v>182</v>
      </c>
      <c r="E126">
        <v>4</v>
      </c>
      <c r="F126">
        <v>13</v>
      </c>
      <c r="H126">
        <v>10000</v>
      </c>
    </row>
    <row r="127" spans="4:8" x14ac:dyDescent="0.45">
      <c r="D127" t="s">
        <v>182</v>
      </c>
      <c r="E127">
        <v>4</v>
      </c>
      <c r="F127">
        <v>14</v>
      </c>
      <c r="H127">
        <v>10000</v>
      </c>
    </row>
    <row r="128" spans="4:8" x14ac:dyDescent="0.45">
      <c r="D128" t="s">
        <v>182</v>
      </c>
      <c r="E128">
        <v>4</v>
      </c>
      <c r="F128">
        <v>15</v>
      </c>
      <c r="H128">
        <v>10000</v>
      </c>
    </row>
    <row r="129" spans="4:8" x14ac:dyDescent="0.45">
      <c r="D129" t="s">
        <v>182</v>
      </c>
      <c r="E129">
        <v>4</v>
      </c>
      <c r="F129">
        <v>16</v>
      </c>
      <c r="H129">
        <v>10000</v>
      </c>
    </row>
    <row r="130" spans="4:8" x14ac:dyDescent="0.45">
      <c r="D130" t="s">
        <v>181</v>
      </c>
      <c r="E130">
        <v>2</v>
      </c>
      <c r="F130">
        <v>1</v>
      </c>
      <c r="H130">
        <v>1000</v>
      </c>
    </row>
    <row r="131" spans="4:8" x14ac:dyDescent="0.45">
      <c r="D131" t="s">
        <v>181</v>
      </c>
      <c r="E131">
        <v>2</v>
      </c>
      <c r="F131">
        <v>2</v>
      </c>
      <c r="H131">
        <v>1000</v>
      </c>
    </row>
    <row r="132" spans="4:8" x14ac:dyDescent="0.45">
      <c r="D132" t="s">
        <v>181</v>
      </c>
      <c r="E132">
        <v>2</v>
      </c>
      <c r="F132">
        <v>3</v>
      </c>
      <c r="H132">
        <v>1000</v>
      </c>
    </row>
    <row r="133" spans="4:8" x14ac:dyDescent="0.45">
      <c r="D133" t="s">
        <v>181</v>
      </c>
      <c r="E133">
        <v>2</v>
      </c>
      <c r="F133">
        <v>4</v>
      </c>
      <c r="H133">
        <v>1000</v>
      </c>
    </row>
    <row r="134" spans="4:8" x14ac:dyDescent="0.45">
      <c r="D134" t="s">
        <v>181</v>
      </c>
      <c r="E134">
        <v>2</v>
      </c>
      <c r="F134">
        <v>5</v>
      </c>
      <c r="H134">
        <v>1000</v>
      </c>
    </row>
    <row r="135" spans="4:8" x14ac:dyDescent="0.45">
      <c r="D135" t="s">
        <v>181</v>
      </c>
      <c r="E135">
        <v>2</v>
      </c>
      <c r="F135">
        <v>6</v>
      </c>
      <c r="H135">
        <v>1000</v>
      </c>
    </row>
    <row r="136" spans="4:8" x14ac:dyDescent="0.45">
      <c r="D136" t="s">
        <v>181</v>
      </c>
      <c r="E136">
        <v>2</v>
      </c>
      <c r="F136">
        <v>7</v>
      </c>
      <c r="H136">
        <v>1000</v>
      </c>
    </row>
    <row r="137" spans="4:8" x14ac:dyDescent="0.45">
      <c r="D137" t="s">
        <v>181</v>
      </c>
      <c r="E137">
        <v>2</v>
      </c>
      <c r="F137">
        <v>8</v>
      </c>
      <c r="H137">
        <v>1000</v>
      </c>
    </row>
    <row r="138" spans="4:8" x14ac:dyDescent="0.45">
      <c r="D138" t="s">
        <v>181</v>
      </c>
      <c r="E138">
        <v>2</v>
      </c>
      <c r="F138">
        <v>9</v>
      </c>
      <c r="H138">
        <v>1000</v>
      </c>
    </row>
    <row r="139" spans="4:8" x14ac:dyDescent="0.45">
      <c r="D139" t="s">
        <v>181</v>
      </c>
      <c r="E139">
        <v>2</v>
      </c>
      <c r="F139">
        <v>10</v>
      </c>
      <c r="H139">
        <v>1000</v>
      </c>
    </row>
    <row r="140" spans="4:8" x14ac:dyDescent="0.45">
      <c r="D140" t="s">
        <v>181</v>
      </c>
      <c r="E140">
        <v>2</v>
      </c>
      <c r="F140">
        <v>11</v>
      </c>
      <c r="H140">
        <v>1000</v>
      </c>
    </row>
    <row r="141" spans="4:8" x14ac:dyDescent="0.45">
      <c r="D141" t="s">
        <v>181</v>
      </c>
      <c r="E141">
        <v>2</v>
      </c>
      <c r="F141">
        <v>12</v>
      </c>
      <c r="H141">
        <v>1000</v>
      </c>
    </row>
    <row r="142" spans="4:8" x14ac:dyDescent="0.45">
      <c r="D142" t="s">
        <v>181</v>
      </c>
      <c r="E142">
        <v>2</v>
      </c>
      <c r="F142">
        <v>13</v>
      </c>
      <c r="H142">
        <v>1000</v>
      </c>
    </row>
    <row r="143" spans="4:8" x14ac:dyDescent="0.45">
      <c r="D143" t="s">
        <v>181</v>
      </c>
      <c r="E143">
        <v>2</v>
      </c>
      <c r="F143">
        <v>14</v>
      </c>
      <c r="H143">
        <v>1000</v>
      </c>
    </row>
    <row r="144" spans="4:8" x14ac:dyDescent="0.45">
      <c r="D144" t="s">
        <v>181</v>
      </c>
      <c r="E144">
        <v>2</v>
      </c>
      <c r="F144">
        <v>15</v>
      </c>
      <c r="H144">
        <v>1000</v>
      </c>
    </row>
    <row r="145" spans="4:8" x14ac:dyDescent="0.45">
      <c r="D145" t="s">
        <v>181</v>
      </c>
      <c r="E145">
        <v>2</v>
      </c>
      <c r="F145">
        <v>16</v>
      </c>
      <c r="H145">
        <v>1000</v>
      </c>
    </row>
    <row r="146" spans="4:8" x14ac:dyDescent="0.45">
      <c r="D146" t="s">
        <v>181</v>
      </c>
      <c r="E146">
        <v>2</v>
      </c>
      <c r="F146">
        <v>17</v>
      </c>
      <c r="H146">
        <v>1000</v>
      </c>
    </row>
    <row r="147" spans="4:8" x14ac:dyDescent="0.45">
      <c r="D147" t="s">
        <v>181</v>
      </c>
      <c r="E147">
        <v>2</v>
      </c>
      <c r="F147">
        <v>18</v>
      </c>
      <c r="H147">
        <v>1000</v>
      </c>
    </row>
    <row r="148" spans="4:8" x14ac:dyDescent="0.45">
      <c r="D148" t="s">
        <v>181</v>
      </c>
      <c r="E148">
        <v>2</v>
      </c>
      <c r="F148">
        <v>19</v>
      </c>
      <c r="H148">
        <v>1000</v>
      </c>
    </row>
    <row r="149" spans="4:8" x14ac:dyDescent="0.45">
      <c r="D149" t="s">
        <v>181</v>
      </c>
      <c r="E149">
        <v>2</v>
      </c>
      <c r="F149">
        <v>20</v>
      </c>
      <c r="H149">
        <v>1000</v>
      </c>
    </row>
    <row r="150" spans="4:8" x14ac:dyDescent="0.45">
      <c r="D150" t="s">
        <v>181</v>
      </c>
      <c r="E150">
        <v>2</v>
      </c>
      <c r="F150">
        <v>21</v>
      </c>
      <c r="H150">
        <v>1000</v>
      </c>
    </row>
    <row r="151" spans="4:8" x14ac:dyDescent="0.45">
      <c r="D151" t="s">
        <v>181</v>
      </c>
      <c r="E151">
        <v>2</v>
      </c>
      <c r="F151">
        <v>22</v>
      </c>
      <c r="H151">
        <v>1000</v>
      </c>
    </row>
    <row r="152" spans="4:8" x14ac:dyDescent="0.45">
      <c r="D152" t="s">
        <v>181</v>
      </c>
      <c r="E152">
        <v>2</v>
      </c>
      <c r="F152">
        <v>23</v>
      </c>
      <c r="H152">
        <v>1000</v>
      </c>
    </row>
    <row r="153" spans="4:8" x14ac:dyDescent="0.45">
      <c r="D153" t="s">
        <v>181</v>
      </c>
      <c r="E153">
        <v>2</v>
      </c>
      <c r="F153">
        <v>24</v>
      </c>
      <c r="H153">
        <v>1000</v>
      </c>
    </row>
    <row r="154" spans="4:8" x14ac:dyDescent="0.45">
      <c r="D154" t="s">
        <v>181</v>
      </c>
      <c r="E154">
        <v>2</v>
      </c>
      <c r="F154">
        <v>25</v>
      </c>
      <c r="H154">
        <v>1000</v>
      </c>
    </row>
    <row r="155" spans="4:8" x14ac:dyDescent="0.45">
      <c r="D155" t="s">
        <v>181</v>
      </c>
      <c r="E155">
        <v>2</v>
      </c>
      <c r="F155">
        <v>26</v>
      </c>
      <c r="H155">
        <v>1000</v>
      </c>
    </row>
    <row r="156" spans="4:8" x14ac:dyDescent="0.45">
      <c r="D156" t="s">
        <v>181</v>
      </c>
      <c r="E156">
        <v>2</v>
      </c>
      <c r="F156">
        <v>27</v>
      </c>
      <c r="H156">
        <v>1000</v>
      </c>
    </row>
    <row r="157" spans="4:8" x14ac:dyDescent="0.45">
      <c r="D157" t="s">
        <v>181</v>
      </c>
      <c r="E157">
        <v>2</v>
      </c>
      <c r="F157">
        <v>28</v>
      </c>
      <c r="H157">
        <v>1000</v>
      </c>
    </row>
    <row r="158" spans="4:8" x14ac:dyDescent="0.45">
      <c r="D158" t="s">
        <v>181</v>
      </c>
      <c r="E158">
        <v>2</v>
      </c>
      <c r="F158">
        <v>29</v>
      </c>
      <c r="H158">
        <v>1000</v>
      </c>
    </row>
    <row r="159" spans="4:8" x14ac:dyDescent="0.45">
      <c r="D159" t="s">
        <v>181</v>
      </c>
      <c r="E159">
        <v>2</v>
      </c>
      <c r="F159">
        <v>30</v>
      </c>
      <c r="H159">
        <v>1000</v>
      </c>
    </row>
    <row r="160" spans="4:8" x14ac:dyDescent="0.45">
      <c r="D160" t="s">
        <v>181</v>
      </c>
      <c r="E160">
        <v>2</v>
      </c>
      <c r="F160">
        <v>31</v>
      </c>
      <c r="H160">
        <v>1000</v>
      </c>
    </row>
    <row r="161" spans="4:8" x14ac:dyDescent="0.45">
      <c r="D161" t="s">
        <v>181</v>
      </c>
      <c r="E161">
        <v>2</v>
      </c>
      <c r="F161">
        <v>32</v>
      </c>
      <c r="H161">
        <v>1000</v>
      </c>
    </row>
    <row r="162" spans="4:8" x14ac:dyDescent="0.45">
      <c r="D162" t="s">
        <v>181</v>
      </c>
      <c r="E162">
        <v>2</v>
      </c>
      <c r="F162">
        <v>33</v>
      </c>
      <c r="H162">
        <v>1000</v>
      </c>
    </row>
    <row r="163" spans="4:8" x14ac:dyDescent="0.45">
      <c r="D163" t="s">
        <v>181</v>
      </c>
      <c r="E163">
        <v>2</v>
      </c>
      <c r="F163">
        <v>34</v>
      </c>
      <c r="H163">
        <v>1000</v>
      </c>
    </row>
    <row r="164" spans="4:8" x14ac:dyDescent="0.45">
      <c r="D164" t="s">
        <v>181</v>
      </c>
      <c r="E164">
        <v>2</v>
      </c>
      <c r="F164">
        <v>35</v>
      </c>
      <c r="H164">
        <v>1000</v>
      </c>
    </row>
    <row r="165" spans="4:8" x14ac:dyDescent="0.45">
      <c r="D165" t="s">
        <v>181</v>
      </c>
      <c r="E165">
        <v>2</v>
      </c>
      <c r="F165">
        <v>36</v>
      </c>
      <c r="H165">
        <v>1000</v>
      </c>
    </row>
    <row r="166" spans="4:8" x14ac:dyDescent="0.45">
      <c r="D166" t="s">
        <v>181</v>
      </c>
      <c r="E166">
        <v>2</v>
      </c>
      <c r="F166">
        <v>37</v>
      </c>
      <c r="H166">
        <v>1000</v>
      </c>
    </row>
    <row r="167" spans="4:8" x14ac:dyDescent="0.45">
      <c r="D167" t="s">
        <v>181</v>
      </c>
      <c r="E167">
        <v>2</v>
      </c>
      <c r="F167">
        <v>38</v>
      </c>
      <c r="H167">
        <v>1000</v>
      </c>
    </row>
    <row r="168" spans="4:8" x14ac:dyDescent="0.45">
      <c r="D168" t="s">
        <v>181</v>
      </c>
      <c r="E168">
        <v>2</v>
      </c>
      <c r="F168">
        <v>39</v>
      </c>
      <c r="H168">
        <v>1000</v>
      </c>
    </row>
    <row r="169" spans="4:8" x14ac:dyDescent="0.45">
      <c r="D169" t="s">
        <v>181</v>
      </c>
      <c r="E169">
        <v>2</v>
      </c>
      <c r="F169">
        <v>40</v>
      </c>
      <c r="H169">
        <v>1000</v>
      </c>
    </row>
    <row r="170" spans="4:8" x14ac:dyDescent="0.45">
      <c r="D170" t="s">
        <v>181</v>
      </c>
      <c r="E170">
        <v>2</v>
      </c>
      <c r="F170">
        <v>41</v>
      </c>
      <c r="H170">
        <v>1000</v>
      </c>
    </row>
    <row r="171" spans="4:8" x14ac:dyDescent="0.45">
      <c r="D171" t="s">
        <v>181</v>
      </c>
      <c r="E171">
        <v>2</v>
      </c>
      <c r="F171">
        <v>42</v>
      </c>
      <c r="H171">
        <v>1000</v>
      </c>
    </row>
    <row r="172" spans="4:8" x14ac:dyDescent="0.45">
      <c r="D172" t="s">
        <v>181</v>
      </c>
      <c r="E172">
        <v>2</v>
      </c>
      <c r="F172">
        <v>43</v>
      </c>
      <c r="H172">
        <v>1000</v>
      </c>
    </row>
    <row r="173" spans="4:8" x14ac:dyDescent="0.45">
      <c r="D173" t="s">
        <v>181</v>
      </c>
      <c r="E173">
        <v>2</v>
      </c>
      <c r="F173">
        <v>44</v>
      </c>
      <c r="H173">
        <v>1000</v>
      </c>
    </row>
    <row r="174" spans="4:8" x14ac:dyDescent="0.45">
      <c r="D174" t="s">
        <v>181</v>
      </c>
      <c r="E174">
        <v>2</v>
      </c>
      <c r="F174">
        <v>45</v>
      </c>
      <c r="H174">
        <v>1000</v>
      </c>
    </row>
    <row r="175" spans="4:8" x14ac:dyDescent="0.45">
      <c r="D175" t="s">
        <v>181</v>
      </c>
      <c r="E175">
        <v>2</v>
      </c>
      <c r="F175">
        <v>46</v>
      </c>
      <c r="H175">
        <v>1000</v>
      </c>
    </row>
    <row r="176" spans="4:8" x14ac:dyDescent="0.45">
      <c r="D176" t="s">
        <v>181</v>
      </c>
      <c r="E176">
        <v>2</v>
      </c>
      <c r="F176">
        <v>47</v>
      </c>
      <c r="H176">
        <v>1000</v>
      </c>
    </row>
    <row r="177" spans="4:12" x14ac:dyDescent="0.45">
      <c r="D177" t="s">
        <v>181</v>
      </c>
      <c r="E177">
        <v>2</v>
      </c>
      <c r="F177">
        <v>48</v>
      </c>
      <c r="H177">
        <v>1000</v>
      </c>
    </row>
    <row r="178" spans="4:12" x14ac:dyDescent="0.45">
      <c r="D178" t="s">
        <v>181</v>
      </c>
      <c r="E178">
        <v>3</v>
      </c>
      <c r="F178">
        <v>1</v>
      </c>
      <c r="H178">
        <v>1000</v>
      </c>
    </row>
    <row r="179" spans="4:12" x14ac:dyDescent="0.45">
      <c r="D179" t="s">
        <v>181</v>
      </c>
      <c r="E179">
        <v>3</v>
      </c>
      <c r="F179">
        <v>2</v>
      </c>
      <c r="H179">
        <v>1000</v>
      </c>
      <c r="L179" t="s">
        <v>183</v>
      </c>
    </row>
    <row r="180" spans="4:12" x14ac:dyDescent="0.45">
      <c r="D180" t="s">
        <v>181</v>
      </c>
      <c r="E180">
        <v>3</v>
      </c>
      <c r="F180">
        <v>3</v>
      </c>
      <c r="H180">
        <v>1000</v>
      </c>
    </row>
    <row r="181" spans="4:12" x14ac:dyDescent="0.45">
      <c r="D181" t="s">
        <v>181</v>
      </c>
      <c r="E181">
        <v>3</v>
      </c>
      <c r="F181">
        <v>4</v>
      </c>
      <c r="H181">
        <v>1000</v>
      </c>
    </row>
    <row r="182" spans="4:12" x14ac:dyDescent="0.45">
      <c r="D182" t="s">
        <v>181</v>
      </c>
      <c r="E182">
        <v>3</v>
      </c>
      <c r="F182">
        <v>5</v>
      </c>
      <c r="H182">
        <v>1000</v>
      </c>
    </row>
    <row r="183" spans="4:12" x14ac:dyDescent="0.45">
      <c r="D183" t="s">
        <v>181</v>
      </c>
      <c r="E183">
        <v>3</v>
      </c>
      <c r="F183">
        <v>6</v>
      </c>
      <c r="H183">
        <v>1000</v>
      </c>
    </row>
    <row r="184" spans="4:12" x14ac:dyDescent="0.45">
      <c r="D184" t="s">
        <v>181</v>
      </c>
      <c r="E184">
        <v>3</v>
      </c>
      <c r="F184">
        <v>7</v>
      </c>
      <c r="H184">
        <v>1000</v>
      </c>
    </row>
    <row r="185" spans="4:12" x14ac:dyDescent="0.45">
      <c r="D185" t="s">
        <v>181</v>
      </c>
      <c r="E185">
        <v>3</v>
      </c>
      <c r="F185">
        <v>8</v>
      </c>
      <c r="H185">
        <v>1000</v>
      </c>
    </row>
    <row r="186" spans="4:12" x14ac:dyDescent="0.45">
      <c r="D186" t="s">
        <v>181</v>
      </c>
      <c r="E186">
        <v>3</v>
      </c>
      <c r="F186">
        <v>9</v>
      </c>
      <c r="H186">
        <v>1000</v>
      </c>
    </row>
    <row r="187" spans="4:12" x14ac:dyDescent="0.45">
      <c r="D187" t="s">
        <v>181</v>
      </c>
      <c r="E187">
        <v>3</v>
      </c>
      <c r="F187">
        <v>10</v>
      </c>
      <c r="H187">
        <v>1000</v>
      </c>
    </row>
    <row r="188" spans="4:12" x14ac:dyDescent="0.45">
      <c r="D188" t="s">
        <v>181</v>
      </c>
      <c r="E188">
        <v>3</v>
      </c>
      <c r="F188">
        <v>11</v>
      </c>
      <c r="H188">
        <v>1000</v>
      </c>
    </row>
    <row r="189" spans="4:12" x14ac:dyDescent="0.45">
      <c r="D189" t="s">
        <v>181</v>
      </c>
      <c r="E189">
        <v>3</v>
      </c>
      <c r="F189">
        <v>12</v>
      </c>
      <c r="H189">
        <v>1000</v>
      </c>
    </row>
    <row r="190" spans="4:12" x14ac:dyDescent="0.45">
      <c r="D190" t="s">
        <v>181</v>
      </c>
      <c r="E190">
        <v>3</v>
      </c>
      <c r="F190">
        <v>13</v>
      </c>
      <c r="H190">
        <v>1000</v>
      </c>
    </row>
    <row r="191" spans="4:12" x14ac:dyDescent="0.45">
      <c r="D191" t="s">
        <v>181</v>
      </c>
      <c r="E191">
        <v>3</v>
      </c>
      <c r="F191">
        <v>14</v>
      </c>
      <c r="H191">
        <v>1000</v>
      </c>
    </row>
    <row r="192" spans="4:12" x14ac:dyDescent="0.45">
      <c r="D192" t="s">
        <v>181</v>
      </c>
      <c r="E192">
        <v>3</v>
      </c>
      <c r="F192">
        <v>15</v>
      </c>
      <c r="H192">
        <v>1000</v>
      </c>
    </row>
    <row r="193" spans="4:10" x14ac:dyDescent="0.45">
      <c r="D193" t="s">
        <v>181</v>
      </c>
      <c r="E193">
        <v>3</v>
      </c>
      <c r="F193">
        <v>16</v>
      </c>
      <c r="H193">
        <v>1000</v>
      </c>
    </row>
    <row r="194" spans="4:10" x14ac:dyDescent="0.45">
      <c r="D194" t="s">
        <v>181</v>
      </c>
      <c r="E194">
        <v>3</v>
      </c>
      <c r="F194">
        <v>17</v>
      </c>
      <c r="H194">
        <v>1000</v>
      </c>
    </row>
    <row r="195" spans="4:10" x14ac:dyDescent="0.45">
      <c r="D195" t="s">
        <v>181</v>
      </c>
      <c r="E195">
        <v>3</v>
      </c>
      <c r="F195">
        <v>18</v>
      </c>
      <c r="H195">
        <v>1000</v>
      </c>
    </row>
    <row r="196" spans="4:10" x14ac:dyDescent="0.45">
      <c r="D196" t="s">
        <v>181</v>
      </c>
      <c r="E196">
        <v>3</v>
      </c>
      <c r="F196">
        <v>19</v>
      </c>
      <c r="H196">
        <v>1000</v>
      </c>
    </row>
    <row r="197" spans="4:10" x14ac:dyDescent="0.45">
      <c r="D197" t="s">
        <v>181</v>
      </c>
      <c r="E197">
        <v>3</v>
      </c>
      <c r="F197">
        <v>20</v>
      </c>
      <c r="H197">
        <v>1000</v>
      </c>
    </row>
    <row r="198" spans="4:10" x14ac:dyDescent="0.45">
      <c r="D198" t="s">
        <v>181</v>
      </c>
      <c r="E198">
        <v>3</v>
      </c>
      <c r="F198">
        <v>21</v>
      </c>
      <c r="H198">
        <v>1000</v>
      </c>
    </row>
    <row r="199" spans="4:10" x14ac:dyDescent="0.45">
      <c r="D199" t="s">
        <v>181</v>
      </c>
      <c r="E199">
        <v>3</v>
      </c>
      <c r="F199">
        <v>22</v>
      </c>
      <c r="H199">
        <v>1000</v>
      </c>
    </row>
    <row r="200" spans="4:10" x14ac:dyDescent="0.45">
      <c r="D200" t="s">
        <v>181</v>
      </c>
      <c r="E200">
        <v>3</v>
      </c>
      <c r="F200">
        <v>23</v>
      </c>
      <c r="H200">
        <v>1000</v>
      </c>
    </row>
    <row r="201" spans="4:10" x14ac:dyDescent="0.45">
      <c r="D201" t="s">
        <v>181</v>
      </c>
      <c r="E201">
        <v>3</v>
      </c>
      <c r="F201">
        <v>24</v>
      </c>
      <c r="H201">
        <v>1000</v>
      </c>
    </row>
    <row r="202" spans="4:10" x14ac:dyDescent="0.45">
      <c r="D202" t="s">
        <v>181</v>
      </c>
      <c r="E202">
        <v>5</v>
      </c>
      <c r="F202">
        <v>1</v>
      </c>
      <c r="H202">
        <v>10000</v>
      </c>
      <c r="J202" t="s">
        <v>184</v>
      </c>
    </row>
    <row r="203" spans="4:10" x14ac:dyDescent="0.45">
      <c r="D203" t="s">
        <v>181</v>
      </c>
      <c r="E203">
        <v>5</v>
      </c>
      <c r="F203">
        <v>2</v>
      </c>
      <c r="H203">
        <v>10000</v>
      </c>
    </row>
    <row r="204" spans="4:10" x14ac:dyDescent="0.45">
      <c r="D204" t="s">
        <v>181</v>
      </c>
      <c r="E204">
        <v>5</v>
      </c>
      <c r="F204">
        <v>3</v>
      </c>
      <c r="H204">
        <v>10000</v>
      </c>
    </row>
    <row r="205" spans="4:10" x14ac:dyDescent="0.45">
      <c r="D205" t="s">
        <v>181</v>
      </c>
      <c r="E205">
        <v>5</v>
      </c>
      <c r="F205">
        <v>4</v>
      </c>
      <c r="H205">
        <v>10000</v>
      </c>
    </row>
    <row r="206" spans="4:10" x14ac:dyDescent="0.45">
      <c r="D206" t="s">
        <v>181</v>
      </c>
      <c r="E206">
        <v>5</v>
      </c>
      <c r="F206">
        <v>5</v>
      </c>
      <c r="H206">
        <v>10000</v>
      </c>
    </row>
    <row r="207" spans="4:10" x14ac:dyDescent="0.45">
      <c r="D207" t="s">
        <v>182</v>
      </c>
      <c r="E207">
        <v>3</v>
      </c>
      <c r="F207">
        <v>1</v>
      </c>
      <c r="H207">
        <v>1000</v>
      </c>
    </row>
    <row r="208" spans="4:10" x14ac:dyDescent="0.45">
      <c r="D208" t="s">
        <v>182</v>
      </c>
      <c r="E208">
        <v>3</v>
      </c>
      <c r="F208">
        <v>2</v>
      </c>
      <c r="H208">
        <v>1000</v>
      </c>
    </row>
    <row r="209" spans="4:8" x14ac:dyDescent="0.45">
      <c r="D209" t="s">
        <v>182</v>
      </c>
      <c r="E209">
        <v>3</v>
      </c>
      <c r="F209">
        <v>3</v>
      </c>
      <c r="H209">
        <v>1000</v>
      </c>
    </row>
    <row r="210" spans="4:8" x14ac:dyDescent="0.45">
      <c r="D210" t="s">
        <v>182</v>
      </c>
      <c r="E210">
        <v>3</v>
      </c>
      <c r="F210">
        <v>4</v>
      </c>
      <c r="H210">
        <v>1000</v>
      </c>
    </row>
    <row r="211" spans="4:8" x14ac:dyDescent="0.45">
      <c r="D211" t="s">
        <v>182</v>
      </c>
      <c r="E211">
        <v>3</v>
      </c>
      <c r="F211">
        <v>5</v>
      </c>
      <c r="H211">
        <v>1000</v>
      </c>
    </row>
    <row r="212" spans="4:8" x14ac:dyDescent="0.45">
      <c r="D212" t="s">
        <v>182</v>
      </c>
      <c r="E212">
        <v>3</v>
      </c>
      <c r="F212">
        <v>6</v>
      </c>
      <c r="H212">
        <v>1000</v>
      </c>
    </row>
    <row r="213" spans="4:8" x14ac:dyDescent="0.45">
      <c r="D213" t="s">
        <v>182</v>
      </c>
      <c r="E213">
        <v>3</v>
      </c>
      <c r="F213">
        <v>7</v>
      </c>
      <c r="H213">
        <v>1000</v>
      </c>
    </row>
    <row r="214" spans="4:8" x14ac:dyDescent="0.45">
      <c r="D214" t="s">
        <v>182</v>
      </c>
      <c r="E214">
        <v>3</v>
      </c>
      <c r="F214">
        <v>8</v>
      </c>
      <c r="H214">
        <v>1000</v>
      </c>
    </row>
    <row r="215" spans="4:8" x14ac:dyDescent="0.45">
      <c r="D215" t="s">
        <v>182</v>
      </c>
      <c r="E215">
        <v>3</v>
      </c>
      <c r="F215">
        <v>9</v>
      </c>
      <c r="H215">
        <v>1000</v>
      </c>
    </row>
    <row r="216" spans="4:8" x14ac:dyDescent="0.45">
      <c r="D216" t="s">
        <v>182</v>
      </c>
      <c r="E216">
        <v>3</v>
      </c>
      <c r="F216">
        <v>10</v>
      </c>
      <c r="H216">
        <v>1000</v>
      </c>
    </row>
    <row r="217" spans="4:8" x14ac:dyDescent="0.45">
      <c r="D217" t="s">
        <v>182</v>
      </c>
      <c r="E217">
        <v>3</v>
      </c>
      <c r="F217">
        <v>11</v>
      </c>
      <c r="H217">
        <v>1000</v>
      </c>
    </row>
    <row r="218" spans="4:8" x14ac:dyDescent="0.45">
      <c r="D218" t="s">
        <v>182</v>
      </c>
      <c r="E218">
        <v>3</v>
      </c>
      <c r="F218">
        <v>12</v>
      </c>
      <c r="H218">
        <v>1000</v>
      </c>
    </row>
    <row r="219" spans="4:8" x14ac:dyDescent="0.45">
      <c r="D219" t="s">
        <v>182</v>
      </c>
      <c r="E219">
        <v>3</v>
      </c>
      <c r="F219">
        <v>13</v>
      </c>
      <c r="H219">
        <v>1000</v>
      </c>
    </row>
    <row r="220" spans="4:8" x14ac:dyDescent="0.45">
      <c r="D220" t="s">
        <v>182</v>
      </c>
      <c r="E220">
        <v>3</v>
      </c>
      <c r="F220">
        <v>14</v>
      </c>
      <c r="H220">
        <v>1000</v>
      </c>
    </row>
    <row r="221" spans="4:8" x14ac:dyDescent="0.45">
      <c r="D221" t="s">
        <v>182</v>
      </c>
      <c r="E221">
        <v>3</v>
      </c>
      <c r="F221">
        <v>15</v>
      </c>
      <c r="H221">
        <v>1000</v>
      </c>
    </row>
    <row r="222" spans="4:8" x14ac:dyDescent="0.45">
      <c r="D222" t="s">
        <v>182</v>
      </c>
      <c r="E222">
        <v>3</v>
      </c>
      <c r="F222">
        <v>16</v>
      </c>
      <c r="H222">
        <v>1000</v>
      </c>
    </row>
    <row r="223" spans="4:8" x14ac:dyDescent="0.45">
      <c r="D223" t="s">
        <v>182</v>
      </c>
      <c r="E223">
        <v>3</v>
      </c>
      <c r="F223">
        <v>17</v>
      </c>
      <c r="H223">
        <v>1000</v>
      </c>
    </row>
    <row r="224" spans="4:8" x14ac:dyDescent="0.45">
      <c r="D224" t="s">
        <v>182</v>
      </c>
      <c r="E224">
        <v>3</v>
      </c>
      <c r="F224">
        <v>18</v>
      </c>
      <c r="H224">
        <v>1000</v>
      </c>
    </row>
    <row r="225" spans="4:8" x14ac:dyDescent="0.45">
      <c r="D225" t="s">
        <v>182</v>
      </c>
      <c r="E225">
        <v>3</v>
      </c>
      <c r="F225">
        <v>19</v>
      </c>
      <c r="H225">
        <v>1000</v>
      </c>
    </row>
    <row r="226" spans="4:8" x14ac:dyDescent="0.45">
      <c r="D226" t="s">
        <v>182</v>
      </c>
      <c r="E226">
        <v>3</v>
      </c>
      <c r="F226">
        <v>20</v>
      </c>
      <c r="H226">
        <v>1000</v>
      </c>
    </row>
    <row r="227" spans="4:8" x14ac:dyDescent="0.45">
      <c r="D227" t="s">
        <v>182</v>
      </c>
      <c r="E227">
        <v>3</v>
      </c>
      <c r="F227">
        <v>21</v>
      </c>
      <c r="H227">
        <v>1000</v>
      </c>
    </row>
    <row r="228" spans="4:8" x14ac:dyDescent="0.45">
      <c r="D228" t="s">
        <v>182</v>
      </c>
      <c r="E228">
        <v>3</v>
      </c>
      <c r="F228">
        <v>22</v>
      </c>
      <c r="H228">
        <v>1000</v>
      </c>
    </row>
    <row r="229" spans="4:8" x14ac:dyDescent="0.45">
      <c r="D229" t="s">
        <v>182</v>
      </c>
      <c r="E229">
        <v>3</v>
      </c>
      <c r="F229">
        <v>23</v>
      </c>
      <c r="H229">
        <v>1000</v>
      </c>
    </row>
    <row r="230" spans="4:8" x14ac:dyDescent="0.45">
      <c r="D230" t="s">
        <v>182</v>
      </c>
      <c r="E230">
        <v>3</v>
      </c>
      <c r="F230">
        <v>24</v>
      </c>
      <c r="H230">
        <v>1000</v>
      </c>
    </row>
    <row r="231" spans="4:8" x14ac:dyDescent="0.45">
      <c r="D231" t="s">
        <v>182</v>
      </c>
      <c r="E231">
        <v>5</v>
      </c>
      <c r="F231">
        <v>1</v>
      </c>
      <c r="H231">
        <v>10000</v>
      </c>
    </row>
    <row r="232" spans="4:8" x14ac:dyDescent="0.45">
      <c r="D232" t="s">
        <v>182</v>
      </c>
      <c r="E232">
        <v>5</v>
      </c>
      <c r="F232">
        <v>2</v>
      </c>
      <c r="H232">
        <v>10000</v>
      </c>
    </row>
    <row r="233" spans="4:8" x14ac:dyDescent="0.45">
      <c r="D233" t="s">
        <v>182</v>
      </c>
      <c r="E233">
        <v>5</v>
      </c>
      <c r="F233">
        <v>3</v>
      </c>
      <c r="H233">
        <v>10000</v>
      </c>
    </row>
    <row r="234" spans="4:8" x14ac:dyDescent="0.45">
      <c r="D234" t="s">
        <v>182</v>
      </c>
      <c r="E234">
        <v>5</v>
      </c>
      <c r="F234">
        <v>4</v>
      </c>
      <c r="H234">
        <v>10000</v>
      </c>
    </row>
    <row r="235" spans="4:8" x14ac:dyDescent="0.45">
      <c r="D235" t="s">
        <v>182</v>
      </c>
      <c r="E235">
        <v>5</v>
      </c>
      <c r="F235">
        <v>5</v>
      </c>
      <c r="H235">
        <v>10000</v>
      </c>
    </row>
  </sheetData>
  <autoFilter ref="A1:J235"/>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workbookViewId="0">
      <pane ySplit="1" topLeftCell="A6" activePane="bottomLeft" state="frozen"/>
      <selection pane="bottomLeft" activeCell="F14" sqref="F14"/>
    </sheetView>
  </sheetViews>
  <sheetFormatPr defaultRowHeight="14.25" x14ac:dyDescent="0.45"/>
  <cols>
    <col min="1" max="1" width="11.265625" customWidth="1"/>
    <col min="2" max="2" width="23.265625" style="1" customWidth="1"/>
    <col min="3" max="3" width="31.59765625" style="1" customWidth="1"/>
    <col min="4" max="5" width="28.3984375" style="1" customWidth="1"/>
    <col min="6" max="6" width="31.86328125" style="1" customWidth="1"/>
    <col min="7" max="7" width="28.3984375" style="1" customWidth="1"/>
    <col min="8" max="8" width="26.59765625" customWidth="1"/>
    <col min="9" max="9" width="20.86328125" customWidth="1"/>
    <col min="10" max="10" width="8.59765625" customWidth="1"/>
    <col min="11" max="11" width="11" customWidth="1"/>
    <col min="12" max="13" width="19.86328125" customWidth="1"/>
    <col min="14" max="14" width="15.59765625" customWidth="1"/>
    <col min="15" max="15" width="10.59765625" customWidth="1"/>
    <col min="16" max="16" width="13.59765625" customWidth="1"/>
  </cols>
  <sheetData>
    <row r="1" spans="1:17" s="2" customFormat="1" ht="130.15" thickBot="1" x14ac:dyDescent="0.65">
      <c r="A1" s="2" t="s">
        <v>39</v>
      </c>
      <c r="B1" s="3" t="s">
        <v>0</v>
      </c>
      <c r="C1" s="3" t="s">
        <v>1</v>
      </c>
      <c r="D1" s="3" t="s">
        <v>46</v>
      </c>
      <c r="E1" s="3" t="s">
        <v>47</v>
      </c>
      <c r="F1" s="3" t="s">
        <v>49</v>
      </c>
      <c r="G1" s="3" t="s">
        <v>48</v>
      </c>
      <c r="H1" s="6" t="s">
        <v>43</v>
      </c>
      <c r="I1" s="6" t="s">
        <v>44</v>
      </c>
      <c r="J1" s="6" t="s">
        <v>45</v>
      </c>
      <c r="K1" s="6" t="s">
        <v>3</v>
      </c>
      <c r="L1" s="2" t="s">
        <v>36</v>
      </c>
      <c r="M1" s="2" t="s">
        <v>40</v>
      </c>
      <c r="N1" s="2" t="s">
        <v>5</v>
      </c>
      <c r="O1" s="2" t="s">
        <v>41</v>
      </c>
      <c r="P1" s="2" t="s">
        <v>42</v>
      </c>
      <c r="Q1" s="2" t="s">
        <v>7</v>
      </c>
    </row>
    <row r="2" spans="1:17" ht="114.4" thickTop="1" x14ac:dyDescent="0.45">
      <c r="A2" t="s">
        <v>8</v>
      </c>
      <c r="B2" s="7" t="s">
        <v>52</v>
      </c>
      <c r="D2" s="1" t="s">
        <v>57</v>
      </c>
      <c r="H2" s="1" t="s">
        <v>56</v>
      </c>
      <c r="I2" s="1"/>
      <c r="J2" s="1"/>
      <c r="L2" s="1"/>
      <c r="M2" s="1"/>
    </row>
    <row r="3" spans="1:17" ht="142.5" x14ac:dyDescent="0.45">
      <c r="A3" t="s">
        <v>9</v>
      </c>
      <c r="B3" s="7" t="s">
        <v>53</v>
      </c>
      <c r="D3" s="1" t="s">
        <v>58</v>
      </c>
      <c r="H3" s="1" t="s">
        <v>59</v>
      </c>
      <c r="I3" s="1"/>
      <c r="J3" s="1"/>
      <c r="L3" s="1"/>
      <c r="M3" s="1"/>
    </row>
    <row r="4" spans="1:17" ht="48" customHeight="1" x14ac:dyDescent="0.45">
      <c r="A4" t="s">
        <v>10</v>
      </c>
      <c r="B4" t="s">
        <v>54</v>
      </c>
      <c r="D4" s="1" t="s">
        <v>60</v>
      </c>
      <c r="H4" s="1" t="s">
        <v>59</v>
      </c>
    </row>
    <row r="5" spans="1:17" ht="171" x14ac:dyDescent="0.45">
      <c r="A5" t="s">
        <v>11</v>
      </c>
      <c r="B5" s="1" t="s">
        <v>55</v>
      </c>
      <c r="D5" s="1" t="s">
        <v>61</v>
      </c>
      <c r="H5" s="1" t="s">
        <v>62</v>
      </c>
      <c r="I5" s="1"/>
      <c r="J5" s="1"/>
      <c r="L5" s="1"/>
      <c r="M5" s="1"/>
    </row>
    <row r="6" spans="1:17" x14ac:dyDescent="0.45">
      <c r="A6" t="s">
        <v>12</v>
      </c>
    </row>
    <row r="7" spans="1:17" ht="57" x14ac:dyDescent="0.45">
      <c r="A7" t="s">
        <v>13</v>
      </c>
      <c r="B7" s="1" t="s">
        <v>86</v>
      </c>
      <c r="C7" s="1" t="s">
        <v>87</v>
      </c>
    </row>
    <row r="8" spans="1:17" x14ac:dyDescent="0.45">
      <c r="A8" t="s">
        <v>14</v>
      </c>
    </row>
    <row r="9" spans="1:17" x14ac:dyDescent="0.45">
      <c r="A9" t="s">
        <v>15</v>
      </c>
    </row>
    <row r="10" spans="1:17" x14ac:dyDescent="0.45">
      <c r="A10" t="s">
        <v>16</v>
      </c>
    </row>
    <row r="11" spans="1:17" x14ac:dyDescent="0.45">
      <c r="A11" t="s">
        <v>17</v>
      </c>
    </row>
    <row r="12" spans="1:17" x14ac:dyDescent="0.45">
      <c r="A12" t="s">
        <v>18</v>
      </c>
    </row>
    <row r="13" spans="1:17" x14ac:dyDescent="0.45">
      <c r="A13" t="s">
        <v>19</v>
      </c>
    </row>
    <row r="14" spans="1:17" x14ac:dyDescent="0.45">
      <c r="A14" t="s">
        <v>20</v>
      </c>
    </row>
    <row r="15" spans="1:17" x14ac:dyDescent="0.45">
      <c r="A15" t="s">
        <v>21</v>
      </c>
    </row>
    <row r="16" spans="1:17" x14ac:dyDescent="0.45">
      <c r="A16" t="s">
        <v>22</v>
      </c>
    </row>
    <row r="17" spans="1:1" x14ac:dyDescent="0.45">
      <c r="A17" t="s">
        <v>23</v>
      </c>
    </row>
    <row r="18" spans="1:1" x14ac:dyDescent="0.45">
      <c r="A18" t="s">
        <v>24</v>
      </c>
    </row>
    <row r="19" spans="1:1" x14ac:dyDescent="0.45">
      <c r="A19" t="s">
        <v>25</v>
      </c>
    </row>
    <row r="20" spans="1:1" x14ac:dyDescent="0.45">
      <c r="A20" t="s">
        <v>26</v>
      </c>
    </row>
    <row r="21" spans="1:1" x14ac:dyDescent="0.45">
      <c r="A21" t="s">
        <v>27</v>
      </c>
    </row>
    <row r="22" spans="1:1" x14ac:dyDescent="0.45">
      <c r="A22" t="s">
        <v>28</v>
      </c>
    </row>
    <row r="23" spans="1:1" x14ac:dyDescent="0.45">
      <c r="A23" t="s">
        <v>29</v>
      </c>
    </row>
    <row r="24" spans="1:1" x14ac:dyDescent="0.45">
      <c r="A24" t="s">
        <v>30</v>
      </c>
    </row>
    <row r="25" spans="1:1" x14ac:dyDescent="0.45">
      <c r="A25" t="s">
        <v>31</v>
      </c>
    </row>
    <row r="26" spans="1:1" x14ac:dyDescent="0.45">
      <c r="A26" t="s">
        <v>32</v>
      </c>
    </row>
    <row r="27" spans="1:1" x14ac:dyDescent="0.45">
      <c r="A27" t="s">
        <v>33</v>
      </c>
    </row>
    <row r="28" spans="1:1" x14ac:dyDescent="0.45">
      <c r="A28" t="s">
        <v>34</v>
      </c>
    </row>
    <row r="29" spans="1:1" x14ac:dyDescent="0.45">
      <c r="A29"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145" zoomScaleNormal="145" workbookViewId="0">
      <pane ySplit="1" topLeftCell="A2" activePane="bottomLeft" state="frozen"/>
      <selection pane="bottomLeft" activeCell="G2" sqref="G2:G17"/>
    </sheetView>
  </sheetViews>
  <sheetFormatPr defaultRowHeight="14.25" x14ac:dyDescent="0.45"/>
  <cols>
    <col min="1" max="1" width="13.59765625" customWidth="1"/>
    <col min="2" max="2" width="43" customWidth="1"/>
    <col min="3" max="3" width="11" customWidth="1"/>
    <col min="4" max="4" width="14.1328125" customWidth="1"/>
    <col min="5" max="5" width="37.59765625" customWidth="1"/>
    <col min="6" max="6" width="17.1328125" customWidth="1"/>
    <col min="7" max="7" width="14.59765625" customWidth="1"/>
    <col min="8" max="9" width="11.1328125" customWidth="1"/>
    <col min="10" max="10" width="25.73046875" customWidth="1"/>
    <col min="11" max="11" width="15.06640625" customWidth="1"/>
    <col min="12" max="12" width="20.3984375" customWidth="1"/>
  </cols>
  <sheetData>
    <row r="1" spans="1:12" ht="42.75" x14ac:dyDescent="0.45">
      <c r="A1" t="s">
        <v>273</v>
      </c>
      <c r="B1" s="1" t="s">
        <v>278</v>
      </c>
      <c r="C1" s="1" t="s">
        <v>262</v>
      </c>
      <c r="D1" s="1" t="s">
        <v>587</v>
      </c>
      <c r="E1" s="1" t="s">
        <v>1</v>
      </c>
      <c r="F1" s="1" t="s">
        <v>646</v>
      </c>
      <c r="G1" s="1" t="s">
        <v>264</v>
      </c>
      <c r="H1" s="1" t="s">
        <v>387</v>
      </c>
      <c r="I1" s="1" t="s">
        <v>582</v>
      </c>
      <c r="J1" s="1" t="s">
        <v>265</v>
      </c>
      <c r="K1" s="1" t="s">
        <v>940</v>
      </c>
      <c r="L1" s="1" t="s">
        <v>980</v>
      </c>
    </row>
    <row r="2" spans="1:12" x14ac:dyDescent="0.45">
      <c r="A2" t="s">
        <v>319</v>
      </c>
      <c r="B2" t="str">
        <f>C2&amp;"_"&amp;D2&amp;"_"&amp;F2&amp;"_"&amp;Subscriptions[[#This Row],[Environment]]</f>
        <v>MAG_dept_Managed_CJIS</v>
      </c>
      <c r="C2" t="s">
        <v>266</v>
      </c>
      <c r="D2" t="str">
        <f>VLOOKUP(Subscriptions[[#This Row],[DeptID]], Departments[#All], 2, FALSE)</f>
        <v>dept</v>
      </c>
      <c r="E2" t="s">
        <v>641</v>
      </c>
      <c r="F2" t="str">
        <f>VLOOKUP(Subscriptions[[#This Row],[DeptID]], Departments[#All], 4, FALSE)</f>
        <v>Managed</v>
      </c>
      <c r="G2" t="s">
        <v>397</v>
      </c>
      <c r="H2" t="s">
        <v>630</v>
      </c>
      <c r="I2" t="s">
        <v>588</v>
      </c>
      <c r="J2" t="str">
        <f>VLOOKUP(Subscriptions[[#This Row],[DeptID]], Departments[], 6, FALSE)</f>
        <v>dept_Managed_AA</v>
      </c>
    </row>
    <row r="3" spans="1:12" x14ac:dyDescent="0.45">
      <c r="A3" t="s">
        <v>320</v>
      </c>
      <c r="B3" t="str">
        <f>C3&amp;"_"&amp;D3&amp;"_"&amp;F3&amp;"_"&amp;Subscriptions[[#This Row],[Environment]]</f>
        <v>MAG_dept_Managed_PreProd</v>
      </c>
      <c r="C3" t="s">
        <v>266</v>
      </c>
      <c r="D3" t="str">
        <f>VLOOKUP(Subscriptions[[#This Row],[DeptID]], Departments[#All], 2, FALSE)</f>
        <v>dept</v>
      </c>
      <c r="E3" t="s">
        <v>642</v>
      </c>
      <c r="F3" t="str">
        <f>VLOOKUP(Subscriptions[[#This Row],[DeptID]], Departments[#All], 4, FALSE)</f>
        <v>Managed</v>
      </c>
      <c r="G3" t="s">
        <v>382</v>
      </c>
      <c r="H3" t="s">
        <v>630</v>
      </c>
      <c r="I3" t="s">
        <v>588</v>
      </c>
      <c r="J3" t="str">
        <f>VLOOKUP(Subscriptions[[#This Row],[DeptID]], Departments[], 6, FALSE)</f>
        <v>dept_Managed_AA</v>
      </c>
    </row>
    <row r="4" spans="1:12" x14ac:dyDescent="0.45">
      <c r="A4" t="s">
        <v>321</v>
      </c>
      <c r="B4" t="str">
        <f>C4&amp;"_"&amp;D4&amp;"_"&amp;F4&amp;"_"&amp;Subscriptions[[#This Row],[Environment]]</f>
        <v>MAG_dept_Managed_Prod</v>
      </c>
      <c r="C4" t="s">
        <v>266</v>
      </c>
      <c r="D4" t="str">
        <f>VLOOKUP(Subscriptions[[#This Row],[DeptID]], Departments[#All], 2, FALSE)</f>
        <v>dept</v>
      </c>
      <c r="E4" t="s">
        <v>643</v>
      </c>
      <c r="F4" t="str">
        <f>VLOOKUP(Subscriptions[[#This Row],[DeptID]], Departments[#All], 4, FALSE)</f>
        <v>Managed</v>
      </c>
      <c r="G4" t="s">
        <v>391</v>
      </c>
      <c r="H4" t="s">
        <v>630</v>
      </c>
      <c r="I4" t="s">
        <v>588</v>
      </c>
      <c r="J4" t="str">
        <f>VLOOKUP(Subscriptions[[#This Row],[DeptID]], Departments[], 6, FALSE)</f>
        <v>dept_Managed_AA</v>
      </c>
    </row>
    <row r="5" spans="1:12" x14ac:dyDescent="0.45">
      <c r="A5" t="s">
        <v>322</v>
      </c>
      <c r="B5" t="str">
        <f>C5&amp;"_"&amp;D5&amp;"_"&amp;F5&amp;"_"&amp;Subscriptions[[#This Row],[Environment]]</f>
        <v>MAG_dept_Managed_Services</v>
      </c>
      <c r="C5" t="s">
        <v>266</v>
      </c>
      <c r="D5" t="str">
        <f>VLOOKUP(Subscriptions[[#This Row],[DeptID]], Departments[#All], 2, FALSE)</f>
        <v>dept</v>
      </c>
      <c r="E5" t="s">
        <v>644</v>
      </c>
      <c r="F5" t="str">
        <f>VLOOKUP(Subscriptions[[#This Row],[DeptID]], Departments[#All], 4, FALSE)</f>
        <v>Managed</v>
      </c>
      <c r="G5" t="s">
        <v>72</v>
      </c>
      <c r="H5" t="s">
        <v>630</v>
      </c>
      <c r="I5" t="s">
        <v>588</v>
      </c>
      <c r="J5" t="str">
        <f>VLOOKUP(Subscriptions[[#This Row],[DeptID]], Departments[], 6, FALSE)</f>
        <v>dept_Managed_AA</v>
      </c>
    </row>
    <row r="6" spans="1:12" x14ac:dyDescent="0.45">
      <c r="A6" t="s">
        <v>323</v>
      </c>
      <c r="B6" t="str">
        <f>C6&amp;"_"&amp;D6&amp;"_"&amp;F6&amp;"_"&amp;Subscriptions[[#This Row],[Environment]]</f>
        <v>MAG_dept_Managed_Storage</v>
      </c>
      <c r="C6" t="s">
        <v>266</v>
      </c>
      <c r="D6" t="str">
        <f>VLOOKUP(Subscriptions[[#This Row],[DeptID]], Departments[#All], 2, FALSE)</f>
        <v>dept</v>
      </c>
      <c r="E6" t="s">
        <v>645</v>
      </c>
      <c r="F6" t="str">
        <f>VLOOKUP(Subscriptions[[#This Row],[DeptID]], Departments[#All], 4, FALSE)</f>
        <v>Managed</v>
      </c>
      <c r="G6" t="s">
        <v>211</v>
      </c>
      <c r="H6" t="s">
        <v>630</v>
      </c>
      <c r="I6" t="s">
        <v>588</v>
      </c>
      <c r="J6" t="str">
        <f>VLOOKUP(Subscriptions[[#This Row],[DeptID]], Departments[], 6, FALSE)</f>
        <v>dept_Managed_AA</v>
      </c>
    </row>
    <row r="7" spans="1:12" x14ac:dyDescent="0.45">
      <c r="A7" t="s">
        <v>324</v>
      </c>
      <c r="B7" t="str">
        <f>C7&amp;"_"&amp;D7&amp;"_"&amp;F7&amp;"_"&amp;Subscriptions[[#This Row],[Environment]]</f>
        <v>MAG_dept_Sandbox_DevTeamA</v>
      </c>
      <c r="C7" t="s">
        <v>266</v>
      </c>
      <c r="D7" t="str">
        <f>VLOOKUP(Subscriptions[[#This Row],[DeptID]], Departments[#All], 2, FALSE)</f>
        <v>dept</v>
      </c>
      <c r="E7" t="s">
        <v>641</v>
      </c>
      <c r="F7" t="str">
        <f>VLOOKUP(Subscriptions[[#This Row],[DeptID]], Departments[#All], 4, FALSE)</f>
        <v>Sandbox</v>
      </c>
      <c r="G7" t="s">
        <v>934</v>
      </c>
      <c r="H7" t="s">
        <v>630</v>
      </c>
      <c r="I7" t="s">
        <v>640</v>
      </c>
      <c r="J7" t="str">
        <f>VLOOKUP(Subscriptions[[#This Row],[DeptID]], Departments[], 6, FALSE)</f>
        <v>dept_Sandbox_AA</v>
      </c>
    </row>
    <row r="8" spans="1:12" x14ac:dyDescent="0.45">
      <c r="A8" t="s">
        <v>325</v>
      </c>
      <c r="B8" t="str">
        <f>C8&amp;"_"&amp;D8&amp;"_"&amp;F8&amp;"_"&amp;Subscriptions[[#This Row],[Environment]]</f>
        <v>MAG_dept_Sandbox_DevTeamB</v>
      </c>
      <c r="C8" t="s">
        <v>266</v>
      </c>
      <c r="D8" t="str">
        <f>VLOOKUP(Subscriptions[[#This Row],[DeptID]], Departments[#All], 2, FALSE)</f>
        <v>dept</v>
      </c>
      <c r="E8" t="s">
        <v>642</v>
      </c>
      <c r="F8" t="str">
        <f>VLOOKUP(Subscriptions[[#This Row],[DeptID]], Departments[#All], 4, FALSE)</f>
        <v>Sandbox</v>
      </c>
      <c r="G8" t="s">
        <v>935</v>
      </c>
      <c r="H8" t="s">
        <v>630</v>
      </c>
      <c r="I8" t="s">
        <v>640</v>
      </c>
      <c r="J8" t="str">
        <f>VLOOKUP(Subscriptions[[#This Row],[DeptID]], Departments[], 6, FALSE)</f>
        <v>dept_Sandbox_AA</v>
      </c>
    </row>
    <row r="9" spans="1:12" x14ac:dyDescent="0.45">
      <c r="A9" t="s">
        <v>326</v>
      </c>
      <c r="B9" t="str">
        <f>C9&amp;"_"&amp;D9&amp;"_"&amp;F9&amp;"_"&amp;Subscriptions[[#This Row],[Environment]]</f>
        <v>MAG_dept_Sandbox_DevTeamC</v>
      </c>
      <c r="C9" t="s">
        <v>266</v>
      </c>
      <c r="D9" t="str">
        <f>VLOOKUP(Subscriptions[[#This Row],[DeptID]], Departments[#All], 2, FALSE)</f>
        <v>dept</v>
      </c>
      <c r="E9" t="s">
        <v>643</v>
      </c>
      <c r="F9" t="str">
        <f>VLOOKUP(Subscriptions[[#This Row],[DeptID]], Departments[#All], 4, FALSE)</f>
        <v>Sandbox</v>
      </c>
      <c r="G9" t="s">
        <v>936</v>
      </c>
      <c r="H9" t="s">
        <v>630</v>
      </c>
      <c r="I9" t="s">
        <v>640</v>
      </c>
      <c r="J9" t="str">
        <f>VLOOKUP(Subscriptions[[#This Row],[DeptID]], Departments[], 6, FALSE)</f>
        <v>dept_Sandbox_AA</v>
      </c>
    </row>
    <row r="10" spans="1:12" x14ac:dyDescent="0.45">
      <c r="A10" t="s">
        <v>327</v>
      </c>
      <c r="B10" t="str">
        <f>C10&amp;"_"&amp;D10&amp;"_"&amp;F10&amp;"_"&amp;Subscriptions[[#This Row],[Environment]]</f>
        <v>MAG_dept_Sandbox_DevTeamD</v>
      </c>
      <c r="C10" t="s">
        <v>266</v>
      </c>
      <c r="D10" t="str">
        <f>VLOOKUP(Subscriptions[[#This Row],[DeptID]], Departments[#All], 2, FALSE)</f>
        <v>dept</v>
      </c>
      <c r="E10" t="s">
        <v>644</v>
      </c>
      <c r="F10" t="str">
        <f>VLOOKUP(Subscriptions[[#This Row],[DeptID]], Departments[#All], 4, FALSE)</f>
        <v>Sandbox</v>
      </c>
      <c r="G10" t="s">
        <v>937</v>
      </c>
      <c r="H10" t="s">
        <v>630</v>
      </c>
      <c r="I10" t="s">
        <v>640</v>
      </c>
      <c r="J10" t="str">
        <f>VLOOKUP(Subscriptions[[#This Row],[DeptID]], Departments[], 6, FALSE)</f>
        <v>dept_Sandbox_AA</v>
      </c>
    </row>
    <row r="11" spans="1:12" x14ac:dyDescent="0.45">
      <c r="A11" t="s">
        <v>319</v>
      </c>
      <c r="B11" t="str">
        <f>C11&amp;"_"&amp;D11&amp;"_"&amp;F11&amp;"_"&amp;Subscriptions[[#This Row],[Environment]]</f>
        <v>MAC_dept_Managed_HBI</v>
      </c>
      <c r="C11" t="s">
        <v>938</v>
      </c>
      <c r="D11" t="str">
        <f>VLOOKUP(Subscriptions[[#This Row],[DeptID]], Departments[#All], 2, FALSE)</f>
        <v>dept</v>
      </c>
      <c r="E11" t="s">
        <v>641</v>
      </c>
      <c r="F11" t="str">
        <f>VLOOKUP(Subscriptions[[#This Row],[DeptID]], Departments[#All], 4, FALSE)</f>
        <v>Managed</v>
      </c>
      <c r="G11" t="s">
        <v>939</v>
      </c>
      <c r="H11" t="s">
        <v>630</v>
      </c>
      <c r="I11" t="s">
        <v>588</v>
      </c>
      <c r="J11" t="str">
        <f>VLOOKUP(Subscriptions[[#This Row],[DeptID]], Departments[], 6, FALSE)</f>
        <v>dept_Managed_AA</v>
      </c>
    </row>
    <row r="12" spans="1:12" x14ac:dyDescent="0.45">
      <c r="A12" t="s">
        <v>320</v>
      </c>
      <c r="B12" t="str">
        <f>C12&amp;"_"&amp;D12&amp;"_"&amp;F12&amp;"_"&amp;Subscriptions[[#This Row],[Environment]]</f>
        <v>MAC_dept_Managed_PreProd</v>
      </c>
      <c r="C12" t="s">
        <v>938</v>
      </c>
      <c r="D12" t="str">
        <f>VLOOKUP(Subscriptions[[#This Row],[DeptID]], Departments[#All], 2, FALSE)</f>
        <v>dept</v>
      </c>
      <c r="E12" t="s">
        <v>642</v>
      </c>
      <c r="F12" t="str">
        <f>VLOOKUP(Subscriptions[[#This Row],[DeptID]], Departments[#All], 4, FALSE)</f>
        <v>Managed</v>
      </c>
      <c r="G12" t="s">
        <v>382</v>
      </c>
      <c r="H12" t="s">
        <v>630</v>
      </c>
      <c r="I12" t="s">
        <v>588</v>
      </c>
      <c r="J12" t="str">
        <f>VLOOKUP(Subscriptions[[#This Row],[DeptID]], Departments[], 6, FALSE)</f>
        <v>dept_Managed_AA</v>
      </c>
    </row>
    <row r="13" spans="1:12" x14ac:dyDescent="0.45">
      <c r="A13" t="s">
        <v>321</v>
      </c>
      <c r="B13" t="str">
        <f>C13&amp;"_"&amp;D13&amp;"_"&amp;F13&amp;"_"&amp;Subscriptions[[#This Row],[Environment]]</f>
        <v>MAC_dept_Managed_Prod</v>
      </c>
      <c r="C13" t="s">
        <v>938</v>
      </c>
      <c r="D13" t="str">
        <f>VLOOKUP(Subscriptions[[#This Row],[DeptID]], Departments[#All], 2, FALSE)</f>
        <v>dept</v>
      </c>
      <c r="E13" t="s">
        <v>643</v>
      </c>
      <c r="F13" t="str">
        <f>VLOOKUP(Subscriptions[[#This Row],[DeptID]], Departments[#All], 4, FALSE)</f>
        <v>Managed</v>
      </c>
      <c r="G13" t="s">
        <v>391</v>
      </c>
      <c r="H13" t="s">
        <v>630</v>
      </c>
      <c r="I13" t="s">
        <v>588</v>
      </c>
      <c r="J13" t="str">
        <f>VLOOKUP(Subscriptions[[#This Row],[DeptID]], Departments[], 6, FALSE)</f>
        <v>dept_Managed_AA</v>
      </c>
    </row>
    <row r="14" spans="1:12" x14ac:dyDescent="0.45">
      <c r="A14" t="s">
        <v>322</v>
      </c>
      <c r="B14" t="str">
        <f>C14&amp;"_"&amp;D14&amp;"_"&amp;F14&amp;"_"&amp;Subscriptions[[#This Row],[Environment]]</f>
        <v>MAC_dept_Managed_Services</v>
      </c>
      <c r="C14" t="s">
        <v>938</v>
      </c>
      <c r="D14" t="str">
        <f>VLOOKUP(Subscriptions[[#This Row],[DeptID]], Departments[#All], 2, FALSE)</f>
        <v>dept</v>
      </c>
      <c r="E14" t="s">
        <v>644</v>
      </c>
      <c r="F14" t="str">
        <f>VLOOKUP(Subscriptions[[#This Row],[DeptID]], Departments[#All], 4, FALSE)</f>
        <v>Managed</v>
      </c>
      <c r="G14" t="s">
        <v>72</v>
      </c>
      <c r="H14" t="s">
        <v>630</v>
      </c>
      <c r="I14" t="s">
        <v>588</v>
      </c>
      <c r="J14" t="str">
        <f>VLOOKUP(Subscriptions[[#This Row],[DeptID]], Departments[], 6, FALSE)</f>
        <v>dept_Managed_AA</v>
      </c>
    </row>
    <row r="15" spans="1:12" x14ac:dyDescent="0.45">
      <c r="A15" t="s">
        <v>323</v>
      </c>
      <c r="B15" t="str">
        <f>C15&amp;"_"&amp;D15&amp;"_"&amp;F15&amp;"_"&amp;Subscriptions[[#This Row],[Environment]]</f>
        <v>MAC_dept_Managed_Storage</v>
      </c>
      <c r="C15" t="s">
        <v>938</v>
      </c>
      <c r="D15" t="str">
        <f>VLOOKUP(Subscriptions[[#This Row],[DeptID]], Departments[#All], 2, FALSE)</f>
        <v>dept</v>
      </c>
      <c r="E15" t="s">
        <v>645</v>
      </c>
      <c r="F15" t="str">
        <f>VLOOKUP(Subscriptions[[#This Row],[DeptID]], Departments[#All], 4, FALSE)</f>
        <v>Managed</v>
      </c>
      <c r="G15" t="s">
        <v>211</v>
      </c>
      <c r="H15" t="s">
        <v>630</v>
      </c>
      <c r="I15" t="s">
        <v>588</v>
      </c>
      <c r="J15" t="str">
        <f>VLOOKUP(Subscriptions[[#This Row],[DeptID]], Departments[], 6, FALSE)</f>
        <v>dept_Managed_AA</v>
      </c>
    </row>
    <row r="16" spans="1:12" x14ac:dyDescent="0.45">
      <c r="A16" t="s">
        <v>324</v>
      </c>
      <c r="B16" t="str">
        <f>C16&amp;"_"&amp;D16&amp;"_"&amp;F16&amp;"_"&amp;Subscriptions[[#This Row],[Environment]]</f>
        <v>MAC_dept_Sandbox_DevTeamA</v>
      </c>
      <c r="C16" t="s">
        <v>938</v>
      </c>
      <c r="D16" t="str">
        <f>VLOOKUP(Subscriptions[[#This Row],[DeptID]], Departments[#All], 2, FALSE)</f>
        <v>dept</v>
      </c>
      <c r="E16" t="s">
        <v>641</v>
      </c>
      <c r="F16" t="str">
        <f>VLOOKUP(Subscriptions[[#This Row],[DeptID]], Departments[#All], 4, FALSE)</f>
        <v>Sandbox</v>
      </c>
      <c r="G16" t="s">
        <v>934</v>
      </c>
      <c r="H16" t="s">
        <v>630</v>
      </c>
      <c r="I16" t="s">
        <v>640</v>
      </c>
      <c r="J16" t="str">
        <f>VLOOKUP(Subscriptions[[#This Row],[DeptID]], Departments[], 6, FALSE)</f>
        <v>dept_Sandbox_AA</v>
      </c>
    </row>
    <row r="17" spans="1:10" x14ac:dyDescent="0.45">
      <c r="A17" t="s">
        <v>325</v>
      </c>
      <c r="B17" t="str">
        <f>C17&amp;"_"&amp;D17&amp;"_"&amp;F17&amp;"_"&amp;Subscriptions[[#This Row],[Environment]]</f>
        <v>MAC_dept_Sandbox_DevTeamB</v>
      </c>
      <c r="C17" t="s">
        <v>938</v>
      </c>
      <c r="D17" t="str">
        <f>VLOOKUP(Subscriptions[[#This Row],[DeptID]], Departments[#All], 2, FALSE)</f>
        <v>dept</v>
      </c>
      <c r="E17" t="s">
        <v>642</v>
      </c>
      <c r="F17" t="str">
        <f>VLOOKUP(Subscriptions[[#This Row],[DeptID]], Departments[#All], 4, FALSE)</f>
        <v>Sandbox</v>
      </c>
      <c r="G17" t="s">
        <v>935</v>
      </c>
      <c r="H17" t="s">
        <v>630</v>
      </c>
      <c r="I17" t="s">
        <v>640</v>
      </c>
      <c r="J17" t="str">
        <f>VLOOKUP(Subscriptions[[#This Row],[DeptID]], Departments[], 6, FALSE)</f>
        <v>dept_Sandbox_AA</v>
      </c>
    </row>
    <row r="18" spans="1:10" x14ac:dyDescent="0.45">
      <c r="A18" t="s">
        <v>326</v>
      </c>
      <c r="B18" t="str">
        <f>C18&amp;"_"&amp;D18&amp;"_"&amp;F18&amp;"_"&amp;Subscriptions[[#This Row],[Environment]]</f>
        <v>MAC_dept_Sandbox_DevTeamC</v>
      </c>
      <c r="C18" t="s">
        <v>938</v>
      </c>
      <c r="D18" t="str">
        <f>VLOOKUP(Subscriptions[[#This Row],[DeptID]], Departments[#All], 2, FALSE)</f>
        <v>dept</v>
      </c>
      <c r="E18" t="s">
        <v>643</v>
      </c>
      <c r="F18" t="str">
        <f>VLOOKUP(Subscriptions[[#This Row],[DeptID]], Departments[#All], 4, FALSE)</f>
        <v>Sandbox</v>
      </c>
      <c r="G18" t="s">
        <v>936</v>
      </c>
      <c r="H18" t="s">
        <v>630</v>
      </c>
      <c r="I18" t="s">
        <v>640</v>
      </c>
      <c r="J18" t="str">
        <f>VLOOKUP(Subscriptions[[#This Row],[DeptID]], Departments[], 6, FALSE)</f>
        <v>dept_Sandbox_AA</v>
      </c>
    </row>
    <row r="19" spans="1:10" x14ac:dyDescent="0.45">
      <c r="A19" t="s">
        <v>327</v>
      </c>
      <c r="B19" t="str">
        <f>C19&amp;"_"&amp;D19&amp;"_"&amp;F19&amp;"_"&amp;Subscriptions[[#This Row],[Environment]]</f>
        <v>MAC_dept_Sandbox_DevTeamD</v>
      </c>
      <c r="C19" t="s">
        <v>938</v>
      </c>
      <c r="D19" t="str">
        <f>VLOOKUP(Subscriptions[[#This Row],[DeptID]], Departments[#All], 2, FALSE)</f>
        <v>dept</v>
      </c>
      <c r="E19" t="s">
        <v>644</v>
      </c>
      <c r="F19" t="str">
        <f>VLOOKUP(Subscriptions[[#This Row],[DeptID]], Departments[#All], 4, FALSE)</f>
        <v>Sandbox</v>
      </c>
      <c r="G19" t="s">
        <v>937</v>
      </c>
      <c r="H19" t="s">
        <v>630</v>
      </c>
      <c r="I19" t="s">
        <v>640</v>
      </c>
      <c r="J19" t="str">
        <f>VLOOKUP(Subscriptions[[#This Row],[DeptID]], Departments[], 6, FALSE)</f>
        <v>dept_Sandbox_AA</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G3" sqref="G3"/>
    </sheetView>
  </sheetViews>
  <sheetFormatPr defaultRowHeight="14.25" x14ac:dyDescent="0.45"/>
  <cols>
    <col min="1" max="1" width="10.1328125" customWidth="1"/>
    <col min="2" max="2" width="13.1328125" customWidth="1"/>
    <col min="3" max="3" width="11.53125" customWidth="1"/>
  </cols>
  <sheetData>
    <row r="1" spans="1:4" x14ac:dyDescent="0.45">
      <c r="A1" t="s">
        <v>940</v>
      </c>
      <c r="B1" t="s">
        <v>941</v>
      </c>
      <c r="C1" t="s">
        <v>1</v>
      </c>
      <c r="D1" t="s">
        <v>273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80" zoomScaleNormal="180" workbookViewId="0">
      <selection activeCell="C2" sqref="C2:C3"/>
    </sheetView>
  </sheetViews>
  <sheetFormatPr defaultRowHeight="14.25" x14ac:dyDescent="0.45"/>
  <cols>
    <col min="1" max="1" width="11" customWidth="1"/>
    <col min="2" max="2" width="24.1328125" customWidth="1"/>
    <col min="3" max="3" width="11" customWidth="1"/>
    <col min="4" max="4" width="22.1328125" customWidth="1"/>
    <col min="5" max="5" width="45" customWidth="1"/>
  </cols>
  <sheetData>
    <row r="1" spans="1:5" x14ac:dyDescent="0.45">
      <c r="A1" t="s">
        <v>157</v>
      </c>
      <c r="B1" t="s">
        <v>64</v>
      </c>
      <c r="C1" t="s">
        <v>168</v>
      </c>
      <c r="D1" t="s">
        <v>569</v>
      </c>
      <c r="E1" t="s">
        <v>1</v>
      </c>
    </row>
    <row r="2" spans="1:5" x14ac:dyDescent="0.45">
      <c r="A2" t="s">
        <v>158</v>
      </c>
      <c r="B2" t="s">
        <v>226</v>
      </c>
      <c r="C2" t="s">
        <v>562</v>
      </c>
      <c r="D2" t="s">
        <v>571</v>
      </c>
      <c r="E2" t="s">
        <v>297</v>
      </c>
    </row>
    <row r="3" spans="1:5" x14ac:dyDescent="0.45">
      <c r="A3" t="s">
        <v>159</v>
      </c>
      <c r="B3" t="s">
        <v>227</v>
      </c>
      <c r="C3" t="s">
        <v>563</v>
      </c>
      <c r="D3" t="s">
        <v>570</v>
      </c>
      <c r="E3" t="s">
        <v>228</v>
      </c>
    </row>
    <row r="4" spans="1:5" x14ac:dyDescent="0.45">
      <c r="A4" t="s">
        <v>160</v>
      </c>
      <c r="B4" t="s">
        <v>631</v>
      </c>
      <c r="C4" t="s">
        <v>386</v>
      </c>
      <c r="E4" t="s">
        <v>634</v>
      </c>
    </row>
    <row r="5" spans="1:5" x14ac:dyDescent="0.45">
      <c r="A5" t="s">
        <v>161</v>
      </c>
      <c r="B5" t="s">
        <v>633</v>
      </c>
      <c r="C5" t="s">
        <v>632</v>
      </c>
      <c r="E5" t="s">
        <v>635</v>
      </c>
    </row>
    <row r="6" spans="1:5" x14ac:dyDescent="0.45">
      <c r="A6" t="s">
        <v>162</v>
      </c>
    </row>
    <row r="7" spans="1:5" x14ac:dyDescent="0.45">
      <c r="A7" t="s">
        <v>163</v>
      </c>
    </row>
    <row r="8" spans="1:5" x14ac:dyDescent="0.45">
      <c r="A8" t="s">
        <v>164</v>
      </c>
    </row>
    <row r="9" spans="1:5" x14ac:dyDescent="0.45">
      <c r="A9" t="s">
        <v>165</v>
      </c>
    </row>
    <row r="10" spans="1:5" x14ac:dyDescent="0.45">
      <c r="A10" t="s">
        <v>166</v>
      </c>
    </row>
    <row r="11" spans="1:5" x14ac:dyDescent="0.45">
      <c r="A11" t="s">
        <v>167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tabSelected="1" workbookViewId="0">
      <selection activeCell="E14" sqref="E14"/>
    </sheetView>
  </sheetViews>
  <sheetFormatPr defaultRowHeight="14.25" x14ac:dyDescent="0.45"/>
  <cols>
    <col min="1" max="1" width="9.59765625" customWidth="1"/>
    <col min="3" max="3" width="32" customWidth="1"/>
    <col min="4" max="4" width="14.3984375" customWidth="1"/>
    <col min="5" max="5" width="14.59765625" customWidth="1"/>
    <col min="7" max="7" width="32.59765625" customWidth="1"/>
    <col min="8" max="9" width="8.86328125" customWidth="1"/>
    <col min="10" max="10" width="26.1328125" customWidth="1"/>
    <col min="11" max="11" width="15.19921875" customWidth="1"/>
    <col min="12" max="13" width="14.3984375" customWidth="1"/>
    <col min="16" max="16" width="6.265625" customWidth="1"/>
    <col min="17" max="17" width="6.3984375" customWidth="1"/>
    <col min="18" max="18" width="5" customWidth="1"/>
    <col min="19" max="19" width="5.59765625" customWidth="1"/>
    <col min="20" max="20" width="4.59765625" customWidth="1"/>
    <col min="21" max="21" width="5.1328125" customWidth="1"/>
  </cols>
  <sheetData>
    <row r="1" spans="1:17" ht="34.9" x14ac:dyDescent="0.45">
      <c r="A1" t="s">
        <v>308</v>
      </c>
      <c r="B1" t="s">
        <v>273</v>
      </c>
      <c r="C1" t="s">
        <v>64</v>
      </c>
      <c r="D1" t="s">
        <v>501</v>
      </c>
      <c r="E1" t="s">
        <v>376</v>
      </c>
      <c r="F1" t="s">
        <v>377</v>
      </c>
      <c r="G1" t="s">
        <v>384</v>
      </c>
      <c r="H1" t="s">
        <v>491</v>
      </c>
      <c r="I1" t="s">
        <v>646</v>
      </c>
      <c r="J1" t="s">
        <v>1</v>
      </c>
      <c r="K1" t="s">
        <v>264</v>
      </c>
      <c r="L1" t="s">
        <v>94</v>
      </c>
      <c r="M1" t="s">
        <v>560</v>
      </c>
      <c r="N1" s="37" t="s">
        <v>378</v>
      </c>
      <c r="O1" s="4" t="s">
        <v>379</v>
      </c>
      <c r="P1" s="4" t="s">
        <v>380</v>
      </c>
      <c r="Q1" s="4" t="s">
        <v>381</v>
      </c>
    </row>
    <row r="2" spans="1:17" x14ac:dyDescent="0.45">
      <c r="A2" t="s">
        <v>309</v>
      </c>
      <c r="B2" t="s">
        <v>319</v>
      </c>
      <c r="C2" t="str">
        <f>RIGHT(VNETS[Subscription Name (Computed)], (LEN(VNETS[[#This Row],[Subscription Name (Computed)]]) - SEARCH("_", VNETS[[#This Row],[Subscription Name (Computed)]], 4)))&amp;"_"&amp;VNETS[[#This Row],[Location Name (Computed)]]</f>
        <v>dept_managed_cjis_va</v>
      </c>
      <c r="D2" t="s">
        <v>1050</v>
      </c>
      <c r="E2" t="str">
        <f t="shared" ref="E2:E11" si="0">N2&amp;"."&amp;O2&amp;"."&amp;P2&amp;"."&amp;Q2</f>
        <v>10.130.16.0</v>
      </c>
      <c r="F2" s="9" t="s">
        <v>383</v>
      </c>
      <c r="G2" s="29" t="str">
        <f>LOWER(VLOOKUP(B2,Subscriptions[#All],2,FALSE))</f>
        <v>mag_dept_managed_cjis</v>
      </c>
      <c r="H2" s="29" t="str">
        <f>VLOOKUP(VNETS[[#This Row],[SubID]], Subscriptions[#All], 4, FALSE)</f>
        <v>dept</v>
      </c>
      <c r="I2" s="29" t="str">
        <f>VLOOKUP(VNETS[[#This Row],[SubID]], Subscriptions[#All], 6, FALSE)</f>
        <v>Managed</v>
      </c>
      <c r="J2" t="s">
        <v>375</v>
      </c>
      <c r="K2" t="s">
        <v>397</v>
      </c>
      <c r="L2" t="s">
        <v>559</v>
      </c>
      <c r="M2" t="str">
        <f>VLOOKUP(VNETS[[#This Row],[Location]], Locations[#All], 3, FALSE)</f>
        <v>va</v>
      </c>
      <c r="N2">
        <v>10</v>
      </c>
      <c r="O2">
        <v>130</v>
      </c>
      <c r="P2">
        <v>16</v>
      </c>
      <c r="Q2">
        <v>0</v>
      </c>
    </row>
    <row r="3" spans="1:17" x14ac:dyDescent="0.45">
      <c r="A3" t="s">
        <v>310</v>
      </c>
      <c r="B3" t="s">
        <v>320</v>
      </c>
      <c r="C3" t="str">
        <f>RIGHT(VNETS[Subscription Name (Computed)], (LEN(VNETS[[#This Row],[Subscription Name (Computed)]]) - SEARCH("_", VNETS[[#This Row],[Subscription Name (Computed)]], 4)))&amp;"_"&amp;VNETS[[#This Row],[Location Name (Computed)]]</f>
        <v>dept_managed_preprod_va</v>
      </c>
      <c r="D3" t="s">
        <v>1049</v>
      </c>
      <c r="E3" t="str">
        <f t="shared" si="0"/>
        <v>10.130.32.0</v>
      </c>
      <c r="F3" s="9" t="s">
        <v>383</v>
      </c>
      <c r="G3" s="29" t="str">
        <f>LOWER(VLOOKUP(B3,Subscriptions[#All],2,FALSE))</f>
        <v>mag_dept_managed_preprod</v>
      </c>
      <c r="H3" s="29" t="str">
        <f>VLOOKUP(VNETS[[#This Row],[SubID]], Subscriptions[#All], 4, FALSE)</f>
        <v>dept</v>
      </c>
      <c r="I3" s="29" t="str">
        <f>VLOOKUP(VNETS[[#This Row],[SubID]], Subscriptions[#All], 6, FALSE)</f>
        <v>Managed</v>
      </c>
      <c r="J3" t="s">
        <v>375</v>
      </c>
      <c r="K3" t="s">
        <v>1004</v>
      </c>
      <c r="L3" t="s">
        <v>559</v>
      </c>
      <c r="M3" t="str">
        <f>VLOOKUP(VNETS[[#This Row],[Location]], Locations[#All], 3, FALSE)</f>
        <v>va</v>
      </c>
      <c r="N3">
        <v>10</v>
      </c>
      <c r="O3">
        <v>130</v>
      </c>
      <c r="P3">
        <v>32</v>
      </c>
      <c r="Q3">
        <v>0</v>
      </c>
    </row>
    <row r="4" spans="1:17" x14ac:dyDescent="0.45">
      <c r="A4" t="s">
        <v>311</v>
      </c>
      <c r="B4" t="s">
        <v>321</v>
      </c>
      <c r="C4" t="str">
        <f>RIGHT(VNETS[Subscription Name (Computed)], (LEN(VNETS[[#This Row],[Subscription Name (Computed)]]) - SEARCH("_", VNETS[[#This Row],[Subscription Name (Computed)]], 4)))&amp;"_"&amp;VNETS[[#This Row],[Location Name (Computed)]]</f>
        <v>dept_managed_prod_va</v>
      </c>
      <c r="D4" t="s">
        <v>1047</v>
      </c>
      <c r="E4" t="str">
        <f t="shared" si="0"/>
        <v>10.130.0.0</v>
      </c>
      <c r="F4" s="9" t="s">
        <v>383</v>
      </c>
      <c r="G4" s="29" t="str">
        <f>LOWER(VLOOKUP(B4,Subscriptions[#All],2,FALSE))</f>
        <v>mag_dept_managed_prod</v>
      </c>
      <c r="H4" s="29" t="str">
        <f>VLOOKUP(VNETS[[#This Row],[SubID]], Subscriptions[#All], 4, FALSE)</f>
        <v>dept</v>
      </c>
      <c r="I4" s="29" t="str">
        <f>VLOOKUP(VNETS[[#This Row],[SubID]], Subscriptions[#All], 6, FALSE)</f>
        <v>Managed</v>
      </c>
      <c r="J4" t="s">
        <v>375</v>
      </c>
      <c r="K4" t="s">
        <v>1005</v>
      </c>
      <c r="L4" t="s">
        <v>559</v>
      </c>
      <c r="M4" t="str">
        <f>VLOOKUP(VNETS[[#This Row],[Location]], Locations[#All], 3, FALSE)</f>
        <v>va</v>
      </c>
      <c r="N4">
        <v>10</v>
      </c>
      <c r="O4">
        <v>130</v>
      </c>
      <c r="P4">
        <v>0</v>
      </c>
      <c r="Q4">
        <v>0</v>
      </c>
    </row>
    <row r="5" spans="1:17" x14ac:dyDescent="0.45">
      <c r="A5" t="s">
        <v>312</v>
      </c>
      <c r="B5" t="s">
        <v>322</v>
      </c>
      <c r="C5" t="str">
        <f>RIGHT(VNETS[Subscription Name (Computed)], (LEN(VNETS[[#This Row],[Subscription Name (Computed)]]) - SEARCH("_", VNETS[[#This Row],[Subscription Name (Computed)]], 4)))&amp;"_"&amp;VNETS[[#This Row],[Location Name (Computed)]]</f>
        <v>dept_managed_services_va</v>
      </c>
      <c r="D5" t="s">
        <v>1045</v>
      </c>
      <c r="E5" t="str">
        <f t="shared" si="0"/>
        <v>10.130.56.0</v>
      </c>
      <c r="F5" s="9" t="s">
        <v>302</v>
      </c>
      <c r="G5" s="29" t="str">
        <f>LOWER(VLOOKUP(B5,Subscriptions[#All],2,FALSE))</f>
        <v>mag_dept_managed_services</v>
      </c>
      <c r="H5" s="29" t="str">
        <f>VLOOKUP(VNETS[[#This Row],[SubID]], Subscriptions[#All], 4, FALSE)</f>
        <v>dept</v>
      </c>
      <c r="I5" s="29" t="str">
        <f>VLOOKUP(VNETS[[#This Row],[SubID]], Subscriptions[#All], 6, FALSE)</f>
        <v>Managed</v>
      </c>
      <c r="J5" t="s">
        <v>375</v>
      </c>
      <c r="K5" t="s">
        <v>1006</v>
      </c>
      <c r="L5" t="s">
        <v>559</v>
      </c>
      <c r="M5" t="str">
        <f>VLOOKUP(VNETS[[#This Row],[Location]], Locations[#All], 3, FALSE)</f>
        <v>va</v>
      </c>
      <c r="N5">
        <v>10</v>
      </c>
      <c r="O5">
        <v>130</v>
      </c>
      <c r="P5">
        <v>56</v>
      </c>
      <c r="Q5">
        <v>0</v>
      </c>
    </row>
    <row r="6" spans="1:17" x14ac:dyDescent="0.45">
      <c r="A6" t="s">
        <v>313</v>
      </c>
      <c r="B6" t="s">
        <v>323</v>
      </c>
      <c r="C6" t="str">
        <f>RIGHT(VNETS[Subscription Name (Computed)], (LEN(VNETS[[#This Row],[Subscription Name (Computed)]]) - SEARCH("_", VNETS[[#This Row],[Subscription Name (Computed)]], 4)))&amp;"_"&amp;VNETS[[#This Row],[Location Name (Computed)]]</f>
        <v>dept_managed_storage_va</v>
      </c>
      <c r="D6" t="s">
        <v>1045</v>
      </c>
      <c r="E6" t="str">
        <f t="shared" si="0"/>
        <v>10.130.48.0</v>
      </c>
      <c r="F6" s="9" t="s">
        <v>302</v>
      </c>
      <c r="G6" s="29" t="str">
        <f>LOWER(VLOOKUP(B6,Subscriptions[#All],2,FALSE))</f>
        <v>mag_dept_managed_storage</v>
      </c>
      <c r="H6" s="29" t="str">
        <f>VLOOKUP(VNETS[[#This Row],[SubID]], Subscriptions[#All], 4, FALSE)</f>
        <v>dept</v>
      </c>
      <c r="I6" s="29" t="str">
        <f>VLOOKUP(VNETS[[#This Row],[SubID]], Subscriptions[#All], 6, FALSE)</f>
        <v>Managed</v>
      </c>
      <c r="J6" t="s">
        <v>375</v>
      </c>
      <c r="K6" t="s">
        <v>1007</v>
      </c>
      <c r="L6" t="s">
        <v>559</v>
      </c>
      <c r="M6" t="str">
        <f>VLOOKUP(VNETS[[#This Row],[Location]], Locations[#All], 3, FALSE)</f>
        <v>va</v>
      </c>
      <c r="N6">
        <v>10</v>
      </c>
      <c r="O6">
        <v>130</v>
      </c>
      <c r="P6">
        <v>48</v>
      </c>
      <c r="Q6">
        <v>0</v>
      </c>
    </row>
    <row r="7" spans="1:17" x14ac:dyDescent="0.45">
      <c r="A7" t="s">
        <v>314</v>
      </c>
      <c r="B7" t="s">
        <v>319</v>
      </c>
      <c r="C7" t="str">
        <f>RIGHT(VNETS[Subscription Name (Computed)], (LEN(VNETS[[#This Row],[Subscription Name (Computed)]]) - SEARCH("_", VNETS[[#This Row],[Subscription Name (Computed)]], 4)))&amp;"_"&amp;VNETS[[#This Row],[Location Name (Computed)]]</f>
        <v>dept_managed_cjis_ia</v>
      </c>
      <c r="D7" t="s">
        <v>1043</v>
      </c>
      <c r="E7" t="str">
        <f t="shared" si="0"/>
        <v>10.130.80.0</v>
      </c>
      <c r="F7" s="9" t="s">
        <v>383</v>
      </c>
      <c r="G7" s="29" t="str">
        <f>LOWER(VLOOKUP(B7,Subscriptions[#All],2,FALSE))</f>
        <v>mag_dept_managed_cjis</v>
      </c>
      <c r="H7" s="29" t="str">
        <f>VLOOKUP(VNETS[[#This Row],[SubID]], Subscriptions[#All], 4, FALSE)</f>
        <v>dept</v>
      </c>
      <c r="I7" s="29" t="str">
        <f>VLOOKUP(VNETS[[#This Row],[SubID]], Subscriptions[#All], 6, FALSE)</f>
        <v>Managed</v>
      </c>
      <c r="J7" t="s">
        <v>375</v>
      </c>
      <c r="K7" t="s">
        <v>397</v>
      </c>
      <c r="L7" t="s">
        <v>561</v>
      </c>
      <c r="M7" t="str">
        <f>VLOOKUP(VNETS[[#This Row],[Location]], Locations[#All], 3, FALSE)</f>
        <v>ia</v>
      </c>
      <c r="N7">
        <v>10</v>
      </c>
      <c r="O7">
        <v>130</v>
      </c>
      <c r="P7">
        <v>80</v>
      </c>
      <c r="Q7">
        <v>0</v>
      </c>
    </row>
    <row r="8" spans="1:17" x14ac:dyDescent="0.45">
      <c r="A8" t="s">
        <v>315</v>
      </c>
      <c r="B8" t="s">
        <v>320</v>
      </c>
      <c r="C8" t="str">
        <f>RIGHT(VNETS[Subscription Name (Computed)], (LEN(VNETS[[#This Row],[Subscription Name (Computed)]]) - SEARCH("_", VNETS[[#This Row],[Subscription Name (Computed)]], 4)))&amp;"_"&amp;VNETS[[#This Row],[Location Name (Computed)]]</f>
        <v>dept_managed_preprod_ia</v>
      </c>
      <c r="D8" t="s">
        <v>1049</v>
      </c>
      <c r="E8" t="str">
        <f t="shared" si="0"/>
        <v>10.130.96.0</v>
      </c>
      <c r="F8" s="9" t="s">
        <v>383</v>
      </c>
      <c r="G8" s="29" t="str">
        <f>LOWER(VLOOKUP(B8,Subscriptions[#All],2,FALSE))</f>
        <v>mag_dept_managed_preprod</v>
      </c>
      <c r="H8" s="29" t="str">
        <f>VLOOKUP(VNETS[[#This Row],[SubID]], Subscriptions[#All], 4, FALSE)</f>
        <v>dept</v>
      </c>
      <c r="I8" s="29" t="str">
        <f>VLOOKUP(VNETS[[#This Row],[SubID]], Subscriptions[#All], 6, FALSE)</f>
        <v>Managed</v>
      </c>
      <c r="J8" t="s">
        <v>375</v>
      </c>
      <c r="K8" t="s">
        <v>1004</v>
      </c>
      <c r="L8" t="s">
        <v>561</v>
      </c>
      <c r="M8" t="str">
        <f>VLOOKUP(VNETS[[#This Row],[Location]], Locations[#All], 3, FALSE)</f>
        <v>ia</v>
      </c>
      <c r="N8">
        <v>10</v>
      </c>
      <c r="O8">
        <v>130</v>
      </c>
      <c r="P8">
        <v>96</v>
      </c>
      <c r="Q8">
        <v>0</v>
      </c>
    </row>
    <row r="9" spans="1:17" x14ac:dyDescent="0.45">
      <c r="A9" t="s">
        <v>316</v>
      </c>
      <c r="B9" t="s">
        <v>321</v>
      </c>
      <c r="C9" t="str">
        <f>RIGHT(VNETS[Subscription Name (Computed)], (LEN(VNETS[[#This Row],[Subscription Name (Computed)]]) - SEARCH("_", VNETS[[#This Row],[Subscription Name (Computed)]], 4)))&amp;"_"&amp;VNETS[[#This Row],[Location Name (Computed)]]</f>
        <v>dept_managed_prod_ia</v>
      </c>
      <c r="D9" t="s">
        <v>1046</v>
      </c>
      <c r="E9" t="str">
        <f t="shared" si="0"/>
        <v>10.130.64.0</v>
      </c>
      <c r="F9" s="9" t="s">
        <v>383</v>
      </c>
      <c r="G9" s="29" t="str">
        <f>LOWER(VLOOKUP(B9,Subscriptions[#All],2,FALSE))</f>
        <v>mag_dept_managed_prod</v>
      </c>
      <c r="H9" s="29" t="str">
        <f>VLOOKUP(VNETS[[#This Row],[SubID]], Subscriptions[#All], 4, FALSE)</f>
        <v>dept</v>
      </c>
      <c r="I9" s="29" t="str">
        <f>VLOOKUP(VNETS[[#This Row],[SubID]], Subscriptions[#All], 6, FALSE)</f>
        <v>Managed</v>
      </c>
      <c r="J9" t="s">
        <v>375</v>
      </c>
      <c r="K9" t="s">
        <v>1005</v>
      </c>
      <c r="L9" t="s">
        <v>561</v>
      </c>
      <c r="M9" t="str">
        <f>VLOOKUP(VNETS[[#This Row],[Location]], Locations[#All], 3, FALSE)</f>
        <v>ia</v>
      </c>
      <c r="N9">
        <v>10</v>
      </c>
      <c r="O9">
        <v>130</v>
      </c>
      <c r="P9">
        <v>64</v>
      </c>
      <c r="Q9">
        <v>0</v>
      </c>
    </row>
    <row r="10" spans="1:17" x14ac:dyDescent="0.45">
      <c r="A10" t="s">
        <v>317</v>
      </c>
      <c r="B10" t="s">
        <v>322</v>
      </c>
      <c r="C10" t="str">
        <f>RIGHT(VNETS[Subscription Name (Computed)], (LEN(VNETS[[#This Row],[Subscription Name (Computed)]]) - SEARCH("_", VNETS[[#This Row],[Subscription Name (Computed)]], 4)))&amp;"_"&amp;VNETS[[#This Row],[Location Name (Computed)]]</f>
        <v>dept_managed_services_ia</v>
      </c>
      <c r="D10" t="s">
        <v>1048</v>
      </c>
      <c r="E10" t="str">
        <f t="shared" si="0"/>
        <v>10.130.120.0</v>
      </c>
      <c r="F10" s="9" t="s">
        <v>302</v>
      </c>
      <c r="G10" s="29" t="str">
        <f>LOWER(VLOOKUP(B10,Subscriptions[#All],2,FALSE))</f>
        <v>mag_dept_managed_services</v>
      </c>
      <c r="H10" s="29" t="str">
        <f>VLOOKUP(VNETS[[#This Row],[SubID]], Subscriptions[#All], 4, FALSE)</f>
        <v>dept</v>
      </c>
      <c r="I10" s="29" t="str">
        <f>VLOOKUP(VNETS[[#This Row],[SubID]], Subscriptions[#All], 6, FALSE)</f>
        <v>Managed</v>
      </c>
      <c r="J10" t="s">
        <v>375</v>
      </c>
      <c r="K10" t="s">
        <v>1006</v>
      </c>
      <c r="L10" t="s">
        <v>561</v>
      </c>
      <c r="M10" t="str">
        <f>VLOOKUP(VNETS[[#This Row],[Location]], Locations[#All], 3, FALSE)</f>
        <v>ia</v>
      </c>
      <c r="N10">
        <v>10</v>
      </c>
      <c r="O10">
        <v>130</v>
      </c>
      <c r="P10">
        <v>120</v>
      </c>
      <c r="Q10">
        <v>0</v>
      </c>
    </row>
    <row r="11" spans="1:17" x14ac:dyDescent="0.45">
      <c r="A11" t="s">
        <v>318</v>
      </c>
      <c r="B11" t="s">
        <v>323</v>
      </c>
      <c r="C11" t="str">
        <f>RIGHT(VNETS[Subscription Name (Computed)], (LEN(VNETS[[#This Row],[Subscription Name (Computed)]]) - SEARCH("_", VNETS[[#This Row],[Subscription Name (Computed)]], 4)))&amp;"_"&amp;VNETS[[#This Row],[Location Name (Computed)]]</f>
        <v>dept_managed_storage_ia</v>
      </c>
      <c r="D11" t="s">
        <v>1044</v>
      </c>
      <c r="E11" t="str">
        <f t="shared" si="0"/>
        <v>10.130.112.0</v>
      </c>
      <c r="F11" s="9" t="s">
        <v>302</v>
      </c>
      <c r="G11" s="29" t="str">
        <f>LOWER(VLOOKUP(B11,Subscriptions[#All],2,FALSE))</f>
        <v>mag_dept_managed_storage</v>
      </c>
      <c r="H11" s="29" t="str">
        <f>VLOOKUP(VNETS[[#This Row],[SubID]], Subscriptions[#All], 4, FALSE)</f>
        <v>dept</v>
      </c>
      <c r="I11" s="29" t="str">
        <f>VLOOKUP(VNETS[[#This Row],[SubID]], Subscriptions[#All], 6, FALSE)</f>
        <v>Managed</v>
      </c>
      <c r="J11" t="s">
        <v>375</v>
      </c>
      <c r="K11" t="s">
        <v>1007</v>
      </c>
      <c r="L11" t="s">
        <v>561</v>
      </c>
      <c r="M11" t="str">
        <f>VLOOKUP(VNETS[[#This Row],[Location]], Locations[#All], 3, FALSE)</f>
        <v>ia</v>
      </c>
      <c r="N11">
        <v>10</v>
      </c>
      <c r="O11">
        <v>130</v>
      </c>
      <c r="P11">
        <v>112</v>
      </c>
      <c r="Q11">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zoomScale="115" zoomScaleNormal="115" workbookViewId="0">
      <selection activeCell="L37" sqref="L37"/>
    </sheetView>
  </sheetViews>
  <sheetFormatPr defaultRowHeight="14.25" x14ac:dyDescent="0.45"/>
  <cols>
    <col min="4" max="4" width="27.3984375" customWidth="1"/>
    <col min="5" max="5" width="7.3984375" customWidth="1"/>
    <col min="6" max="6" width="8.3984375" customWidth="1"/>
    <col min="7" max="7" width="15.3984375" customWidth="1"/>
    <col min="8" max="8" width="10.59765625" customWidth="1"/>
    <col min="9" max="9" width="11.3984375" customWidth="1"/>
    <col min="10" max="10" width="3.9296875" customWidth="1"/>
    <col min="11" max="11" width="24.59765625" customWidth="1"/>
    <col min="12" max="12" width="16" customWidth="1"/>
    <col min="13" max="13" width="8.1328125" customWidth="1"/>
    <col min="14" max="14" width="33.59765625" style="8" customWidth="1"/>
    <col min="15" max="15" width="5.3984375" customWidth="1"/>
    <col min="16" max="16" width="6.59765625" customWidth="1"/>
    <col min="17" max="17" width="6.1328125" customWidth="1"/>
    <col min="18" max="18" width="5.86328125" customWidth="1"/>
    <col min="19" max="19" width="15.265625" customWidth="1"/>
    <col min="20" max="20" width="3.86328125" customWidth="1"/>
  </cols>
  <sheetData>
    <row r="1" spans="1:22" ht="57.75" customHeight="1" x14ac:dyDescent="0.45">
      <c r="A1" t="s">
        <v>648</v>
      </c>
      <c r="B1" t="s">
        <v>647</v>
      </c>
      <c r="C1" t="s">
        <v>308</v>
      </c>
      <c r="D1" t="s">
        <v>267</v>
      </c>
      <c r="E1" t="s">
        <v>1008</v>
      </c>
      <c r="F1" t="s">
        <v>537</v>
      </c>
      <c r="G1" t="s">
        <v>646</v>
      </c>
      <c r="H1" t="s">
        <v>385</v>
      </c>
      <c r="I1" t="s">
        <v>0</v>
      </c>
      <c r="J1" t="s">
        <v>229</v>
      </c>
      <c r="K1" t="s">
        <v>1</v>
      </c>
      <c r="L1" t="s">
        <v>65</v>
      </c>
      <c r="M1" t="s">
        <v>66</v>
      </c>
      <c r="N1" t="s">
        <v>388</v>
      </c>
      <c r="O1" t="s">
        <v>68</v>
      </c>
      <c r="P1" t="s">
        <v>69</v>
      </c>
      <c r="Q1" t="s">
        <v>70</v>
      </c>
      <c r="R1" t="s">
        <v>67</v>
      </c>
      <c r="S1" t="s">
        <v>98</v>
      </c>
      <c r="T1" t="s">
        <v>99</v>
      </c>
      <c r="U1" s="53" t="s">
        <v>788</v>
      </c>
      <c r="V1" s="53" t="s">
        <v>273</v>
      </c>
    </row>
    <row r="2" spans="1:22" x14ac:dyDescent="0.45">
      <c r="A2" t="s">
        <v>400</v>
      </c>
      <c r="B2">
        <v>210</v>
      </c>
      <c r="C2" t="s">
        <v>309</v>
      </c>
      <c r="D2" t="str">
        <f>I2&amp;"_"&amp;Subnets[[#This Row],[SubNetNumber]]&amp;"_"&amp;Subnets[[#This Row],[Dept. (Computed)]]&amp;"_"&amp;E2&amp;"_"&amp;Subnets[[#This Row],[Location (Computed)]]</f>
        <v>Web_210_dept_CJIS_va</v>
      </c>
      <c r="E2" t="str">
        <f>VLOOKUP(Subnets[[#This Row],[VNETID]], VNETS[], 11, FALSE)</f>
        <v>CJIS</v>
      </c>
      <c r="F2" t="str">
        <f>VLOOKUP(Subnets[[#This Row],[VNETID]],VNETS[#All], 8, FALSE)</f>
        <v>dept</v>
      </c>
      <c r="G2" t="str">
        <f>VLOOKUP(Subnets[[#This Row],[VNETID]],VNETS[#All], 9, FALSE)</f>
        <v>Managed</v>
      </c>
      <c r="H2" t="str">
        <f>VLOOKUP(Subnets[[#This Row],[VNETID]],VNETS[#All],13, FALSE)</f>
        <v>va</v>
      </c>
      <c r="I2" t="s">
        <v>73</v>
      </c>
      <c r="K2" t="s">
        <v>77</v>
      </c>
      <c r="L2" t="str">
        <f t="shared" ref="L2:L34" si="0">O2&amp;"."&amp;P2&amp;"."&amp;Q2&amp;"."&amp;R2</f>
        <v>10.130.16.0</v>
      </c>
      <c r="M2" s="9" t="s">
        <v>78</v>
      </c>
      <c r="N2" t="str">
        <f>VLOOKUP(Subnets[[#This Row],[VNETID]],VNETS[#All],7, FALSE)</f>
        <v>mag_dept_managed_cjis</v>
      </c>
      <c r="O2">
        <f>VLOOKUP(Subnets[[#This Row],[VNETID]], VNETS[#All], 14, FALSE)</f>
        <v>10</v>
      </c>
      <c r="P2">
        <f>VLOOKUP(Subnets[[#This Row],[VNETID]], VNETS[#All], 15, FALSE)</f>
        <v>130</v>
      </c>
      <c r="Q2">
        <v>16</v>
      </c>
      <c r="R2">
        <v>0</v>
      </c>
      <c r="S2" t="str">
        <f>O2&amp;"."&amp;P2&amp;"."&amp;Q2&amp;"."&amp;R2</f>
        <v>10.130.16.0</v>
      </c>
      <c r="T2" s="9" t="s">
        <v>383</v>
      </c>
      <c r="U2" s="53" t="str">
        <f>VLOOKUP(Subnets[[#This Row],[VNETID]],VNETS[#All],11, FALSE)</f>
        <v>CJIS</v>
      </c>
      <c r="V2" s="53" t="str">
        <f>VLOOKUP(Subnets[[#This Row],[VNETID]],VNETS[#All],2, FALSE)</f>
        <v>sub01</v>
      </c>
    </row>
    <row r="3" spans="1:22" x14ac:dyDescent="0.45">
      <c r="A3" t="s">
        <v>401</v>
      </c>
      <c r="B3">
        <v>220</v>
      </c>
      <c r="C3" t="s">
        <v>309</v>
      </c>
      <c r="D3" t="str">
        <f>I3&amp;"_"&amp;Subnets[[#This Row],[SubNetNumber]]&amp;"_"&amp;Subnets[[#This Row],[Dept. (Computed)]]&amp;"_"&amp;E3&amp;"_"&amp;Subnets[[#This Row],[Location (Computed)]]</f>
        <v>App_220_dept_CJIS_va</v>
      </c>
      <c r="E3" t="str">
        <f>VLOOKUP(Subnets[[#This Row],[VNETID]], VNETS[], 11, FALSE)</f>
        <v>CJIS</v>
      </c>
      <c r="F3" t="str">
        <f>VLOOKUP(Subnets[[#This Row],[VNETID]],VNETS[#All], 8, FALSE)</f>
        <v>dept</v>
      </c>
      <c r="G3" t="str">
        <f>VLOOKUP(Subnets[[#This Row],[VNETID]],VNETS[#All], 9, FALSE)</f>
        <v>Managed</v>
      </c>
      <c r="H3" t="str">
        <f>VLOOKUP(Subnets[[#This Row],[VNETID]],VNETS[#All],13, FALSE)</f>
        <v>va</v>
      </c>
      <c r="I3" t="s">
        <v>74</v>
      </c>
      <c r="K3" t="s">
        <v>79</v>
      </c>
      <c r="L3" t="str">
        <f t="shared" si="0"/>
        <v>10.130.18.0</v>
      </c>
      <c r="M3" s="9" t="s">
        <v>78</v>
      </c>
      <c r="N3" t="str">
        <f>VLOOKUP(Subnets[[#This Row],[VNETID]],VNETS[#All],7, FALSE)</f>
        <v>mag_dept_managed_cjis</v>
      </c>
      <c r="O3">
        <f>VLOOKUP(Subnets[[#This Row],[VNETID]], VNETS[#All], 14, FALSE)</f>
        <v>10</v>
      </c>
      <c r="P3">
        <f>VLOOKUP(Subnets[[#This Row],[VNETID]], VNETS[#All], 15, FALSE)</f>
        <v>130</v>
      </c>
      <c r="Q3">
        <v>18</v>
      </c>
      <c r="R3">
        <v>0</v>
      </c>
      <c r="U3" s="53" t="str">
        <f>VLOOKUP(Subnets[[#This Row],[VNETID]],VNETS[#All],11, FALSE)</f>
        <v>CJIS</v>
      </c>
      <c r="V3" s="53" t="str">
        <f>VLOOKUP(Subnets[[#This Row],[VNETID]],VNETS[#All],2, FALSE)</f>
        <v>sub01</v>
      </c>
    </row>
    <row r="4" spans="1:22" x14ac:dyDescent="0.45">
      <c r="A4" t="s">
        <v>402</v>
      </c>
      <c r="B4">
        <v>230</v>
      </c>
      <c r="C4" t="s">
        <v>309</v>
      </c>
      <c r="D4" t="str">
        <f>I4&amp;"_"&amp;Subnets[[#This Row],[SubNetNumber]]&amp;"_"&amp;Subnets[[#This Row],[Dept. (Computed)]]&amp;"_"&amp;E4&amp;"_"&amp;Subnets[[#This Row],[Location (Computed)]]</f>
        <v>DB_230_dept_CJIS_va</v>
      </c>
      <c r="E4" t="str">
        <f>VLOOKUP(Subnets[[#This Row],[VNETID]], VNETS[], 11, FALSE)</f>
        <v>CJIS</v>
      </c>
      <c r="F4" t="str">
        <f>VLOOKUP(Subnets[[#This Row],[VNETID]],VNETS[#All], 8, FALSE)</f>
        <v>dept</v>
      </c>
      <c r="G4" t="str">
        <f>VLOOKUP(Subnets[[#This Row],[VNETID]],VNETS[#All], 9, FALSE)</f>
        <v>Managed</v>
      </c>
      <c r="H4" t="str">
        <f>VLOOKUP(Subnets[[#This Row],[VNETID]],VNETS[#All],13, FALSE)</f>
        <v>va</v>
      </c>
      <c r="I4" t="s">
        <v>488</v>
      </c>
      <c r="K4" t="s">
        <v>80</v>
      </c>
      <c r="L4" t="str">
        <f t="shared" si="0"/>
        <v>10.130.20.0</v>
      </c>
      <c r="M4" s="9" t="s">
        <v>78</v>
      </c>
      <c r="N4" t="str">
        <f>VLOOKUP(Subnets[[#This Row],[VNETID]],VNETS[#All],7, FALSE)</f>
        <v>mag_dept_managed_cjis</v>
      </c>
      <c r="O4">
        <f>VLOOKUP(Subnets[[#This Row],[VNETID]], VNETS[#All], 14, FALSE)</f>
        <v>10</v>
      </c>
      <c r="P4">
        <f>VLOOKUP(Subnets[[#This Row],[VNETID]], VNETS[#All], 15, FALSE)</f>
        <v>130</v>
      </c>
      <c r="Q4">
        <v>20</v>
      </c>
      <c r="R4">
        <v>0</v>
      </c>
      <c r="U4" s="53" t="str">
        <f>VLOOKUP(Subnets[[#This Row],[VNETID]],VNETS[#All],11, FALSE)</f>
        <v>CJIS</v>
      </c>
      <c r="V4" s="53" t="str">
        <f>VLOOKUP(Subnets[[#This Row],[VNETID]],VNETS[#All],2, FALSE)</f>
        <v>sub01</v>
      </c>
    </row>
    <row r="5" spans="1:22" x14ac:dyDescent="0.45">
      <c r="A5" t="s">
        <v>403</v>
      </c>
      <c r="B5">
        <v>250</v>
      </c>
      <c r="C5" t="s">
        <v>309</v>
      </c>
      <c r="D5" t="str">
        <f>I5&amp;"_"&amp;Subnets[[#This Row],[SubNetNumber]]&amp;"_"&amp;Subnets[[#This Row],[Dept. (Computed)]]&amp;"_"&amp;E5&amp;"_"&amp;Subnets[[#This Row],[Location (Computed)]]</f>
        <v>DMZ_250_dept_CJIS_va</v>
      </c>
      <c r="E5" t="str">
        <f>VLOOKUP(Subnets[[#This Row],[VNETID]], VNETS[], 11, FALSE)</f>
        <v>CJIS</v>
      </c>
      <c r="F5" t="str">
        <f>VLOOKUP(Subnets[[#This Row],[VNETID]],VNETS[#All], 8, FALSE)</f>
        <v>dept</v>
      </c>
      <c r="G5" t="str">
        <f>VLOOKUP(Subnets[[#This Row],[VNETID]],VNETS[#All], 9, FALSE)</f>
        <v>Managed</v>
      </c>
      <c r="H5" t="str">
        <f>VLOOKUP(Subnets[[#This Row],[VNETID]],VNETS[#All],13, FALSE)</f>
        <v>va</v>
      </c>
      <c r="I5" t="s">
        <v>76</v>
      </c>
      <c r="K5" t="s">
        <v>91</v>
      </c>
      <c r="L5" t="str">
        <f t="shared" si="0"/>
        <v>10.130.22.0</v>
      </c>
      <c r="M5" s="9" t="s">
        <v>78</v>
      </c>
      <c r="N5" t="str">
        <f>VLOOKUP(Subnets[[#This Row],[VNETID]],VNETS[#All],7, FALSE)</f>
        <v>mag_dept_managed_cjis</v>
      </c>
      <c r="O5">
        <f>VLOOKUP(Subnets[[#This Row],[VNETID]], VNETS[#All], 14, FALSE)</f>
        <v>10</v>
      </c>
      <c r="P5">
        <f>VLOOKUP(Subnets[[#This Row],[VNETID]], VNETS[#All], 15, FALSE)</f>
        <v>130</v>
      </c>
      <c r="Q5">
        <v>22</v>
      </c>
      <c r="R5">
        <v>0</v>
      </c>
      <c r="U5" s="53" t="str">
        <f>VLOOKUP(Subnets[[#This Row],[VNETID]],VNETS[#All],11, FALSE)</f>
        <v>CJIS</v>
      </c>
      <c r="V5" s="53" t="str">
        <f>VLOOKUP(Subnets[[#This Row],[VNETID]],VNETS[#All],2, FALSE)</f>
        <v>sub01</v>
      </c>
    </row>
    <row r="6" spans="1:22" x14ac:dyDescent="0.45">
      <c r="A6" t="s">
        <v>404</v>
      </c>
      <c r="B6">
        <v>260</v>
      </c>
      <c r="C6" t="s">
        <v>309</v>
      </c>
      <c r="D6" t="str">
        <f>I6&amp;"_"&amp;Subnets[[#This Row],[SubNetNumber]]&amp;"_"&amp;Subnets[[#This Row],[Dept. (Computed)]]&amp;"_"&amp;E6&amp;"_"&amp;Subnets[[#This Row],[Location (Computed)]]</f>
        <v>User_Tier0_260_dept_CJIS_va</v>
      </c>
      <c r="E6" t="str">
        <f>VLOOKUP(Subnets[[#This Row],[VNETID]], VNETS[], 11, FALSE)</f>
        <v>CJIS</v>
      </c>
      <c r="F6" t="str">
        <f>VLOOKUP(Subnets[[#This Row],[VNETID]],VNETS[#All], 8, FALSE)</f>
        <v>dept</v>
      </c>
      <c r="G6" t="str">
        <f>VLOOKUP(Subnets[[#This Row],[VNETID]],VNETS[#All], 9, FALSE)</f>
        <v>Managed</v>
      </c>
      <c r="H6" t="str">
        <f>VLOOKUP(Subnets[[#This Row],[VNETID]],VNETS[#All],13, FALSE)</f>
        <v>va</v>
      </c>
      <c r="I6" t="s">
        <v>993</v>
      </c>
      <c r="K6" t="s">
        <v>996</v>
      </c>
      <c r="L6" t="str">
        <f t="shared" si="0"/>
        <v>10.130.26.0</v>
      </c>
      <c r="M6" s="9" t="s">
        <v>390</v>
      </c>
      <c r="N6" t="str">
        <f>VLOOKUP(Subnets[[#This Row],[VNETID]],VNETS[#All],7, FALSE)</f>
        <v>mag_dept_managed_cjis</v>
      </c>
      <c r="O6">
        <f>VLOOKUP(Subnets[[#This Row],[VNETID]], VNETS[#All], 14, FALSE)</f>
        <v>10</v>
      </c>
      <c r="P6">
        <f>VLOOKUP(Subnets[[#This Row],[VNETID]], VNETS[#All], 15, FALSE)</f>
        <v>130</v>
      </c>
      <c r="Q6">
        <v>26</v>
      </c>
      <c r="R6">
        <v>0</v>
      </c>
      <c r="U6" s="53" t="str">
        <f>VLOOKUP(Subnets[[#This Row],[VNETID]],VNETS[#All],11, FALSE)</f>
        <v>CJIS</v>
      </c>
      <c r="V6" s="53" t="str">
        <f>VLOOKUP(Subnets[[#This Row],[VNETID]],VNETS[#All],2, FALSE)</f>
        <v>sub01</v>
      </c>
    </row>
    <row r="7" spans="1:22" x14ac:dyDescent="0.45">
      <c r="A7" t="s">
        <v>405</v>
      </c>
      <c r="B7">
        <v>261</v>
      </c>
      <c r="C7" t="s">
        <v>309</v>
      </c>
      <c r="D7" t="str">
        <f>I7&amp;"_"&amp;Subnets[[#This Row],[SubNetNumber]]&amp;"_"&amp;Subnets[[#This Row],[Dept. (Computed)]]&amp;"_"&amp;E7&amp;"_"&amp;Subnets[[#This Row],[Location (Computed)]]</f>
        <v>Users_Tier1_261_dept_CJIS_va</v>
      </c>
      <c r="E7" t="str">
        <f>VLOOKUP(Subnets[[#This Row],[VNETID]], VNETS[], 11, FALSE)</f>
        <v>CJIS</v>
      </c>
      <c r="F7" t="str">
        <f>VLOOKUP(Subnets[[#This Row],[VNETID]],VNETS[#All], 8, FALSE)</f>
        <v>dept</v>
      </c>
      <c r="G7" t="str">
        <f>VLOOKUP(Subnets[[#This Row],[VNETID]],VNETS[#All], 9, FALSE)</f>
        <v>Managed</v>
      </c>
      <c r="H7" t="str">
        <f>VLOOKUP(Subnets[[#This Row],[VNETID]],VNETS[#All],13, FALSE)</f>
        <v>va</v>
      </c>
      <c r="I7" t="s">
        <v>991</v>
      </c>
      <c r="K7" t="s">
        <v>994</v>
      </c>
      <c r="L7" t="str">
        <f t="shared" si="0"/>
        <v>10.130.26.128</v>
      </c>
      <c r="M7" s="9" t="s">
        <v>390</v>
      </c>
      <c r="N7" t="str">
        <f>VLOOKUP(Subnets[[#This Row],[VNETID]],VNETS[#All],7, FALSE)</f>
        <v>mag_dept_managed_cjis</v>
      </c>
      <c r="O7">
        <f>VLOOKUP(Subnets[[#This Row],[VNETID]], VNETS[#All], 14, FALSE)</f>
        <v>10</v>
      </c>
      <c r="P7">
        <f>VLOOKUP(Subnets[[#This Row],[VNETID]], VNETS[#All], 15, FALSE)</f>
        <v>130</v>
      </c>
      <c r="Q7">
        <v>26</v>
      </c>
      <c r="R7">
        <v>128</v>
      </c>
      <c r="U7" s="53" t="str">
        <f>VLOOKUP(Subnets[[#This Row],[VNETID]],VNETS[#All],11, FALSE)</f>
        <v>CJIS</v>
      </c>
      <c r="V7" s="53" t="str">
        <f>VLOOKUP(Subnets[[#This Row],[VNETID]],VNETS[#All],2, FALSE)</f>
        <v>sub01</v>
      </c>
    </row>
    <row r="8" spans="1:22" x14ac:dyDescent="0.45">
      <c r="A8" t="s">
        <v>406</v>
      </c>
      <c r="B8">
        <v>270</v>
      </c>
      <c r="C8" t="s">
        <v>309</v>
      </c>
      <c r="D8" t="str">
        <f>I8&amp;"_"&amp;Subnets[[#This Row],[SubNetNumber]]&amp;"_"&amp;Subnets[[#This Row],[Dept. (Computed)]]&amp;"_"&amp;E8&amp;"_"&amp;Subnets[[#This Row],[Location (Computed)]]</f>
        <v>Future_270_dept_CJIS_va</v>
      </c>
      <c r="E8" t="str">
        <f>VLOOKUP(Subnets[[#This Row],[VNETID]], VNETS[], 11, FALSE)</f>
        <v>CJIS</v>
      </c>
      <c r="F8" t="str">
        <f>VLOOKUP(Subnets[[#This Row],[VNETID]],VNETS[#All], 8, FALSE)</f>
        <v>dept</v>
      </c>
      <c r="G8" t="str">
        <f>VLOOKUP(Subnets[[#This Row],[VNETID]],VNETS[#All], 9, FALSE)</f>
        <v>Managed</v>
      </c>
      <c r="H8" t="str">
        <f>VLOOKUP(Subnets[[#This Row],[VNETID]],VNETS[#All],13, FALSE)</f>
        <v>va</v>
      </c>
      <c r="I8" t="s">
        <v>300</v>
      </c>
      <c r="K8" t="s">
        <v>301</v>
      </c>
      <c r="L8" t="str">
        <f t="shared" si="0"/>
        <v>10.130.26.0</v>
      </c>
      <c r="M8" s="9" t="s">
        <v>489</v>
      </c>
      <c r="N8" t="str">
        <f>VLOOKUP(Subnets[[#This Row],[VNETID]],VNETS[#All],7, FALSE)</f>
        <v>mag_dept_managed_cjis</v>
      </c>
      <c r="O8">
        <f>VLOOKUP(Subnets[[#This Row],[VNETID]], VNETS[#All], 14, FALSE)</f>
        <v>10</v>
      </c>
      <c r="P8">
        <f>VLOOKUP(Subnets[[#This Row],[VNETID]], VNETS[#All], 15, FALSE)</f>
        <v>130</v>
      </c>
      <c r="Q8">
        <v>26</v>
      </c>
      <c r="R8">
        <v>0</v>
      </c>
      <c r="U8" s="53" t="str">
        <f>VLOOKUP(Subnets[[#This Row],[VNETID]],VNETS[#All],11, FALSE)</f>
        <v>CJIS</v>
      </c>
      <c r="V8" s="53" t="str">
        <f>VLOOKUP(Subnets[[#This Row],[VNETID]],VNETS[#All],2, FALSE)</f>
        <v>sub01</v>
      </c>
    </row>
    <row r="9" spans="1:22" x14ac:dyDescent="0.45">
      <c r="A9" t="s">
        <v>407</v>
      </c>
      <c r="B9">
        <v>270</v>
      </c>
      <c r="C9" t="s">
        <v>309</v>
      </c>
      <c r="D9" t="str">
        <f>I9&amp;"_"&amp;Subnets[[#This Row],[SubNetNumber]]&amp;"_"&amp;Subnets[[#This Row],[Dept. (Computed)]]&amp;"_"&amp;E9&amp;"_"&amp;Subnets[[#This Row],[Location (Computed)]]</f>
        <v>Future_270_dept_CJIS_va</v>
      </c>
      <c r="E9" t="str">
        <f>VLOOKUP(Subnets[[#This Row],[VNETID]], VNETS[], 11, FALSE)</f>
        <v>CJIS</v>
      </c>
      <c r="F9" t="str">
        <f>VLOOKUP(Subnets[[#This Row],[VNETID]],VNETS[#All], 8, FALSE)</f>
        <v>dept</v>
      </c>
      <c r="G9" t="str">
        <f>VLOOKUP(Subnets[[#This Row],[VNETID]],VNETS[#All], 9, FALSE)</f>
        <v>Managed</v>
      </c>
      <c r="H9" t="str">
        <f>VLOOKUP(Subnets[[#This Row],[VNETID]],VNETS[#All],13, FALSE)</f>
        <v>va</v>
      </c>
      <c r="I9" t="s">
        <v>300</v>
      </c>
      <c r="K9" t="s">
        <v>301</v>
      </c>
      <c r="L9" t="str">
        <f t="shared" si="0"/>
        <v>10.130.28.0</v>
      </c>
      <c r="M9" s="9" t="s">
        <v>489</v>
      </c>
      <c r="N9" t="str">
        <f>VLOOKUP(Subnets[[#This Row],[VNETID]],VNETS[#All],7, FALSE)</f>
        <v>mag_dept_managed_cjis</v>
      </c>
      <c r="O9">
        <f>VLOOKUP(Subnets[[#This Row],[VNETID]], VNETS[#All], 14, FALSE)</f>
        <v>10</v>
      </c>
      <c r="P9">
        <f>VLOOKUP(Subnets[[#This Row],[VNETID]], VNETS[#All], 15, FALSE)</f>
        <v>130</v>
      </c>
      <c r="Q9">
        <v>28</v>
      </c>
      <c r="R9">
        <v>0</v>
      </c>
      <c r="U9" s="53" t="str">
        <f>VLOOKUP(Subnets[[#This Row],[VNETID]],VNETS[#All],11, FALSE)</f>
        <v>CJIS</v>
      </c>
      <c r="V9" s="53" t="str">
        <f>VLOOKUP(Subnets[[#This Row],[VNETID]],VNETS[#All],2, FALSE)</f>
        <v>sub01</v>
      </c>
    </row>
    <row r="10" spans="1:22" x14ac:dyDescent="0.45">
      <c r="A10" t="s">
        <v>408</v>
      </c>
      <c r="B10">
        <v>270</v>
      </c>
      <c r="C10" t="s">
        <v>309</v>
      </c>
      <c r="D10" t="str">
        <f>I10&amp;"_"&amp;Subnets[[#This Row],[SubNetNumber]]&amp;"_"&amp;Subnets[[#This Row],[Dept. (Computed)]]&amp;"_"&amp;E10&amp;"_"&amp;Subnets[[#This Row],[Location (Computed)]]</f>
        <v>Future_270_dept_CJIS_va</v>
      </c>
      <c r="E10" t="str">
        <f>VLOOKUP(Subnets[[#This Row],[VNETID]], VNETS[], 11, FALSE)</f>
        <v>CJIS</v>
      </c>
      <c r="F10" t="str">
        <f>VLOOKUP(Subnets[[#This Row],[VNETID]],VNETS[#All], 8, FALSE)</f>
        <v>dept</v>
      </c>
      <c r="G10" t="str">
        <f>VLOOKUP(Subnets[[#This Row],[VNETID]],VNETS[#All], 9, FALSE)</f>
        <v>Managed</v>
      </c>
      <c r="H10" t="str">
        <f>VLOOKUP(Subnets[[#This Row],[VNETID]],VNETS[#All],13, FALSE)</f>
        <v>va</v>
      </c>
      <c r="I10" t="s">
        <v>300</v>
      </c>
      <c r="K10" t="s">
        <v>301</v>
      </c>
      <c r="L10" t="str">
        <f t="shared" si="0"/>
        <v>10.130.30.0</v>
      </c>
      <c r="M10" s="9" t="s">
        <v>78</v>
      </c>
      <c r="N10" t="str">
        <f>VLOOKUP(Subnets[[#This Row],[VNETID]],VNETS[#All],7, FALSE)</f>
        <v>mag_dept_managed_cjis</v>
      </c>
      <c r="O10">
        <f>VLOOKUP(Subnets[[#This Row],[VNETID]], VNETS[#All], 14, FALSE)</f>
        <v>10</v>
      </c>
      <c r="P10">
        <f>VLOOKUP(Subnets[[#This Row],[VNETID]], VNETS[#All], 15, FALSE)</f>
        <v>130</v>
      </c>
      <c r="Q10">
        <v>30</v>
      </c>
      <c r="R10">
        <v>0</v>
      </c>
      <c r="U10" s="53" t="str">
        <f>VLOOKUP(Subnets[[#This Row],[VNETID]],VNETS[#All],11, FALSE)</f>
        <v>CJIS</v>
      </c>
      <c r="V10" s="53" t="str">
        <f>VLOOKUP(Subnets[[#This Row],[VNETID]],VNETS[#All],2, FALSE)</f>
        <v>sub01</v>
      </c>
    </row>
    <row r="11" spans="1:22" x14ac:dyDescent="0.45">
      <c r="A11" t="s">
        <v>409</v>
      </c>
      <c r="B11">
        <v>299</v>
      </c>
      <c r="C11" t="s">
        <v>309</v>
      </c>
      <c r="D11" t="str">
        <f>I11&amp;"_"&amp;Subnets[[#This Row],[SubNetNumber]]&amp;"_"&amp;Subnets[[#This Row],[Dept. (Computed)]]&amp;"_"&amp;E11&amp;"_"&amp;Subnets[[#This Row],[Location (Computed)]]</f>
        <v>Gateway_299_dept_CJIS_va</v>
      </c>
      <c r="E11" t="str">
        <f>VLOOKUP(Subnets[[#This Row],[VNETID]], VNETS[], 11, FALSE)</f>
        <v>CJIS</v>
      </c>
      <c r="F11" t="str">
        <f>VLOOKUP(Subnets[[#This Row],[VNETID]],VNETS[#All], 8, FALSE)</f>
        <v>dept</v>
      </c>
      <c r="G11" t="str">
        <f>VLOOKUP(Subnets[[#This Row],[VNETID]],VNETS[#All], 9, FALSE)</f>
        <v>Managed</v>
      </c>
      <c r="H11" t="str">
        <f>VLOOKUP(Subnets[[#This Row],[VNETID]],VNETS[#All],13, FALSE)</f>
        <v>va</v>
      </c>
      <c r="I11" t="s">
        <v>501</v>
      </c>
      <c r="K11" t="s">
        <v>554</v>
      </c>
      <c r="L11" t="str">
        <f t="shared" si="0"/>
        <v>10.130.31.248</v>
      </c>
      <c r="M11" s="9" t="s">
        <v>399</v>
      </c>
      <c r="N11" t="str">
        <f>VLOOKUP(Subnets[[#This Row],[VNETID]],VNETS[#All],7, FALSE)</f>
        <v>mag_dept_managed_cjis</v>
      </c>
      <c r="O11">
        <f>VLOOKUP(Subnets[[#This Row],[VNETID]], VNETS[#All], 14, FALSE)</f>
        <v>10</v>
      </c>
      <c r="P11">
        <f>VLOOKUP(Subnets[[#This Row],[VNETID]], VNETS[#All], 15, FALSE)</f>
        <v>130</v>
      </c>
      <c r="Q11">
        <v>31</v>
      </c>
      <c r="R11">
        <v>248</v>
      </c>
      <c r="S11" t="str">
        <f>O11&amp;"."&amp;P11&amp;"."&amp;Q11&amp;"."&amp;R11</f>
        <v>10.130.31.248</v>
      </c>
      <c r="T11" s="9" t="s">
        <v>399</v>
      </c>
      <c r="U11" s="53" t="str">
        <f>VLOOKUP(Subnets[[#This Row],[VNETID]],VNETS[#All],11, FALSE)</f>
        <v>CJIS</v>
      </c>
      <c r="V11" s="53" t="str">
        <f>VLOOKUP(Subnets[[#This Row],[VNETID]],VNETS[#All],2, FALSE)</f>
        <v>sub01</v>
      </c>
    </row>
    <row r="12" spans="1:22" x14ac:dyDescent="0.45">
      <c r="A12" t="s">
        <v>410</v>
      </c>
      <c r="B12">
        <v>210</v>
      </c>
      <c r="C12" t="s">
        <v>314</v>
      </c>
      <c r="D12" t="str">
        <f>I12&amp;"_"&amp;Subnets[[#This Row],[SubNetNumber]]&amp;"_"&amp;Subnets[[#This Row],[Dept. (Computed)]]&amp;"_"&amp;E12&amp;"_"&amp;Subnets[[#This Row],[Location (Computed)]]</f>
        <v>Web_210_dept_CJIS_ia</v>
      </c>
      <c r="E12" t="str">
        <f>VLOOKUP(Subnets[[#This Row],[VNETID]], VNETS[], 11, FALSE)</f>
        <v>CJIS</v>
      </c>
      <c r="F12" t="str">
        <f>VLOOKUP(Subnets[[#This Row],[VNETID]],VNETS[#All], 8, FALSE)</f>
        <v>dept</v>
      </c>
      <c r="G12" t="str">
        <f>VLOOKUP(Subnets[[#This Row],[VNETID]],VNETS[#All], 9, FALSE)</f>
        <v>Managed</v>
      </c>
      <c r="H12" t="str">
        <f>VLOOKUP(Subnets[[#This Row],[VNETID]],VNETS[#All],13, FALSE)</f>
        <v>ia</v>
      </c>
      <c r="I12" t="s">
        <v>73</v>
      </c>
      <c r="K12" t="s">
        <v>77</v>
      </c>
      <c r="L12" t="str">
        <f t="shared" si="0"/>
        <v>10.130.80.0</v>
      </c>
      <c r="M12" s="9" t="s">
        <v>78</v>
      </c>
      <c r="N12" t="str">
        <f>VLOOKUP(Subnets[[#This Row],[VNETID]],VNETS[#All],7, FALSE)</f>
        <v>mag_dept_managed_cjis</v>
      </c>
      <c r="O12">
        <f>VLOOKUP(Subnets[[#This Row],[VNETID]], VNETS[#All], 14, FALSE)</f>
        <v>10</v>
      </c>
      <c r="P12">
        <f>VLOOKUP(Subnets[[#This Row],[VNETID]], VNETS[#All], 15, FALSE)</f>
        <v>130</v>
      </c>
      <c r="Q12">
        <v>80</v>
      </c>
      <c r="R12">
        <v>0</v>
      </c>
      <c r="S12" t="str">
        <f>O12&amp;"."&amp;P12&amp;"."&amp;Q12&amp;"."&amp;R12</f>
        <v>10.130.80.0</v>
      </c>
      <c r="T12" s="9" t="s">
        <v>383</v>
      </c>
      <c r="U12" s="53" t="str">
        <f>VLOOKUP(Subnets[[#This Row],[VNETID]],VNETS[#All],11, FALSE)</f>
        <v>CJIS</v>
      </c>
      <c r="V12" s="53" t="str">
        <f>VLOOKUP(Subnets[[#This Row],[VNETID]],VNETS[#All],2, FALSE)</f>
        <v>sub01</v>
      </c>
    </row>
    <row r="13" spans="1:22" x14ac:dyDescent="0.45">
      <c r="A13" t="s">
        <v>411</v>
      </c>
      <c r="B13">
        <v>220</v>
      </c>
      <c r="C13" t="s">
        <v>314</v>
      </c>
      <c r="D13" t="str">
        <f>I13&amp;"_"&amp;Subnets[[#This Row],[SubNetNumber]]&amp;"_"&amp;Subnets[[#This Row],[Dept. (Computed)]]&amp;"_"&amp;E13&amp;"_"&amp;Subnets[[#This Row],[Location (Computed)]]</f>
        <v>App_220_dept_CJIS_ia</v>
      </c>
      <c r="E13" t="str">
        <f>VLOOKUP(Subnets[[#This Row],[VNETID]], VNETS[], 11, FALSE)</f>
        <v>CJIS</v>
      </c>
      <c r="F13" t="str">
        <f>VLOOKUP(Subnets[[#This Row],[VNETID]],VNETS[#All], 8, FALSE)</f>
        <v>dept</v>
      </c>
      <c r="G13" t="str">
        <f>VLOOKUP(Subnets[[#This Row],[VNETID]],VNETS[#All], 9, FALSE)</f>
        <v>Managed</v>
      </c>
      <c r="H13" t="str">
        <f>VLOOKUP(Subnets[[#This Row],[VNETID]],VNETS[#All],13, FALSE)</f>
        <v>ia</v>
      </c>
      <c r="I13" t="s">
        <v>74</v>
      </c>
      <c r="K13" t="s">
        <v>79</v>
      </c>
      <c r="L13" t="str">
        <f t="shared" si="0"/>
        <v>10.130.82.0</v>
      </c>
      <c r="M13" s="9" t="s">
        <v>78</v>
      </c>
      <c r="N13" t="str">
        <f>VLOOKUP(Subnets[[#This Row],[VNETID]],VNETS[#All],7, FALSE)</f>
        <v>mag_dept_managed_cjis</v>
      </c>
      <c r="O13">
        <f>VLOOKUP(Subnets[[#This Row],[VNETID]], VNETS[#All], 14, FALSE)</f>
        <v>10</v>
      </c>
      <c r="P13">
        <f>VLOOKUP(Subnets[[#This Row],[VNETID]], VNETS[#All], 15, FALSE)</f>
        <v>130</v>
      </c>
      <c r="Q13">
        <v>82</v>
      </c>
      <c r="R13">
        <v>0</v>
      </c>
      <c r="U13" s="53" t="str">
        <f>VLOOKUP(Subnets[[#This Row],[VNETID]],VNETS[#All],11, FALSE)</f>
        <v>CJIS</v>
      </c>
      <c r="V13" s="53" t="str">
        <f>VLOOKUP(Subnets[[#This Row],[VNETID]],VNETS[#All],2, FALSE)</f>
        <v>sub01</v>
      </c>
    </row>
    <row r="14" spans="1:22" x14ac:dyDescent="0.45">
      <c r="A14" t="s">
        <v>412</v>
      </c>
      <c r="B14">
        <v>230</v>
      </c>
      <c r="C14" t="s">
        <v>314</v>
      </c>
      <c r="D14" t="str">
        <f>I14&amp;"_"&amp;Subnets[[#This Row],[SubNetNumber]]&amp;"_"&amp;Subnets[[#This Row],[Dept. (Computed)]]&amp;"_"&amp;E14&amp;"_"&amp;Subnets[[#This Row],[Location (Computed)]]</f>
        <v>Database_230_dept_CJIS_ia</v>
      </c>
      <c r="E14" t="str">
        <f>VLOOKUP(Subnets[[#This Row],[VNETID]], VNETS[], 11, FALSE)</f>
        <v>CJIS</v>
      </c>
      <c r="F14" t="str">
        <f>VLOOKUP(Subnets[[#This Row],[VNETID]],VNETS[#All], 8, FALSE)</f>
        <v>dept</v>
      </c>
      <c r="G14" t="str">
        <f>VLOOKUP(Subnets[[#This Row],[VNETID]],VNETS[#All], 9, FALSE)</f>
        <v>Managed</v>
      </c>
      <c r="H14" t="str">
        <f>VLOOKUP(Subnets[[#This Row],[VNETID]],VNETS[#All],13, FALSE)</f>
        <v>ia</v>
      </c>
      <c r="I14" t="s">
        <v>75</v>
      </c>
      <c r="K14" t="s">
        <v>80</v>
      </c>
      <c r="L14" t="str">
        <f t="shared" si="0"/>
        <v>10.130.84.0</v>
      </c>
      <c r="M14" s="9" t="s">
        <v>78</v>
      </c>
      <c r="N14" t="str">
        <f>VLOOKUP(Subnets[[#This Row],[VNETID]],VNETS[#All],7, FALSE)</f>
        <v>mag_dept_managed_cjis</v>
      </c>
      <c r="O14">
        <f>VLOOKUP(Subnets[[#This Row],[VNETID]], VNETS[#All], 14, FALSE)</f>
        <v>10</v>
      </c>
      <c r="P14">
        <f>VLOOKUP(Subnets[[#This Row],[VNETID]], VNETS[#All], 15, FALSE)</f>
        <v>130</v>
      </c>
      <c r="Q14">
        <v>84</v>
      </c>
      <c r="R14">
        <v>0</v>
      </c>
      <c r="U14" s="53" t="str">
        <f>VLOOKUP(Subnets[[#This Row],[VNETID]],VNETS[#All],11, FALSE)</f>
        <v>CJIS</v>
      </c>
      <c r="V14" s="53" t="str">
        <f>VLOOKUP(Subnets[[#This Row],[VNETID]],VNETS[#All],2, FALSE)</f>
        <v>sub01</v>
      </c>
    </row>
    <row r="15" spans="1:22" x14ac:dyDescent="0.45">
      <c r="A15" t="s">
        <v>413</v>
      </c>
      <c r="B15">
        <v>250</v>
      </c>
      <c r="C15" t="s">
        <v>314</v>
      </c>
      <c r="D15" t="str">
        <f>I15&amp;"_"&amp;Subnets[[#This Row],[SubNetNumber]]&amp;"_"&amp;Subnets[[#This Row],[Dept. (Computed)]]&amp;"_"&amp;E15&amp;"_"&amp;Subnets[[#This Row],[Location (Computed)]]</f>
        <v>DMZ_250_dept_CJIS_ia</v>
      </c>
      <c r="E15" t="str">
        <f>VLOOKUP(Subnets[[#This Row],[VNETID]], VNETS[], 11, FALSE)</f>
        <v>CJIS</v>
      </c>
      <c r="F15" t="str">
        <f>VLOOKUP(Subnets[[#This Row],[VNETID]],VNETS[#All], 8, FALSE)</f>
        <v>dept</v>
      </c>
      <c r="G15" t="str">
        <f>VLOOKUP(Subnets[[#This Row],[VNETID]],VNETS[#All], 9, FALSE)</f>
        <v>Managed</v>
      </c>
      <c r="H15" t="str">
        <f>VLOOKUP(Subnets[[#This Row],[VNETID]],VNETS[#All],13, FALSE)</f>
        <v>ia</v>
      </c>
      <c r="I15" t="s">
        <v>76</v>
      </c>
      <c r="K15" t="s">
        <v>91</v>
      </c>
      <c r="L15" t="str">
        <f t="shared" si="0"/>
        <v>10.130.86.0</v>
      </c>
      <c r="M15" s="9" t="s">
        <v>78</v>
      </c>
      <c r="N15" t="str">
        <f>VLOOKUP(Subnets[[#This Row],[VNETID]],VNETS[#All],7, FALSE)</f>
        <v>mag_dept_managed_cjis</v>
      </c>
      <c r="O15">
        <f>VLOOKUP(Subnets[[#This Row],[VNETID]], VNETS[#All], 14, FALSE)</f>
        <v>10</v>
      </c>
      <c r="P15">
        <f>VLOOKUP(Subnets[[#This Row],[VNETID]], VNETS[#All], 15, FALSE)</f>
        <v>130</v>
      </c>
      <c r="Q15">
        <v>86</v>
      </c>
      <c r="R15">
        <v>0</v>
      </c>
      <c r="U15" s="53" t="str">
        <f>VLOOKUP(Subnets[[#This Row],[VNETID]],VNETS[#All],11, FALSE)</f>
        <v>CJIS</v>
      </c>
      <c r="V15" s="53" t="str">
        <f>VLOOKUP(Subnets[[#This Row],[VNETID]],VNETS[#All],2, FALSE)</f>
        <v>sub01</v>
      </c>
    </row>
    <row r="16" spans="1:22" x14ac:dyDescent="0.45">
      <c r="A16" t="s">
        <v>414</v>
      </c>
      <c r="B16">
        <v>260</v>
      </c>
      <c r="C16" t="s">
        <v>314</v>
      </c>
      <c r="D16" t="str">
        <f>I16&amp;"_"&amp;Subnets[[#This Row],[SubNetNumber]]&amp;"_"&amp;Subnets[[#This Row],[Dept. (Computed)]]&amp;"_"&amp;E16&amp;"_"&amp;Subnets[[#This Row],[Location (Computed)]]</f>
        <v>User_Tier0_260_dept_CJIS_ia</v>
      </c>
      <c r="E16" t="str">
        <f>VLOOKUP(Subnets[[#This Row],[VNETID]], VNETS[], 11, FALSE)</f>
        <v>CJIS</v>
      </c>
      <c r="F16" t="str">
        <f>VLOOKUP(Subnets[[#This Row],[VNETID]],VNETS[#All], 8, FALSE)</f>
        <v>dept</v>
      </c>
      <c r="G16" t="str">
        <f>VLOOKUP(Subnets[[#This Row],[VNETID]],VNETS[#All], 9, FALSE)</f>
        <v>Managed</v>
      </c>
      <c r="H16" t="str">
        <f>VLOOKUP(Subnets[[#This Row],[VNETID]],VNETS[#All],13, FALSE)</f>
        <v>ia</v>
      </c>
      <c r="I16" t="s">
        <v>993</v>
      </c>
      <c r="K16" t="s">
        <v>996</v>
      </c>
      <c r="L16" t="str">
        <f t="shared" si="0"/>
        <v>10.130.88.0</v>
      </c>
      <c r="M16" s="9" t="s">
        <v>390</v>
      </c>
      <c r="N16" t="str">
        <f>VLOOKUP(Subnets[[#This Row],[VNETID]],VNETS[#All],7, FALSE)</f>
        <v>mag_dept_managed_cjis</v>
      </c>
      <c r="O16">
        <f>VLOOKUP(Subnets[[#This Row],[VNETID]], VNETS[#All], 14, FALSE)</f>
        <v>10</v>
      </c>
      <c r="P16">
        <f>VLOOKUP(Subnets[[#This Row],[VNETID]], VNETS[#All], 15, FALSE)</f>
        <v>130</v>
      </c>
      <c r="Q16">
        <v>88</v>
      </c>
      <c r="R16">
        <v>0</v>
      </c>
      <c r="U16" s="53" t="str">
        <f>VLOOKUP(Subnets[[#This Row],[VNETID]],VNETS[#All],11, FALSE)</f>
        <v>CJIS</v>
      </c>
      <c r="V16" s="53" t="str">
        <f>VLOOKUP(Subnets[[#This Row],[VNETID]],VNETS[#All],2, FALSE)</f>
        <v>sub01</v>
      </c>
    </row>
    <row r="17" spans="1:22" x14ac:dyDescent="0.45">
      <c r="A17" t="s">
        <v>415</v>
      </c>
      <c r="B17">
        <v>261</v>
      </c>
      <c r="C17" t="s">
        <v>314</v>
      </c>
      <c r="D17" t="str">
        <f>I17&amp;"_"&amp;Subnets[[#This Row],[SubNetNumber]]&amp;"_"&amp;Subnets[[#This Row],[Dept. (Computed)]]&amp;"_"&amp;E17&amp;"_"&amp;Subnets[[#This Row],[Location (Computed)]]</f>
        <v>User_Tier1_261_dept_CJIS_ia</v>
      </c>
      <c r="E17" t="str">
        <f>VLOOKUP(Subnets[[#This Row],[VNETID]], VNETS[], 11, FALSE)</f>
        <v>CJIS</v>
      </c>
      <c r="F17" t="str">
        <f>VLOOKUP(Subnets[[#This Row],[VNETID]],VNETS[#All], 8, FALSE)</f>
        <v>dept</v>
      </c>
      <c r="G17" t="str">
        <f>VLOOKUP(Subnets[[#This Row],[VNETID]],VNETS[#All], 9, FALSE)</f>
        <v>Managed</v>
      </c>
      <c r="H17" t="str">
        <f>VLOOKUP(Subnets[[#This Row],[VNETID]],VNETS[#All],13, FALSE)</f>
        <v>ia</v>
      </c>
      <c r="I17" t="s">
        <v>999</v>
      </c>
      <c r="K17" t="s">
        <v>994</v>
      </c>
      <c r="L17" t="str">
        <f t="shared" si="0"/>
        <v>10.130.88.128</v>
      </c>
      <c r="M17" s="9" t="s">
        <v>390</v>
      </c>
      <c r="N17" t="str">
        <f>VLOOKUP(Subnets[[#This Row],[VNETID]],VNETS[#All],7, FALSE)</f>
        <v>mag_dept_managed_cjis</v>
      </c>
      <c r="O17">
        <f>VLOOKUP(Subnets[[#This Row],[VNETID]], VNETS[#All], 14, FALSE)</f>
        <v>10</v>
      </c>
      <c r="P17">
        <f>VLOOKUP(Subnets[[#This Row],[VNETID]], VNETS[#All], 15, FALSE)</f>
        <v>130</v>
      </c>
      <c r="Q17">
        <v>88</v>
      </c>
      <c r="R17">
        <v>128</v>
      </c>
      <c r="U17" s="53" t="str">
        <f>VLOOKUP(Subnets[[#This Row],[VNETID]],VNETS[#All],11, FALSE)</f>
        <v>CJIS</v>
      </c>
      <c r="V17" s="53" t="str">
        <f>VLOOKUP(Subnets[[#This Row],[VNETID]],VNETS[#All],2, FALSE)</f>
        <v>sub01</v>
      </c>
    </row>
    <row r="18" spans="1:22" x14ac:dyDescent="0.45">
      <c r="A18" t="s">
        <v>416</v>
      </c>
      <c r="B18">
        <v>270</v>
      </c>
      <c r="C18" t="s">
        <v>314</v>
      </c>
      <c r="D18" t="str">
        <f>I18&amp;"_"&amp;Subnets[[#This Row],[SubNetNumber]]&amp;"_"&amp;Subnets[[#This Row],[Dept. (Computed)]]&amp;"_"&amp;E18&amp;"_"&amp;Subnets[[#This Row],[Location (Computed)]]</f>
        <v>Future_270_dept_CJIS_ia</v>
      </c>
      <c r="E18" t="str">
        <f>VLOOKUP(Subnets[[#This Row],[VNETID]], VNETS[], 11, FALSE)</f>
        <v>CJIS</v>
      </c>
      <c r="F18" t="str">
        <f>VLOOKUP(Subnets[[#This Row],[VNETID]],VNETS[#All], 8, FALSE)</f>
        <v>dept</v>
      </c>
      <c r="G18" t="str">
        <f>VLOOKUP(Subnets[[#This Row],[VNETID]],VNETS[#All], 9, FALSE)</f>
        <v>Managed</v>
      </c>
      <c r="H18" t="str">
        <f>VLOOKUP(Subnets[[#This Row],[VNETID]],VNETS[#All],13, FALSE)</f>
        <v>ia</v>
      </c>
      <c r="I18" t="s">
        <v>300</v>
      </c>
      <c r="K18" t="s">
        <v>301</v>
      </c>
      <c r="L18" t="str">
        <f t="shared" si="0"/>
        <v>10.130.92.0</v>
      </c>
      <c r="M18" s="9" t="s">
        <v>489</v>
      </c>
      <c r="N18" t="str">
        <f>VLOOKUP(Subnets[[#This Row],[VNETID]],VNETS[#All],7, FALSE)</f>
        <v>mag_dept_managed_cjis</v>
      </c>
      <c r="O18">
        <f>VLOOKUP(Subnets[[#This Row],[VNETID]], VNETS[#All], 14, FALSE)</f>
        <v>10</v>
      </c>
      <c r="P18">
        <f>VLOOKUP(Subnets[[#This Row],[VNETID]], VNETS[#All], 15, FALSE)</f>
        <v>130</v>
      </c>
      <c r="Q18">
        <v>92</v>
      </c>
      <c r="R18">
        <v>0</v>
      </c>
      <c r="U18" s="53" t="str">
        <f>VLOOKUP(Subnets[[#This Row],[VNETID]],VNETS[#All],11, FALSE)</f>
        <v>CJIS</v>
      </c>
      <c r="V18" s="53" t="str">
        <f>VLOOKUP(Subnets[[#This Row],[VNETID]],VNETS[#All],2, FALSE)</f>
        <v>sub01</v>
      </c>
    </row>
    <row r="19" spans="1:22" x14ac:dyDescent="0.45">
      <c r="A19" t="s">
        <v>417</v>
      </c>
      <c r="B19">
        <v>270</v>
      </c>
      <c r="C19" t="s">
        <v>314</v>
      </c>
      <c r="D19" t="str">
        <f>I19&amp;"_"&amp;Subnets[[#This Row],[SubNetNumber]]&amp;"_"&amp;Subnets[[#This Row],[Dept. (Computed)]]&amp;"_"&amp;E19&amp;"_"&amp;Subnets[[#This Row],[Location (Computed)]]</f>
        <v>Future_270_dept_CJIS_ia</v>
      </c>
      <c r="E19" t="str">
        <f>VLOOKUP(Subnets[[#This Row],[VNETID]], VNETS[], 11, FALSE)</f>
        <v>CJIS</v>
      </c>
      <c r="F19" t="str">
        <f>VLOOKUP(Subnets[[#This Row],[VNETID]],VNETS[#All], 8, FALSE)</f>
        <v>dept</v>
      </c>
      <c r="G19" t="str">
        <f>VLOOKUP(Subnets[[#This Row],[VNETID]],VNETS[#All], 9, FALSE)</f>
        <v>Managed</v>
      </c>
      <c r="H19" t="str">
        <f>VLOOKUP(Subnets[[#This Row],[VNETID]],VNETS[#All],13, FALSE)</f>
        <v>ia</v>
      </c>
      <c r="I19" t="s">
        <v>300</v>
      </c>
      <c r="K19" t="s">
        <v>301</v>
      </c>
      <c r="L19" t="str">
        <f t="shared" si="0"/>
        <v>10.130.94.0</v>
      </c>
      <c r="M19" s="9" t="s">
        <v>78</v>
      </c>
      <c r="N19" t="str">
        <f>VLOOKUP(Subnets[[#This Row],[VNETID]],VNETS[#All],7, FALSE)</f>
        <v>mag_dept_managed_cjis</v>
      </c>
      <c r="O19">
        <f>VLOOKUP(Subnets[[#This Row],[VNETID]], VNETS[#All], 14, FALSE)</f>
        <v>10</v>
      </c>
      <c r="P19">
        <f>VLOOKUP(Subnets[[#This Row],[VNETID]], VNETS[#All], 15, FALSE)</f>
        <v>130</v>
      </c>
      <c r="Q19">
        <v>94</v>
      </c>
      <c r="R19">
        <v>0</v>
      </c>
      <c r="U19" s="53" t="str">
        <f>VLOOKUP(Subnets[[#This Row],[VNETID]],VNETS[#All],11, FALSE)</f>
        <v>CJIS</v>
      </c>
      <c r="V19" s="53" t="str">
        <f>VLOOKUP(Subnets[[#This Row],[VNETID]],VNETS[#All],2, FALSE)</f>
        <v>sub01</v>
      </c>
    </row>
    <row r="20" spans="1:22" x14ac:dyDescent="0.45">
      <c r="A20" t="s">
        <v>418</v>
      </c>
      <c r="B20">
        <v>299</v>
      </c>
      <c r="C20" t="s">
        <v>314</v>
      </c>
      <c r="D20" t="str">
        <f>I20&amp;"_"&amp;Subnets[[#This Row],[SubNetNumber]]&amp;"_"&amp;Subnets[[#This Row],[Dept. (Computed)]]&amp;"_"&amp;E20&amp;"_"&amp;Subnets[[#This Row],[Location (Computed)]]</f>
        <v>Gateway_299_dept_CJIS_ia</v>
      </c>
      <c r="E20" t="str">
        <f>VLOOKUP(Subnets[[#This Row],[VNETID]], VNETS[], 11, FALSE)</f>
        <v>CJIS</v>
      </c>
      <c r="F20" t="str">
        <f>VLOOKUP(Subnets[[#This Row],[VNETID]],VNETS[#All], 8, FALSE)</f>
        <v>dept</v>
      </c>
      <c r="G20" t="str">
        <f>VLOOKUP(Subnets[[#This Row],[VNETID]],VNETS[#All], 9, FALSE)</f>
        <v>Managed</v>
      </c>
      <c r="H20" t="str">
        <f>VLOOKUP(Subnets[[#This Row],[VNETID]],VNETS[#All],13, FALSE)</f>
        <v>ia</v>
      </c>
      <c r="I20" t="s">
        <v>501</v>
      </c>
      <c r="K20" t="s">
        <v>554</v>
      </c>
      <c r="L20" t="str">
        <f t="shared" si="0"/>
        <v>10.130.95.248</v>
      </c>
      <c r="M20" s="9" t="s">
        <v>399</v>
      </c>
      <c r="N20" t="str">
        <f>VLOOKUP(Subnets[[#This Row],[VNETID]],VNETS[#All],7, FALSE)</f>
        <v>mag_dept_managed_cjis</v>
      </c>
      <c r="O20">
        <f>VLOOKUP(Subnets[[#This Row],[VNETID]], VNETS[#All], 14, FALSE)</f>
        <v>10</v>
      </c>
      <c r="P20">
        <f>VLOOKUP(Subnets[[#This Row],[VNETID]], VNETS[#All], 15, FALSE)</f>
        <v>130</v>
      </c>
      <c r="Q20">
        <v>95</v>
      </c>
      <c r="R20">
        <v>248</v>
      </c>
      <c r="S20" t="str">
        <f>O20&amp;"."&amp;P20&amp;"."&amp;Q20&amp;"."&amp;R20</f>
        <v>10.130.95.248</v>
      </c>
      <c r="T20" s="9" t="s">
        <v>399</v>
      </c>
      <c r="U20" s="53" t="str">
        <f>VLOOKUP(Subnets[[#This Row],[VNETID]],VNETS[#All],11, FALSE)</f>
        <v>CJIS</v>
      </c>
      <c r="V20" s="53" t="str">
        <f>VLOOKUP(Subnets[[#This Row],[VNETID]],VNETS[#All],2, FALSE)</f>
        <v>sub01</v>
      </c>
    </row>
    <row r="21" spans="1:22" hidden="1" x14ac:dyDescent="0.45">
      <c r="A21" t="s">
        <v>419</v>
      </c>
      <c r="B21">
        <v>310</v>
      </c>
      <c r="C21" t="s">
        <v>310</v>
      </c>
      <c r="D21" t="str">
        <f>I21&amp;"_"&amp;Subnets[[#This Row],[SubNetNumber]]&amp;"_"&amp;Subnets[[#This Row],[Dept. (Computed)]]&amp;"_"&amp;E21&amp;"_"&amp;Subnets[[#This Row],[Location (Computed)]]</f>
        <v>Web_310_dept_Test_va</v>
      </c>
      <c r="E21" t="s">
        <v>81</v>
      </c>
      <c r="F21" t="str">
        <f>VLOOKUP(Subnets[[#This Row],[VNETID]],VNETS[#All], 8, FALSE)</f>
        <v>dept</v>
      </c>
      <c r="G21" t="str">
        <f>VLOOKUP(Subnets[[#This Row],[VNETID]],VNETS[#All], 9, FALSE)</f>
        <v>Managed</v>
      </c>
      <c r="H21" t="str">
        <f>VLOOKUP(Subnets[[#This Row],[VNETID]],VNETS[#All],13, FALSE)</f>
        <v>va</v>
      </c>
      <c r="I21" t="s">
        <v>73</v>
      </c>
      <c r="K21" t="s">
        <v>77</v>
      </c>
      <c r="L21" t="str">
        <f t="shared" si="0"/>
        <v>10.130.32.0</v>
      </c>
      <c r="M21" s="9" t="s">
        <v>78</v>
      </c>
      <c r="N21" t="str">
        <f>VLOOKUP(Subnets[[#This Row],[VNETID]],VNETS[#All],7, FALSE)</f>
        <v>mag_dept_managed_preprod</v>
      </c>
      <c r="O21">
        <f>VLOOKUP(Subnets[[#This Row],[VNETID]], VNETS[#All], 14, FALSE)</f>
        <v>10</v>
      </c>
      <c r="P21">
        <f>VLOOKUP(Subnets[[#This Row],[VNETID]], VNETS[#All], 15, FALSE)</f>
        <v>130</v>
      </c>
      <c r="Q21">
        <v>32</v>
      </c>
      <c r="R21">
        <v>0</v>
      </c>
      <c r="S21" t="str">
        <f>O21&amp;"."&amp;P21&amp;"."&amp;Q21&amp;"."&amp;R21</f>
        <v>10.130.32.0</v>
      </c>
      <c r="T21" s="9" t="s">
        <v>383</v>
      </c>
      <c r="U21" s="53" t="str">
        <f>VLOOKUP(Subnets[[#This Row],[VNETID]],VNETS[#All],11, FALSE)</f>
        <v>PREPROD</v>
      </c>
      <c r="V21" s="53" t="str">
        <f>VLOOKUP(Subnets[[#This Row],[VNETID]],VNETS[#All],2, FALSE)</f>
        <v>sub02</v>
      </c>
    </row>
    <row r="22" spans="1:22" hidden="1" x14ac:dyDescent="0.45">
      <c r="A22" t="s">
        <v>420</v>
      </c>
      <c r="B22">
        <v>320</v>
      </c>
      <c r="C22" t="s">
        <v>310</v>
      </c>
      <c r="D22" t="str">
        <f>I22&amp;"_"&amp;Subnets[[#This Row],[SubNetNumber]]&amp;"_"&amp;Subnets[[#This Row],[Dept. (Computed)]]&amp;"_"&amp;E22&amp;"_"&amp;Subnets[[#This Row],[Location (Computed)]]</f>
        <v>App_320_dept_Test_va</v>
      </c>
      <c r="E22" t="s">
        <v>81</v>
      </c>
      <c r="F22" t="str">
        <f>VLOOKUP(Subnets[[#This Row],[VNETID]],VNETS[#All], 8, FALSE)</f>
        <v>dept</v>
      </c>
      <c r="G22" t="str">
        <f>VLOOKUP(Subnets[[#This Row],[VNETID]],VNETS[#All], 9, FALSE)</f>
        <v>Managed</v>
      </c>
      <c r="H22" t="str">
        <f>VLOOKUP(Subnets[[#This Row],[VNETID]],VNETS[#All],13, FALSE)</f>
        <v>va</v>
      </c>
      <c r="I22" t="s">
        <v>74</v>
      </c>
      <c r="K22" t="s">
        <v>79</v>
      </c>
      <c r="L22" t="str">
        <f t="shared" si="0"/>
        <v>10.130.33.0</v>
      </c>
      <c r="M22" s="9" t="s">
        <v>78</v>
      </c>
      <c r="N22" t="str">
        <f>VLOOKUP(Subnets[[#This Row],[VNETID]],VNETS[#All],7, FALSE)</f>
        <v>mag_dept_managed_preprod</v>
      </c>
      <c r="O22">
        <f>VLOOKUP(Subnets[[#This Row],[VNETID]], VNETS[#All], 14, FALSE)</f>
        <v>10</v>
      </c>
      <c r="P22">
        <f>VLOOKUP(Subnets[[#This Row],[VNETID]], VNETS[#All], 15, FALSE)</f>
        <v>130</v>
      </c>
      <c r="Q22">
        <v>33</v>
      </c>
      <c r="R22">
        <v>0</v>
      </c>
      <c r="U22" s="53" t="str">
        <f>VLOOKUP(Subnets[[#This Row],[VNETID]],VNETS[#All],11, FALSE)</f>
        <v>PREPROD</v>
      </c>
      <c r="V22" s="53" t="str">
        <f>VLOOKUP(Subnets[[#This Row],[VNETID]],VNETS[#All],2, FALSE)</f>
        <v>sub02</v>
      </c>
    </row>
    <row r="23" spans="1:22" hidden="1" x14ac:dyDescent="0.45">
      <c r="A23" t="s">
        <v>421</v>
      </c>
      <c r="B23">
        <v>330</v>
      </c>
      <c r="C23" t="s">
        <v>310</v>
      </c>
      <c r="D23" t="str">
        <f>I23&amp;"_"&amp;Subnets[[#This Row],[SubNetNumber]]&amp;"_"&amp;Subnets[[#This Row],[Dept. (Computed)]]&amp;"_"&amp;E23&amp;"_"&amp;Subnets[[#This Row],[Location (Computed)]]</f>
        <v>Database_330_dept_Test_va</v>
      </c>
      <c r="E23" t="s">
        <v>81</v>
      </c>
      <c r="F23" t="str">
        <f>VLOOKUP(Subnets[[#This Row],[VNETID]],VNETS[#All], 8, FALSE)</f>
        <v>dept</v>
      </c>
      <c r="G23" t="str">
        <f>VLOOKUP(Subnets[[#This Row],[VNETID]],VNETS[#All], 9, FALSE)</f>
        <v>Managed</v>
      </c>
      <c r="H23" t="str">
        <f>VLOOKUP(Subnets[[#This Row],[VNETID]],VNETS[#All],13, FALSE)</f>
        <v>va</v>
      </c>
      <c r="I23" t="s">
        <v>75</v>
      </c>
      <c r="K23" t="s">
        <v>80</v>
      </c>
      <c r="L23" t="str">
        <f t="shared" si="0"/>
        <v>10.130.34.0</v>
      </c>
      <c r="M23" s="9" t="s">
        <v>78</v>
      </c>
      <c r="N23" t="str">
        <f>VLOOKUP(Subnets[[#This Row],[VNETID]],VNETS[#All],7, FALSE)</f>
        <v>mag_dept_managed_preprod</v>
      </c>
      <c r="O23">
        <f>VLOOKUP(Subnets[[#This Row],[VNETID]], VNETS[#All], 14, FALSE)</f>
        <v>10</v>
      </c>
      <c r="P23">
        <f>VLOOKUP(Subnets[[#This Row],[VNETID]], VNETS[#All], 15, FALSE)</f>
        <v>130</v>
      </c>
      <c r="Q23">
        <v>34</v>
      </c>
      <c r="R23">
        <v>0</v>
      </c>
      <c r="U23" s="53" t="str">
        <f>VLOOKUP(Subnets[[#This Row],[VNETID]],VNETS[#All],11, FALSE)</f>
        <v>PREPROD</v>
      </c>
      <c r="V23" s="53" t="str">
        <f>VLOOKUP(Subnets[[#This Row],[VNETID]],VNETS[#All],2, FALSE)</f>
        <v>sub02</v>
      </c>
    </row>
    <row r="24" spans="1:22" hidden="1" x14ac:dyDescent="0.45">
      <c r="A24" t="s">
        <v>422</v>
      </c>
      <c r="B24">
        <v>350</v>
      </c>
      <c r="C24" t="s">
        <v>310</v>
      </c>
      <c r="D24" t="str">
        <f>I24&amp;"_"&amp;Subnets[[#This Row],[SubNetNumber]]&amp;"_"&amp;Subnets[[#This Row],[Dept. (Computed)]]&amp;"_"&amp;E24&amp;"_"&amp;Subnets[[#This Row],[Location (Computed)]]</f>
        <v>DMZ_350_dept_Test_va</v>
      </c>
      <c r="E24" t="s">
        <v>81</v>
      </c>
      <c r="F24" t="str">
        <f>VLOOKUP(Subnets[[#This Row],[VNETID]],VNETS[#All], 8, FALSE)</f>
        <v>dept</v>
      </c>
      <c r="G24" t="str">
        <f>VLOOKUP(Subnets[[#This Row],[VNETID]],VNETS[#All], 9, FALSE)</f>
        <v>Managed</v>
      </c>
      <c r="H24" t="str">
        <f>VLOOKUP(Subnets[[#This Row],[VNETID]],VNETS[#All],13, FALSE)</f>
        <v>va</v>
      </c>
      <c r="I24" t="s">
        <v>76</v>
      </c>
      <c r="K24" t="s">
        <v>91</v>
      </c>
      <c r="L24" t="str">
        <f t="shared" si="0"/>
        <v>10.130.35.0</v>
      </c>
      <c r="M24" s="9" t="s">
        <v>78</v>
      </c>
      <c r="N24" t="str">
        <f>VLOOKUP(Subnets[[#This Row],[VNETID]],VNETS[#All],7, FALSE)</f>
        <v>mag_dept_managed_preprod</v>
      </c>
      <c r="O24">
        <f>VLOOKUP(Subnets[[#This Row],[VNETID]], VNETS[#All], 14, FALSE)</f>
        <v>10</v>
      </c>
      <c r="P24">
        <f>VLOOKUP(Subnets[[#This Row],[VNETID]], VNETS[#All], 15, FALSE)</f>
        <v>130</v>
      </c>
      <c r="Q24">
        <v>35</v>
      </c>
      <c r="R24">
        <v>0</v>
      </c>
      <c r="U24" s="53" t="str">
        <f>VLOOKUP(Subnets[[#This Row],[VNETID]],VNETS[#All],11, FALSE)</f>
        <v>PREPROD</v>
      </c>
      <c r="V24" s="53" t="str">
        <f>VLOOKUP(Subnets[[#This Row],[VNETID]],VNETS[#All],2, FALSE)</f>
        <v>sub02</v>
      </c>
    </row>
    <row r="25" spans="1:22" hidden="1" x14ac:dyDescent="0.45">
      <c r="A25" t="s">
        <v>423</v>
      </c>
      <c r="B25">
        <v>360</v>
      </c>
      <c r="C25" t="s">
        <v>310</v>
      </c>
      <c r="D25" t="str">
        <f>I25&amp;"_"&amp;Subnets[[#This Row],[SubNetNumber]]&amp;"_"&amp;Subnets[[#This Row],[Dept. (Computed)]]&amp;"_"&amp;E25&amp;"_"&amp;Subnets[[#This Row],[Location (Computed)]]</f>
        <v>User_Tier0_360_dept_Test_va</v>
      </c>
      <c r="E25" t="s">
        <v>81</v>
      </c>
      <c r="F25" t="str">
        <f>VLOOKUP(Subnets[[#This Row],[VNETID]],VNETS[#All], 8, FALSE)</f>
        <v>dept</v>
      </c>
      <c r="G25" t="str">
        <f>VLOOKUP(Subnets[[#This Row],[VNETID]],VNETS[#All], 9, FALSE)</f>
        <v>Managed</v>
      </c>
      <c r="H25" t="str">
        <f>VLOOKUP(Subnets[[#This Row],[VNETID]],VNETS[#All],13, FALSE)</f>
        <v>va</v>
      </c>
      <c r="I25" t="s">
        <v>993</v>
      </c>
      <c r="K25" t="s">
        <v>996</v>
      </c>
      <c r="L25" t="str">
        <f t="shared" si="0"/>
        <v>10.130.36.0</v>
      </c>
      <c r="M25" s="9" t="s">
        <v>390</v>
      </c>
      <c r="N25" t="str">
        <f>VLOOKUP(Subnets[[#This Row],[VNETID]],VNETS[#All],7, FALSE)</f>
        <v>mag_dept_managed_preprod</v>
      </c>
      <c r="O25">
        <f>VLOOKUP(Subnets[[#This Row],[VNETID]], VNETS[#All], 14, FALSE)</f>
        <v>10</v>
      </c>
      <c r="P25">
        <f>VLOOKUP(Subnets[[#This Row],[VNETID]], VNETS[#All], 15, FALSE)</f>
        <v>130</v>
      </c>
      <c r="Q25">
        <v>36</v>
      </c>
      <c r="R25">
        <v>0</v>
      </c>
      <c r="U25" s="53" t="str">
        <f>VLOOKUP(Subnets[[#This Row],[VNETID]],VNETS[#All],11, FALSE)</f>
        <v>PREPROD</v>
      </c>
      <c r="V25" s="53" t="str">
        <f>VLOOKUP(Subnets[[#This Row],[VNETID]],VNETS[#All],2, FALSE)</f>
        <v>sub02</v>
      </c>
    </row>
    <row r="26" spans="1:22" hidden="1" x14ac:dyDescent="0.45">
      <c r="A26" t="s">
        <v>424</v>
      </c>
      <c r="B26">
        <v>361</v>
      </c>
      <c r="C26" t="s">
        <v>310</v>
      </c>
      <c r="D26" t="str">
        <f>I26&amp;"_"&amp;Subnets[[#This Row],[SubNetNumber]]&amp;"_"&amp;Subnets[[#This Row],[Dept. (Computed)]]&amp;"_"&amp;E26&amp;"_"&amp;Subnets[[#This Row],[Location (Computed)]]</f>
        <v>Users_Tier1_361_dept_Test_va</v>
      </c>
      <c r="E26" t="s">
        <v>81</v>
      </c>
      <c r="F26" t="str">
        <f>VLOOKUP(Subnets[[#This Row],[VNETID]],VNETS[#All], 8, FALSE)</f>
        <v>dept</v>
      </c>
      <c r="G26" t="str">
        <f>VLOOKUP(Subnets[[#This Row],[VNETID]],VNETS[#All], 9, FALSE)</f>
        <v>Managed</v>
      </c>
      <c r="H26" t="str">
        <f>VLOOKUP(Subnets[[#This Row],[VNETID]],VNETS[#All],13, FALSE)</f>
        <v>va</v>
      </c>
      <c r="I26" t="s">
        <v>991</v>
      </c>
      <c r="K26" t="s">
        <v>994</v>
      </c>
      <c r="L26" t="str">
        <f t="shared" si="0"/>
        <v>10.130.36.128</v>
      </c>
      <c r="M26" s="9" t="s">
        <v>390</v>
      </c>
      <c r="N26" t="str">
        <f>VLOOKUP(Subnets[[#This Row],[VNETID]],VNETS[#All],7, FALSE)</f>
        <v>mag_dept_managed_preprod</v>
      </c>
      <c r="O26">
        <f>VLOOKUP(Subnets[[#This Row],[VNETID]], VNETS[#All], 14, FALSE)</f>
        <v>10</v>
      </c>
      <c r="P26">
        <f>VLOOKUP(Subnets[[#This Row],[VNETID]], VNETS[#All], 15, FALSE)</f>
        <v>130</v>
      </c>
      <c r="Q26">
        <v>36</v>
      </c>
      <c r="R26">
        <v>128</v>
      </c>
      <c r="U26" s="53" t="str">
        <f>VLOOKUP(Subnets[[#This Row],[VNETID]],VNETS[#All],11, FALSE)</f>
        <v>PREPROD</v>
      </c>
      <c r="V26" s="53" t="str">
        <f>VLOOKUP(Subnets[[#This Row],[VNETID]],VNETS[#All],2, FALSE)</f>
        <v>sub02</v>
      </c>
    </row>
    <row r="27" spans="1:22" hidden="1" x14ac:dyDescent="0.45">
      <c r="A27" t="s">
        <v>425</v>
      </c>
      <c r="B27">
        <v>362</v>
      </c>
      <c r="C27" t="s">
        <v>310</v>
      </c>
      <c r="D27" t="str">
        <f>I27&amp;"_"&amp;Subnets[[#This Row],[SubNetNumber]]&amp;"_"&amp;Subnets[[#This Row],[Dept. (Computed)]]&amp;"_"&amp;E27&amp;"_"&amp;Subnets[[#This Row],[Location (Computed)]]</f>
        <v>Users_Tier2_362_dept_Test_va</v>
      </c>
      <c r="E27" t="s">
        <v>81</v>
      </c>
      <c r="F27" t="str">
        <f>VLOOKUP(Subnets[[#This Row],[VNETID]],VNETS[#All], 8, FALSE)</f>
        <v>dept</v>
      </c>
      <c r="G27" t="str">
        <f>VLOOKUP(Subnets[[#This Row],[VNETID]],VNETS[#All], 9, FALSE)</f>
        <v>Managed</v>
      </c>
      <c r="H27" t="str">
        <f>VLOOKUP(Subnets[[#This Row],[VNETID]],VNETS[#All],13, FALSE)</f>
        <v>va</v>
      </c>
      <c r="I27" t="s">
        <v>992</v>
      </c>
      <c r="K27" t="s">
        <v>995</v>
      </c>
      <c r="L27" t="str">
        <f t="shared" si="0"/>
        <v>10.130.37.0</v>
      </c>
      <c r="M27" s="9" t="s">
        <v>390</v>
      </c>
      <c r="N27" t="str">
        <f>VLOOKUP(Subnets[[#This Row],[VNETID]],VNETS[#All],7, FALSE)</f>
        <v>mag_dept_managed_preprod</v>
      </c>
      <c r="O27">
        <f>VLOOKUP(Subnets[[#This Row],[VNETID]], VNETS[#All], 14, FALSE)</f>
        <v>10</v>
      </c>
      <c r="P27">
        <f>VLOOKUP(Subnets[[#This Row],[VNETID]], VNETS[#All], 15, FALSE)</f>
        <v>130</v>
      </c>
      <c r="Q27">
        <v>37</v>
      </c>
      <c r="R27">
        <v>0</v>
      </c>
      <c r="U27" s="53" t="str">
        <f>VLOOKUP(Subnets[[#This Row],[VNETID]],VNETS[#All],11, FALSE)</f>
        <v>PREPROD</v>
      </c>
      <c r="V27" s="53" t="str">
        <f>VLOOKUP(Subnets[[#This Row],[VNETID]],VNETS[#All],2, FALSE)</f>
        <v>sub02</v>
      </c>
    </row>
    <row r="28" spans="1:22" hidden="1" x14ac:dyDescent="0.45">
      <c r="A28" t="s">
        <v>426</v>
      </c>
      <c r="B28">
        <v>363</v>
      </c>
      <c r="C28" t="s">
        <v>310</v>
      </c>
      <c r="D28" t="str">
        <f>I28&amp;"_"&amp;Subnets[[#This Row],[SubNetNumber]]&amp;"_"&amp;Subnets[[#This Row],[Dept. (Computed)]]&amp;"_"&amp;E28&amp;"_"&amp;Subnets[[#This Row],[Location (Computed)]]</f>
        <v>User_Tier0_363_dept_Dev_va</v>
      </c>
      <c r="E28" t="s">
        <v>82</v>
      </c>
      <c r="F28" t="str">
        <f>VLOOKUP(Subnets[[#This Row],[VNETID]],VNETS[#All], 8, FALSE)</f>
        <v>dept</v>
      </c>
      <c r="G28" t="str">
        <f>VLOOKUP(Subnets[[#This Row],[VNETID]],VNETS[#All], 9, FALSE)</f>
        <v>Managed</v>
      </c>
      <c r="H28" t="str">
        <f>VLOOKUP(Subnets[[#This Row],[VNETID]],VNETS[#All],13, FALSE)</f>
        <v>va</v>
      </c>
      <c r="I28" t="s">
        <v>993</v>
      </c>
      <c r="K28" t="s">
        <v>996</v>
      </c>
      <c r="L28" t="str">
        <f t="shared" si="0"/>
        <v>10.130.37.128</v>
      </c>
      <c r="M28" s="9" t="s">
        <v>390</v>
      </c>
      <c r="N28" t="str">
        <f>VLOOKUP(Subnets[[#This Row],[VNETID]],VNETS[#All],7, FALSE)</f>
        <v>mag_dept_managed_preprod</v>
      </c>
      <c r="O28">
        <f>VLOOKUP(Subnets[[#This Row],[VNETID]], VNETS[#All], 14, FALSE)</f>
        <v>10</v>
      </c>
      <c r="P28">
        <f>VLOOKUP(Subnets[[#This Row],[VNETID]], VNETS[#All], 15, FALSE)</f>
        <v>130</v>
      </c>
      <c r="Q28">
        <v>37</v>
      </c>
      <c r="R28">
        <v>128</v>
      </c>
      <c r="U28" s="53" t="str">
        <f>VLOOKUP(Subnets[[#This Row],[VNETID]],VNETS[#All],11, FALSE)</f>
        <v>PREPROD</v>
      </c>
      <c r="V28" s="53" t="str">
        <f>VLOOKUP(Subnets[[#This Row],[VNETID]],VNETS[#All],2, FALSE)</f>
        <v>sub02</v>
      </c>
    </row>
    <row r="29" spans="1:22" hidden="1" x14ac:dyDescent="0.45">
      <c r="A29" t="s">
        <v>427</v>
      </c>
      <c r="B29">
        <v>364</v>
      </c>
      <c r="C29" t="s">
        <v>310</v>
      </c>
      <c r="D29" t="str">
        <f>I29&amp;"_"&amp;Subnets[[#This Row],[SubNetNumber]]&amp;"_"&amp;Subnets[[#This Row],[Dept. (Computed)]]&amp;"_"&amp;E29&amp;"_"&amp;Subnets[[#This Row],[Location (Computed)]]</f>
        <v>User_Tier1_364_dept_Dev_va</v>
      </c>
      <c r="E29" t="s">
        <v>82</v>
      </c>
      <c r="F29" t="str">
        <f>VLOOKUP(Subnets[[#This Row],[VNETID]],VNETS[#All], 8, FALSE)</f>
        <v>dept</v>
      </c>
      <c r="G29" t="str">
        <f>VLOOKUP(Subnets[[#This Row],[VNETID]],VNETS[#All], 9, FALSE)</f>
        <v>Managed</v>
      </c>
      <c r="H29" t="str">
        <f>VLOOKUP(Subnets[[#This Row],[VNETID]],VNETS[#All],13, FALSE)</f>
        <v>va</v>
      </c>
      <c r="I29" t="s">
        <v>999</v>
      </c>
      <c r="K29" t="s">
        <v>994</v>
      </c>
      <c r="L29" t="str">
        <f t="shared" si="0"/>
        <v>10.130.38.0</v>
      </c>
      <c r="M29" s="9" t="s">
        <v>390</v>
      </c>
      <c r="N29" t="str">
        <f>VLOOKUP(Subnets[[#This Row],[VNETID]],VNETS[#All],7, FALSE)</f>
        <v>mag_dept_managed_preprod</v>
      </c>
      <c r="O29">
        <f>VLOOKUP(Subnets[[#This Row],[VNETID]], VNETS[#All], 14, FALSE)</f>
        <v>10</v>
      </c>
      <c r="P29">
        <f>VLOOKUP(Subnets[[#This Row],[VNETID]], VNETS[#All], 15, FALSE)</f>
        <v>130</v>
      </c>
      <c r="Q29">
        <v>38</v>
      </c>
      <c r="R29">
        <v>0</v>
      </c>
      <c r="U29" s="53" t="str">
        <f>VLOOKUP(Subnets[[#This Row],[VNETID]],VNETS[#All],11, FALSE)</f>
        <v>PREPROD</v>
      </c>
      <c r="V29" s="53" t="str">
        <f>VLOOKUP(Subnets[[#This Row],[VNETID]],VNETS[#All],2, FALSE)</f>
        <v>sub02</v>
      </c>
    </row>
    <row r="30" spans="1:22" hidden="1" x14ac:dyDescent="0.45">
      <c r="A30" s="53"/>
      <c r="B30">
        <v>364</v>
      </c>
      <c r="C30" t="s">
        <v>310</v>
      </c>
      <c r="D30" s="53" t="str">
        <f>I30&amp;"_"&amp;Subnets[[#This Row],[SubNetNumber]]&amp;"_"&amp;Subnets[[#This Row],[Dept. (Computed)]]&amp;"_"&amp;E30&amp;"_"&amp;Subnets[[#This Row],[Location (Computed)]]</f>
        <v>User_Tier2_364_dept_Dev_va</v>
      </c>
      <c r="E30" s="53" t="s">
        <v>82</v>
      </c>
      <c r="F30" s="53" t="str">
        <f>VLOOKUP(Subnets[[#This Row],[VNETID]],VNETS[#All], 8, FALSE)</f>
        <v>dept</v>
      </c>
      <c r="G30" s="29" t="str">
        <f>VLOOKUP(Subnets[[#This Row],[VNETID]],VNETS[#All], 9, FALSE)</f>
        <v>Managed</v>
      </c>
      <c r="H30" t="str">
        <f>VLOOKUP(Subnets[[#This Row],[VNETID]],VNETS[#All],13, FALSE)</f>
        <v>va</v>
      </c>
      <c r="I30" t="s">
        <v>1002</v>
      </c>
      <c r="J30" s="53"/>
      <c r="K30" t="s">
        <v>995</v>
      </c>
      <c r="L30" t="str">
        <f t="shared" si="0"/>
        <v>10.130.38.128</v>
      </c>
      <c r="M30" s="9" t="s">
        <v>390</v>
      </c>
      <c r="N30" t="str">
        <f>VLOOKUP(Subnets[[#This Row],[VNETID]],VNETS[#All],7, FALSE)</f>
        <v>mag_dept_managed_preprod</v>
      </c>
      <c r="O30">
        <f>VLOOKUP(Subnets[[#This Row],[VNETID]], VNETS[#All], 14, FALSE)</f>
        <v>10</v>
      </c>
      <c r="P30">
        <f>VLOOKUP(Subnets[[#This Row],[VNETID]], VNETS[#All], 15, FALSE)</f>
        <v>130</v>
      </c>
      <c r="Q30" s="53">
        <v>38</v>
      </c>
      <c r="R30" s="53">
        <v>128</v>
      </c>
      <c r="S30" s="53"/>
      <c r="T30" s="53"/>
      <c r="U30" s="53" t="str">
        <f>VLOOKUP(Subnets[[#This Row],[VNETID]],VNETS[#All],11, FALSE)</f>
        <v>PREPROD</v>
      </c>
      <c r="V30" s="53" t="str">
        <f>VLOOKUP(Subnets[[#This Row],[VNETID]],VNETS[#All],2, FALSE)</f>
        <v>sub02</v>
      </c>
    </row>
    <row r="31" spans="1:22" hidden="1" x14ac:dyDescent="0.45">
      <c r="A31" t="s">
        <v>428</v>
      </c>
      <c r="B31">
        <v>410</v>
      </c>
      <c r="C31" t="s">
        <v>310</v>
      </c>
      <c r="D31" t="str">
        <f>I31&amp;"_"&amp;Subnets[[#This Row],[SubNetNumber]]&amp;"_"&amp;Subnets[[#This Row],[Dept. (Computed)]]&amp;"_"&amp;E31&amp;"_"&amp;Subnets[[#This Row],[Location (Computed)]]</f>
        <v>Web_410_dept_Dev_va</v>
      </c>
      <c r="E31" t="s">
        <v>82</v>
      </c>
      <c r="F31" t="str">
        <f>VLOOKUP(Subnets[[#This Row],[VNETID]],VNETS[#All], 8, FALSE)</f>
        <v>dept</v>
      </c>
      <c r="G31" t="str">
        <f>VLOOKUP(Subnets[[#This Row],[VNETID]],VNETS[#All], 9, FALSE)</f>
        <v>Managed</v>
      </c>
      <c r="H31" t="str">
        <f>VLOOKUP(Subnets[[#This Row],[VNETID]],VNETS[#All],13, FALSE)</f>
        <v>va</v>
      </c>
      <c r="I31" t="s">
        <v>73</v>
      </c>
      <c r="K31" t="s">
        <v>77</v>
      </c>
      <c r="L31" t="str">
        <f t="shared" si="0"/>
        <v>10.130.40.0</v>
      </c>
      <c r="M31" s="9" t="s">
        <v>78</v>
      </c>
      <c r="N31" t="str">
        <f>VLOOKUP(Subnets[[#This Row],[VNETID]],VNETS[#All],7, FALSE)</f>
        <v>mag_dept_managed_preprod</v>
      </c>
      <c r="O31">
        <f>VLOOKUP(Subnets[[#This Row],[VNETID]], VNETS[#All], 14, FALSE)</f>
        <v>10</v>
      </c>
      <c r="P31">
        <f>VLOOKUP(Subnets[[#This Row],[VNETID]], VNETS[#All], 15, FALSE)</f>
        <v>130</v>
      </c>
      <c r="Q31">
        <v>40</v>
      </c>
      <c r="R31">
        <v>0</v>
      </c>
      <c r="U31" s="53" t="str">
        <f>VLOOKUP(Subnets[[#This Row],[VNETID]],VNETS[#All],11, FALSE)</f>
        <v>PREPROD</v>
      </c>
      <c r="V31" s="53" t="str">
        <f>VLOOKUP(Subnets[[#This Row],[VNETID]],VNETS[#All],2, FALSE)</f>
        <v>sub02</v>
      </c>
    </row>
    <row r="32" spans="1:22" hidden="1" x14ac:dyDescent="0.45">
      <c r="A32" t="s">
        <v>429</v>
      </c>
      <c r="B32">
        <v>420</v>
      </c>
      <c r="C32" t="s">
        <v>310</v>
      </c>
      <c r="D32" t="str">
        <f>I32&amp;"_"&amp;Subnets[[#This Row],[SubNetNumber]]&amp;"_"&amp;Subnets[[#This Row],[Dept. (Computed)]]&amp;"_"&amp;E32&amp;"_"&amp;Subnets[[#This Row],[Location (Computed)]]</f>
        <v>App_420_dept_Dev_va</v>
      </c>
      <c r="E32" t="s">
        <v>82</v>
      </c>
      <c r="F32" t="str">
        <f>VLOOKUP(Subnets[[#This Row],[VNETID]],VNETS[#All], 8, FALSE)</f>
        <v>dept</v>
      </c>
      <c r="G32" t="str">
        <f>VLOOKUP(Subnets[[#This Row],[VNETID]],VNETS[#All], 9, FALSE)</f>
        <v>Managed</v>
      </c>
      <c r="H32" t="str">
        <f>VLOOKUP(Subnets[[#This Row],[VNETID]],VNETS[#All],13, FALSE)</f>
        <v>va</v>
      </c>
      <c r="I32" t="s">
        <v>74</v>
      </c>
      <c r="K32" t="s">
        <v>79</v>
      </c>
      <c r="L32" t="str">
        <f t="shared" si="0"/>
        <v>10.130.41.0</v>
      </c>
      <c r="M32" s="9" t="s">
        <v>78</v>
      </c>
      <c r="N32" t="str">
        <f>VLOOKUP(Subnets[[#This Row],[VNETID]],VNETS[#All],7, FALSE)</f>
        <v>mag_dept_managed_preprod</v>
      </c>
      <c r="O32">
        <f>VLOOKUP(Subnets[[#This Row],[VNETID]], VNETS[#All], 14, FALSE)</f>
        <v>10</v>
      </c>
      <c r="P32">
        <f>VLOOKUP(Subnets[[#This Row],[VNETID]], VNETS[#All], 15, FALSE)</f>
        <v>130</v>
      </c>
      <c r="Q32">
        <v>41</v>
      </c>
      <c r="R32">
        <v>0</v>
      </c>
      <c r="U32" s="53" t="str">
        <f>VLOOKUP(Subnets[[#This Row],[VNETID]],VNETS[#All],11, FALSE)</f>
        <v>PREPROD</v>
      </c>
      <c r="V32" s="53" t="str">
        <f>VLOOKUP(Subnets[[#This Row],[VNETID]],VNETS[#All],2, FALSE)</f>
        <v>sub02</v>
      </c>
    </row>
    <row r="33" spans="1:22" hidden="1" x14ac:dyDescent="0.45">
      <c r="A33" t="s">
        <v>649</v>
      </c>
      <c r="B33">
        <v>430</v>
      </c>
      <c r="C33" t="s">
        <v>310</v>
      </c>
      <c r="D33" t="str">
        <f>I33&amp;"_"&amp;Subnets[[#This Row],[SubNetNumber]]&amp;"_"&amp;Subnets[[#This Row],[Dept. (Computed)]]&amp;"_"&amp;E33&amp;"_"&amp;Subnets[[#This Row],[Location (Computed)]]</f>
        <v>Database_430_dept_Dev_va</v>
      </c>
      <c r="E33" t="s">
        <v>82</v>
      </c>
      <c r="F33" t="str">
        <f>VLOOKUP(Subnets[[#This Row],[VNETID]],VNETS[#All], 8, FALSE)</f>
        <v>dept</v>
      </c>
      <c r="G33" t="str">
        <f>VLOOKUP(Subnets[[#This Row],[VNETID]],VNETS[#All], 9, FALSE)</f>
        <v>Managed</v>
      </c>
      <c r="H33" t="str">
        <f>VLOOKUP(Subnets[[#This Row],[VNETID]],VNETS[#All],13, FALSE)</f>
        <v>va</v>
      </c>
      <c r="I33" t="s">
        <v>75</v>
      </c>
      <c r="K33" t="s">
        <v>80</v>
      </c>
      <c r="L33" t="str">
        <f t="shared" si="0"/>
        <v>10.130.42.0</v>
      </c>
      <c r="M33" s="9" t="s">
        <v>78</v>
      </c>
      <c r="N33" t="str">
        <f>VLOOKUP(Subnets[[#This Row],[VNETID]],VNETS[#All],7, FALSE)</f>
        <v>mag_dept_managed_preprod</v>
      </c>
      <c r="O33">
        <f>VLOOKUP(Subnets[[#This Row],[VNETID]], VNETS[#All], 14, FALSE)</f>
        <v>10</v>
      </c>
      <c r="P33">
        <f>VLOOKUP(Subnets[[#This Row],[VNETID]], VNETS[#All], 15, FALSE)</f>
        <v>130</v>
      </c>
      <c r="Q33">
        <v>42</v>
      </c>
      <c r="R33">
        <v>0</v>
      </c>
      <c r="U33" s="53" t="str">
        <f>VLOOKUP(Subnets[[#This Row],[VNETID]],VNETS[#All],11, FALSE)</f>
        <v>PREPROD</v>
      </c>
      <c r="V33" s="53" t="str">
        <f>VLOOKUP(Subnets[[#This Row],[VNETID]],VNETS[#All],2, FALSE)</f>
        <v>sub02</v>
      </c>
    </row>
    <row r="34" spans="1:22" hidden="1" x14ac:dyDescent="0.45">
      <c r="A34" t="s">
        <v>430</v>
      </c>
      <c r="B34">
        <v>450</v>
      </c>
      <c r="C34" t="s">
        <v>310</v>
      </c>
      <c r="D34" t="str">
        <f>I34&amp;"_"&amp;Subnets[[#This Row],[SubNetNumber]]&amp;"_"&amp;Subnets[[#This Row],[Dept. (Computed)]]&amp;"_"&amp;E34&amp;"_"&amp;Subnets[[#This Row],[Location (Computed)]]</f>
        <v>DMZ_450_dept_Dev_va</v>
      </c>
      <c r="E34" t="s">
        <v>82</v>
      </c>
      <c r="F34" t="str">
        <f>VLOOKUP(Subnets[[#This Row],[VNETID]],VNETS[#All], 8, FALSE)</f>
        <v>dept</v>
      </c>
      <c r="G34" t="str">
        <f>VLOOKUP(Subnets[[#This Row],[VNETID]],VNETS[#All], 9, FALSE)</f>
        <v>Managed</v>
      </c>
      <c r="H34" t="str">
        <f>VLOOKUP(Subnets[[#This Row],[VNETID]],VNETS[#All],13, FALSE)</f>
        <v>va</v>
      </c>
      <c r="I34" t="s">
        <v>76</v>
      </c>
      <c r="K34" t="s">
        <v>91</v>
      </c>
      <c r="L34" t="str">
        <f t="shared" si="0"/>
        <v>10.130.43.0</v>
      </c>
      <c r="M34" s="9" t="s">
        <v>78</v>
      </c>
      <c r="N34" t="str">
        <f>VLOOKUP(Subnets[[#This Row],[VNETID]],VNETS[#All],7, FALSE)</f>
        <v>mag_dept_managed_preprod</v>
      </c>
      <c r="O34">
        <f>VLOOKUP(Subnets[[#This Row],[VNETID]], VNETS[#All], 14, FALSE)</f>
        <v>10</v>
      </c>
      <c r="P34">
        <f>VLOOKUP(Subnets[[#This Row],[VNETID]], VNETS[#All], 15, FALSE)</f>
        <v>130</v>
      </c>
      <c r="Q34">
        <v>43</v>
      </c>
      <c r="R34">
        <v>0</v>
      </c>
      <c r="U34" s="53" t="str">
        <f>VLOOKUP(Subnets[[#This Row],[VNETID]],VNETS[#All],11, FALSE)</f>
        <v>PREPROD</v>
      </c>
      <c r="V34" s="53" t="str">
        <f>VLOOKUP(Subnets[[#This Row],[VNETID]],VNETS[#All],2, FALSE)</f>
        <v>sub02</v>
      </c>
    </row>
    <row r="35" spans="1:22" hidden="1" x14ac:dyDescent="0.45">
      <c r="A35" t="s">
        <v>431</v>
      </c>
      <c r="B35">
        <v>470</v>
      </c>
      <c r="C35" t="s">
        <v>310</v>
      </c>
      <c r="D35" t="str">
        <f>I35&amp;"_"&amp;Subnets[[#This Row],[SubNetNumber]]&amp;"_"&amp;Subnets[[#This Row],[Dept. (Computed)]]&amp;"_"&amp;E35&amp;"_"&amp;Subnets[[#This Row],[Location (Computed)]]</f>
        <v>Future_470_dept_PreProd_va</v>
      </c>
      <c r="E35" t="s">
        <v>382</v>
      </c>
      <c r="F35" t="str">
        <f>VLOOKUP(Subnets[[#This Row],[VNETID]],VNETS[#All], 8, FALSE)</f>
        <v>dept</v>
      </c>
      <c r="G35" t="str">
        <f>VLOOKUP(Subnets[[#This Row],[VNETID]],VNETS[#All], 9, FALSE)</f>
        <v>Managed</v>
      </c>
      <c r="H35" t="str">
        <f>VLOOKUP(Subnets[[#This Row],[VNETID]],VNETS[#All],13, FALSE)</f>
        <v>va</v>
      </c>
      <c r="I35" t="s">
        <v>300</v>
      </c>
      <c r="K35" t="s">
        <v>301</v>
      </c>
      <c r="L35" t="str">
        <f t="shared" ref="L35:L67" si="1">O35&amp;"."&amp;P35&amp;"."&amp;Q35&amp;"."&amp;R35</f>
        <v>10.130.44.0</v>
      </c>
      <c r="M35" s="9" t="s">
        <v>489</v>
      </c>
      <c r="N35" t="str">
        <f>VLOOKUP(Subnets[[#This Row],[VNETID]],VNETS[#All],7, FALSE)</f>
        <v>mag_dept_managed_preprod</v>
      </c>
      <c r="O35">
        <f>VLOOKUP(Subnets[[#This Row],[VNETID]], VNETS[#All], 14, FALSE)</f>
        <v>10</v>
      </c>
      <c r="P35">
        <f>VLOOKUP(Subnets[[#This Row],[VNETID]], VNETS[#All], 15, FALSE)</f>
        <v>130</v>
      </c>
      <c r="Q35">
        <v>44</v>
      </c>
      <c r="R35">
        <v>0</v>
      </c>
      <c r="U35" s="53" t="str">
        <f>VLOOKUP(Subnets[[#This Row],[VNETID]],VNETS[#All],11, FALSE)</f>
        <v>PREPROD</v>
      </c>
      <c r="V35" s="53" t="str">
        <f>VLOOKUP(Subnets[[#This Row],[VNETID]],VNETS[#All],2, FALSE)</f>
        <v>sub02</v>
      </c>
    </row>
    <row r="36" spans="1:22" hidden="1" x14ac:dyDescent="0.45">
      <c r="A36" t="s">
        <v>432</v>
      </c>
      <c r="B36">
        <v>470</v>
      </c>
      <c r="C36" t="s">
        <v>310</v>
      </c>
      <c r="D36" t="str">
        <f>I36&amp;"_"&amp;Subnets[[#This Row],[SubNetNumber]]&amp;"_"&amp;Subnets[[#This Row],[Dept. (Computed)]]&amp;"_"&amp;E36&amp;"_"&amp;Subnets[[#This Row],[Location (Computed)]]</f>
        <v>Future_470_dept_PreProd_va</v>
      </c>
      <c r="E36" t="s">
        <v>382</v>
      </c>
      <c r="F36" t="str">
        <f>VLOOKUP(Subnets[[#This Row],[VNETID]],VNETS[#All], 8, FALSE)</f>
        <v>dept</v>
      </c>
      <c r="G36" t="str">
        <f>VLOOKUP(Subnets[[#This Row],[VNETID]],VNETS[#All], 9, FALSE)</f>
        <v>Managed</v>
      </c>
      <c r="H36" t="str">
        <f>VLOOKUP(Subnets[[#This Row],[VNETID]],VNETS[#All],13, FALSE)</f>
        <v>va</v>
      </c>
      <c r="I36" t="s">
        <v>300</v>
      </c>
      <c r="K36" t="s">
        <v>301</v>
      </c>
      <c r="L36" t="str">
        <f t="shared" si="1"/>
        <v>10.130.46.0</v>
      </c>
      <c r="M36" s="9" t="s">
        <v>78</v>
      </c>
      <c r="N36" t="str">
        <f>VLOOKUP(Subnets[[#This Row],[VNETID]],VNETS[#All],7, FALSE)</f>
        <v>mag_dept_managed_preprod</v>
      </c>
      <c r="O36">
        <f>VLOOKUP(Subnets[[#This Row],[VNETID]], VNETS[#All], 14, FALSE)</f>
        <v>10</v>
      </c>
      <c r="P36">
        <f>VLOOKUP(Subnets[[#This Row],[VNETID]], VNETS[#All], 15, FALSE)</f>
        <v>130</v>
      </c>
      <c r="Q36">
        <v>46</v>
      </c>
      <c r="R36">
        <v>0</v>
      </c>
      <c r="U36" s="53" t="str">
        <f>VLOOKUP(Subnets[[#This Row],[VNETID]],VNETS[#All],11, FALSE)</f>
        <v>PREPROD</v>
      </c>
      <c r="V36" s="53" t="str">
        <f>VLOOKUP(Subnets[[#This Row],[VNETID]],VNETS[#All],2, FALSE)</f>
        <v>sub02</v>
      </c>
    </row>
    <row r="37" spans="1:22" hidden="1" x14ac:dyDescent="0.45">
      <c r="A37" t="s">
        <v>433</v>
      </c>
      <c r="B37">
        <v>499</v>
      </c>
      <c r="C37" t="s">
        <v>310</v>
      </c>
      <c r="D37" t="str">
        <f>I37&amp;"_"&amp;Subnets[[#This Row],[SubNetNumber]]&amp;"_"&amp;Subnets[[#This Row],[Dept. (Computed)]]&amp;"_"&amp;E37&amp;"_"&amp;Subnets[[#This Row],[Location (Computed)]]</f>
        <v>Gateway_499_dept_PreProd_va</v>
      </c>
      <c r="E37" t="s">
        <v>382</v>
      </c>
      <c r="F37" t="str">
        <f>VLOOKUP(Subnets[[#This Row],[VNETID]],VNETS[#All], 8, FALSE)</f>
        <v>dept</v>
      </c>
      <c r="G37" t="str">
        <f>VLOOKUP(Subnets[[#This Row],[VNETID]],VNETS[#All], 9, FALSE)</f>
        <v>Managed</v>
      </c>
      <c r="H37" t="str">
        <f>VLOOKUP(Subnets[[#This Row],[VNETID]],VNETS[#All],13, FALSE)</f>
        <v>va</v>
      </c>
      <c r="I37" t="s">
        <v>501</v>
      </c>
      <c r="K37" t="s">
        <v>554</v>
      </c>
      <c r="L37" t="str">
        <f t="shared" si="1"/>
        <v>10.130.47.248</v>
      </c>
      <c r="M37" s="9" t="s">
        <v>399</v>
      </c>
      <c r="N37" t="str">
        <f>VLOOKUP(Subnets[[#This Row],[VNETID]],VNETS[#All],7, FALSE)</f>
        <v>mag_dept_managed_preprod</v>
      </c>
      <c r="O37">
        <f>VLOOKUP(Subnets[[#This Row],[VNETID]], VNETS[#All], 14, FALSE)</f>
        <v>10</v>
      </c>
      <c r="P37">
        <f>VLOOKUP(Subnets[[#This Row],[VNETID]], VNETS[#All], 15, FALSE)</f>
        <v>130</v>
      </c>
      <c r="Q37">
        <v>47</v>
      </c>
      <c r="R37">
        <v>248</v>
      </c>
      <c r="S37" t="str">
        <f>O37&amp;"."&amp;P37&amp;"."&amp;Q37&amp;"."&amp;R37</f>
        <v>10.130.47.248</v>
      </c>
      <c r="T37" s="9" t="s">
        <v>399</v>
      </c>
      <c r="U37" s="53" t="str">
        <f>VLOOKUP(Subnets[[#This Row],[VNETID]],VNETS[#All],11, FALSE)</f>
        <v>PREPROD</v>
      </c>
      <c r="V37" s="53" t="str">
        <f>VLOOKUP(Subnets[[#This Row],[VNETID]],VNETS[#All],2, FALSE)</f>
        <v>sub02</v>
      </c>
    </row>
    <row r="38" spans="1:22" hidden="1" x14ac:dyDescent="0.45">
      <c r="A38" t="s">
        <v>434</v>
      </c>
      <c r="B38">
        <v>310</v>
      </c>
      <c r="C38" t="s">
        <v>315</v>
      </c>
      <c r="D38" t="str">
        <f>I38&amp;"_"&amp;Subnets[[#This Row],[SubNetNumber]]&amp;"_"&amp;Subnets[[#This Row],[Dept. (Computed)]]&amp;"_"&amp;E38&amp;"_"&amp;Subnets[[#This Row],[Location (Computed)]]</f>
        <v>Web_310_dept_Test_ia</v>
      </c>
      <c r="E38" t="s">
        <v>81</v>
      </c>
      <c r="F38" t="str">
        <f>VLOOKUP(Subnets[[#This Row],[VNETID]],VNETS[#All], 8, FALSE)</f>
        <v>dept</v>
      </c>
      <c r="G38" t="str">
        <f>VLOOKUP(Subnets[[#This Row],[VNETID]],VNETS[#All], 9, FALSE)</f>
        <v>Managed</v>
      </c>
      <c r="H38" t="str">
        <f>VLOOKUP(Subnets[[#This Row],[VNETID]],VNETS[#All],13, FALSE)</f>
        <v>ia</v>
      </c>
      <c r="I38" t="s">
        <v>73</v>
      </c>
      <c r="K38" t="s">
        <v>77</v>
      </c>
      <c r="L38" t="str">
        <f t="shared" si="1"/>
        <v>10.130.96.0</v>
      </c>
      <c r="M38" s="9" t="s">
        <v>78</v>
      </c>
      <c r="N38" t="str">
        <f>VLOOKUP(Subnets[[#This Row],[VNETID]],VNETS[#All],7, FALSE)</f>
        <v>mag_dept_managed_preprod</v>
      </c>
      <c r="O38">
        <f>VLOOKUP(Subnets[[#This Row],[VNETID]], VNETS[#All], 14, FALSE)</f>
        <v>10</v>
      </c>
      <c r="P38">
        <f>VLOOKUP(Subnets[[#This Row],[VNETID]], VNETS[#All], 15, FALSE)</f>
        <v>130</v>
      </c>
      <c r="Q38">
        <v>96</v>
      </c>
      <c r="R38">
        <v>0</v>
      </c>
      <c r="S38" t="str">
        <f>O38&amp;"."&amp;P38&amp;"."&amp;Q38&amp;"."&amp;R38</f>
        <v>10.130.96.0</v>
      </c>
      <c r="T38" s="9" t="s">
        <v>383</v>
      </c>
      <c r="U38" s="53" t="str">
        <f>VLOOKUP(Subnets[[#This Row],[VNETID]],VNETS[#All],11, FALSE)</f>
        <v>PREPROD</v>
      </c>
      <c r="V38" s="53" t="str">
        <f>VLOOKUP(Subnets[[#This Row],[VNETID]],VNETS[#All],2, FALSE)</f>
        <v>sub02</v>
      </c>
    </row>
    <row r="39" spans="1:22" hidden="1" x14ac:dyDescent="0.45">
      <c r="A39" t="s">
        <v>435</v>
      </c>
      <c r="B39">
        <v>320</v>
      </c>
      <c r="C39" t="s">
        <v>315</v>
      </c>
      <c r="D39" t="str">
        <f>I39&amp;"_"&amp;Subnets[[#This Row],[SubNetNumber]]&amp;"_"&amp;Subnets[[#This Row],[Dept. (Computed)]]&amp;"_"&amp;E39&amp;"_"&amp;Subnets[[#This Row],[Location (Computed)]]</f>
        <v>App_320_dept_Test_ia</v>
      </c>
      <c r="E39" t="s">
        <v>81</v>
      </c>
      <c r="F39" t="str">
        <f>VLOOKUP(Subnets[[#This Row],[VNETID]],VNETS[#All], 8, FALSE)</f>
        <v>dept</v>
      </c>
      <c r="G39" t="str">
        <f>VLOOKUP(Subnets[[#This Row],[VNETID]],VNETS[#All], 9, FALSE)</f>
        <v>Managed</v>
      </c>
      <c r="H39" t="str">
        <f>VLOOKUP(Subnets[[#This Row],[VNETID]],VNETS[#All],13, FALSE)</f>
        <v>ia</v>
      </c>
      <c r="I39" t="s">
        <v>74</v>
      </c>
      <c r="K39" t="s">
        <v>79</v>
      </c>
      <c r="L39" t="str">
        <f t="shared" si="1"/>
        <v>10.130.97.0</v>
      </c>
      <c r="M39" s="9" t="s">
        <v>78</v>
      </c>
      <c r="N39" t="str">
        <f>VLOOKUP(Subnets[[#This Row],[VNETID]],VNETS[#All],7, FALSE)</f>
        <v>mag_dept_managed_preprod</v>
      </c>
      <c r="O39">
        <f>VLOOKUP(Subnets[[#This Row],[VNETID]], VNETS[#All], 14, FALSE)</f>
        <v>10</v>
      </c>
      <c r="P39">
        <f>VLOOKUP(Subnets[[#This Row],[VNETID]], VNETS[#All], 15, FALSE)</f>
        <v>130</v>
      </c>
      <c r="Q39">
        <v>97</v>
      </c>
      <c r="R39">
        <v>0</v>
      </c>
      <c r="U39" s="53" t="str">
        <f>VLOOKUP(Subnets[[#This Row],[VNETID]],VNETS[#All],11, FALSE)</f>
        <v>PREPROD</v>
      </c>
      <c r="V39" s="53" t="str">
        <f>VLOOKUP(Subnets[[#This Row],[VNETID]],VNETS[#All],2, FALSE)</f>
        <v>sub02</v>
      </c>
    </row>
    <row r="40" spans="1:22" hidden="1" x14ac:dyDescent="0.45">
      <c r="A40" t="s">
        <v>436</v>
      </c>
      <c r="B40">
        <v>330</v>
      </c>
      <c r="C40" t="s">
        <v>315</v>
      </c>
      <c r="D40" t="str">
        <f>I40&amp;"_"&amp;Subnets[[#This Row],[SubNetNumber]]&amp;"_"&amp;Subnets[[#This Row],[Dept. (Computed)]]&amp;"_"&amp;E40&amp;"_"&amp;Subnets[[#This Row],[Location (Computed)]]</f>
        <v>Database_330_dept_Test_ia</v>
      </c>
      <c r="E40" t="s">
        <v>81</v>
      </c>
      <c r="F40" t="str">
        <f>VLOOKUP(Subnets[[#This Row],[VNETID]],VNETS[#All], 8, FALSE)</f>
        <v>dept</v>
      </c>
      <c r="G40" t="str">
        <f>VLOOKUP(Subnets[[#This Row],[VNETID]],VNETS[#All], 9, FALSE)</f>
        <v>Managed</v>
      </c>
      <c r="H40" t="str">
        <f>VLOOKUP(Subnets[[#This Row],[VNETID]],VNETS[#All],13, FALSE)</f>
        <v>ia</v>
      </c>
      <c r="I40" t="s">
        <v>75</v>
      </c>
      <c r="K40" t="s">
        <v>80</v>
      </c>
      <c r="L40" t="str">
        <f t="shared" si="1"/>
        <v>10.130.98.0</v>
      </c>
      <c r="M40" s="9" t="s">
        <v>78</v>
      </c>
      <c r="N40" t="str">
        <f>VLOOKUP(Subnets[[#This Row],[VNETID]],VNETS[#All],7, FALSE)</f>
        <v>mag_dept_managed_preprod</v>
      </c>
      <c r="O40">
        <f>VLOOKUP(Subnets[[#This Row],[VNETID]], VNETS[#All], 14, FALSE)</f>
        <v>10</v>
      </c>
      <c r="P40">
        <f>VLOOKUP(Subnets[[#This Row],[VNETID]], VNETS[#All], 15, FALSE)</f>
        <v>130</v>
      </c>
      <c r="Q40">
        <v>98</v>
      </c>
      <c r="R40">
        <v>0</v>
      </c>
      <c r="U40" s="53" t="str">
        <f>VLOOKUP(Subnets[[#This Row],[VNETID]],VNETS[#All],11, FALSE)</f>
        <v>PREPROD</v>
      </c>
      <c r="V40" s="53" t="str">
        <f>VLOOKUP(Subnets[[#This Row],[VNETID]],VNETS[#All],2, FALSE)</f>
        <v>sub02</v>
      </c>
    </row>
    <row r="41" spans="1:22" hidden="1" x14ac:dyDescent="0.45">
      <c r="A41" t="s">
        <v>437</v>
      </c>
      <c r="B41">
        <v>350</v>
      </c>
      <c r="C41" t="s">
        <v>315</v>
      </c>
      <c r="D41" t="str">
        <f>I41&amp;"_"&amp;Subnets[[#This Row],[SubNetNumber]]&amp;"_"&amp;Subnets[[#This Row],[Dept. (Computed)]]&amp;"_"&amp;E41&amp;"_"&amp;Subnets[[#This Row],[Location (Computed)]]</f>
        <v>DMZ_350_dept_Test_ia</v>
      </c>
      <c r="E41" t="s">
        <v>81</v>
      </c>
      <c r="F41" t="str">
        <f>VLOOKUP(Subnets[[#This Row],[VNETID]],VNETS[#All], 8, FALSE)</f>
        <v>dept</v>
      </c>
      <c r="G41" t="str">
        <f>VLOOKUP(Subnets[[#This Row],[VNETID]],VNETS[#All], 9, FALSE)</f>
        <v>Managed</v>
      </c>
      <c r="H41" t="str">
        <f>VLOOKUP(Subnets[[#This Row],[VNETID]],VNETS[#All],13, FALSE)</f>
        <v>ia</v>
      </c>
      <c r="I41" t="s">
        <v>76</v>
      </c>
      <c r="K41" t="s">
        <v>91</v>
      </c>
      <c r="L41" t="str">
        <f t="shared" si="1"/>
        <v>10.130.99.0</v>
      </c>
      <c r="M41" s="9" t="s">
        <v>78</v>
      </c>
      <c r="N41" t="str">
        <f>VLOOKUP(Subnets[[#This Row],[VNETID]],VNETS[#All],7, FALSE)</f>
        <v>mag_dept_managed_preprod</v>
      </c>
      <c r="O41">
        <f>VLOOKUP(Subnets[[#This Row],[VNETID]], VNETS[#All], 14, FALSE)</f>
        <v>10</v>
      </c>
      <c r="P41">
        <f>VLOOKUP(Subnets[[#This Row],[VNETID]], VNETS[#All], 15, FALSE)</f>
        <v>130</v>
      </c>
      <c r="Q41">
        <v>99</v>
      </c>
      <c r="R41">
        <v>0</v>
      </c>
      <c r="U41" s="53" t="str">
        <f>VLOOKUP(Subnets[[#This Row],[VNETID]],VNETS[#All],11, FALSE)</f>
        <v>PREPROD</v>
      </c>
      <c r="V41" s="53" t="str">
        <f>VLOOKUP(Subnets[[#This Row],[VNETID]],VNETS[#All],2, FALSE)</f>
        <v>sub02</v>
      </c>
    </row>
    <row r="42" spans="1:22" hidden="1" x14ac:dyDescent="0.45">
      <c r="A42" t="s">
        <v>438</v>
      </c>
      <c r="B42">
        <v>360</v>
      </c>
      <c r="C42" t="s">
        <v>315</v>
      </c>
      <c r="D42" t="str">
        <f>I42&amp;"_"&amp;Subnets[[#This Row],[SubNetNumber]]&amp;"_"&amp;Subnets[[#This Row],[Dept. (Computed)]]&amp;"_"&amp;E42&amp;"_"&amp;Subnets[[#This Row],[Location (Computed)]]</f>
        <v>Users_Tier0_360_dept_Test_ia</v>
      </c>
      <c r="E42" t="s">
        <v>81</v>
      </c>
      <c r="F42" t="str">
        <f>VLOOKUP(Subnets[[#This Row],[VNETID]],VNETS[#All], 8, FALSE)</f>
        <v>dept</v>
      </c>
      <c r="G42" t="str">
        <f>VLOOKUP(Subnets[[#This Row],[VNETID]],VNETS[#All], 9, FALSE)</f>
        <v>Managed</v>
      </c>
      <c r="H42" t="str">
        <f>VLOOKUP(Subnets[[#This Row],[VNETID]],VNETS[#All],13, FALSE)</f>
        <v>ia</v>
      </c>
      <c r="I42" t="s">
        <v>1001</v>
      </c>
      <c r="K42" t="s">
        <v>996</v>
      </c>
      <c r="L42" t="str">
        <f t="shared" si="1"/>
        <v>10.130.100.0</v>
      </c>
      <c r="M42" s="9" t="s">
        <v>390</v>
      </c>
      <c r="N42" t="str">
        <f>VLOOKUP(Subnets[[#This Row],[VNETID]],VNETS[#All],7, FALSE)</f>
        <v>mag_dept_managed_preprod</v>
      </c>
      <c r="O42">
        <f>VLOOKUP(Subnets[[#This Row],[VNETID]], VNETS[#All], 14, FALSE)</f>
        <v>10</v>
      </c>
      <c r="P42">
        <f>VLOOKUP(Subnets[[#This Row],[VNETID]], VNETS[#All], 15, FALSE)</f>
        <v>130</v>
      </c>
      <c r="Q42">
        <v>100</v>
      </c>
      <c r="R42">
        <v>0</v>
      </c>
      <c r="U42" s="53" t="str">
        <f>VLOOKUP(Subnets[[#This Row],[VNETID]],VNETS[#All],11, FALSE)</f>
        <v>PREPROD</v>
      </c>
      <c r="V42" s="53" t="str">
        <f>VLOOKUP(Subnets[[#This Row],[VNETID]],VNETS[#All],2, FALSE)</f>
        <v>sub02</v>
      </c>
    </row>
    <row r="43" spans="1:22" hidden="1" x14ac:dyDescent="0.45">
      <c r="A43" t="s">
        <v>439</v>
      </c>
      <c r="B43">
        <v>361</v>
      </c>
      <c r="C43" t="s">
        <v>315</v>
      </c>
      <c r="D43" t="str">
        <f>I43&amp;"_"&amp;Subnets[[#This Row],[SubNetNumber]]&amp;"_"&amp;Subnets[[#This Row],[Dept. (Computed)]]&amp;"_"&amp;E43&amp;"_"&amp;Subnets[[#This Row],[Location (Computed)]]</f>
        <v>Users_Tier1_361_dept_Test_ia</v>
      </c>
      <c r="E43" t="s">
        <v>81</v>
      </c>
      <c r="F43" t="str">
        <f>VLOOKUP(Subnets[[#This Row],[VNETID]],VNETS[#All], 8, FALSE)</f>
        <v>dept</v>
      </c>
      <c r="G43" t="str">
        <f>VLOOKUP(Subnets[[#This Row],[VNETID]],VNETS[#All], 9, FALSE)</f>
        <v>Managed</v>
      </c>
      <c r="H43" t="str">
        <f>VLOOKUP(Subnets[[#This Row],[VNETID]],VNETS[#All],13, FALSE)</f>
        <v>ia</v>
      </c>
      <c r="I43" t="s">
        <v>991</v>
      </c>
      <c r="K43" t="s">
        <v>994</v>
      </c>
      <c r="L43" t="str">
        <f t="shared" si="1"/>
        <v>10.130.100.128</v>
      </c>
      <c r="M43" s="9" t="s">
        <v>390</v>
      </c>
      <c r="N43" t="str">
        <f>VLOOKUP(Subnets[[#This Row],[VNETID]],VNETS[#All],7, FALSE)</f>
        <v>mag_dept_managed_preprod</v>
      </c>
      <c r="O43">
        <f>VLOOKUP(Subnets[[#This Row],[VNETID]], VNETS[#All], 14, FALSE)</f>
        <v>10</v>
      </c>
      <c r="P43">
        <f>VLOOKUP(Subnets[[#This Row],[VNETID]], VNETS[#All], 15, FALSE)</f>
        <v>130</v>
      </c>
      <c r="Q43">
        <v>100</v>
      </c>
      <c r="R43">
        <v>128</v>
      </c>
      <c r="U43" s="53" t="str">
        <f>VLOOKUP(Subnets[[#This Row],[VNETID]],VNETS[#All],11, FALSE)</f>
        <v>PREPROD</v>
      </c>
      <c r="V43" s="53" t="str">
        <f>VLOOKUP(Subnets[[#This Row],[VNETID]],VNETS[#All],2, FALSE)</f>
        <v>sub02</v>
      </c>
    </row>
    <row r="44" spans="1:22" hidden="1" x14ac:dyDescent="0.45">
      <c r="A44" t="s">
        <v>440</v>
      </c>
      <c r="B44">
        <v>362</v>
      </c>
      <c r="C44" t="s">
        <v>315</v>
      </c>
      <c r="D44" t="str">
        <f>I44&amp;"_"&amp;Subnets[[#This Row],[SubNetNumber]]&amp;"_"&amp;Subnets[[#This Row],[Dept. (Computed)]]&amp;"_"&amp;E44&amp;"_"&amp;Subnets[[#This Row],[Location (Computed)]]</f>
        <v>Users_Tier2_362_dept_Test_ia</v>
      </c>
      <c r="E44" t="s">
        <v>81</v>
      </c>
      <c r="F44" t="str">
        <f>VLOOKUP(Subnets[[#This Row],[VNETID]],VNETS[#All], 8, FALSE)</f>
        <v>dept</v>
      </c>
      <c r="G44" t="str">
        <f>VLOOKUP(Subnets[[#This Row],[VNETID]],VNETS[#All], 9, FALSE)</f>
        <v>Managed</v>
      </c>
      <c r="H44" t="str">
        <f>VLOOKUP(Subnets[[#This Row],[VNETID]],VNETS[#All],13, FALSE)</f>
        <v>ia</v>
      </c>
      <c r="I44" t="s">
        <v>992</v>
      </c>
      <c r="K44" t="s">
        <v>995</v>
      </c>
      <c r="L44" t="str">
        <f t="shared" si="1"/>
        <v>10.130.101.0</v>
      </c>
      <c r="M44" s="9" t="s">
        <v>390</v>
      </c>
      <c r="N44" t="str">
        <f>VLOOKUP(Subnets[[#This Row],[VNETID]],VNETS[#All],7, FALSE)</f>
        <v>mag_dept_managed_preprod</v>
      </c>
      <c r="O44">
        <f>VLOOKUP(Subnets[[#This Row],[VNETID]], VNETS[#All], 14, FALSE)</f>
        <v>10</v>
      </c>
      <c r="P44">
        <f>VLOOKUP(Subnets[[#This Row],[VNETID]], VNETS[#All], 15, FALSE)</f>
        <v>130</v>
      </c>
      <c r="Q44">
        <v>101</v>
      </c>
      <c r="R44">
        <v>0</v>
      </c>
      <c r="U44" s="53" t="str">
        <f>VLOOKUP(Subnets[[#This Row],[VNETID]],VNETS[#All],11, FALSE)</f>
        <v>PREPROD</v>
      </c>
      <c r="V44" s="53" t="str">
        <f>VLOOKUP(Subnets[[#This Row],[VNETID]],VNETS[#All],2, FALSE)</f>
        <v>sub02</v>
      </c>
    </row>
    <row r="45" spans="1:22" hidden="1" x14ac:dyDescent="0.45">
      <c r="A45" t="s">
        <v>441</v>
      </c>
      <c r="B45">
        <v>363</v>
      </c>
      <c r="C45" t="s">
        <v>315</v>
      </c>
      <c r="D45" t="str">
        <f>I45&amp;"_"&amp;Subnets[[#This Row],[SubNetNumber]]&amp;"_"&amp;Subnets[[#This Row],[Dept. (Computed)]]&amp;"_"&amp;E45&amp;"_"&amp;Subnets[[#This Row],[Location (Computed)]]</f>
        <v>Users_Tier0_363_dept_Dev_ia</v>
      </c>
      <c r="E45" t="s">
        <v>82</v>
      </c>
      <c r="F45" t="str">
        <f>VLOOKUP(Subnets[[#This Row],[VNETID]],VNETS[#All], 8, FALSE)</f>
        <v>dept</v>
      </c>
      <c r="G45" t="str">
        <f>VLOOKUP(Subnets[[#This Row],[VNETID]],VNETS[#All], 9, FALSE)</f>
        <v>Managed</v>
      </c>
      <c r="H45" t="str">
        <f>VLOOKUP(Subnets[[#This Row],[VNETID]],VNETS[#All],13, FALSE)</f>
        <v>ia</v>
      </c>
      <c r="I45" t="s">
        <v>1001</v>
      </c>
      <c r="K45" t="s">
        <v>996</v>
      </c>
      <c r="L45" t="str">
        <f t="shared" si="1"/>
        <v>10.130.101.128</v>
      </c>
      <c r="M45" s="9" t="s">
        <v>390</v>
      </c>
      <c r="N45" t="str">
        <f>VLOOKUP(Subnets[[#This Row],[VNETID]],VNETS[#All],7, FALSE)</f>
        <v>mag_dept_managed_preprod</v>
      </c>
      <c r="O45">
        <f>VLOOKUP(Subnets[[#This Row],[VNETID]], VNETS[#All], 14, FALSE)</f>
        <v>10</v>
      </c>
      <c r="P45">
        <f>VLOOKUP(Subnets[[#This Row],[VNETID]], VNETS[#All], 15, FALSE)</f>
        <v>130</v>
      </c>
      <c r="Q45">
        <v>101</v>
      </c>
      <c r="R45">
        <v>128</v>
      </c>
      <c r="U45" s="53" t="str">
        <f>VLOOKUP(Subnets[[#This Row],[VNETID]],VNETS[#All],11, FALSE)</f>
        <v>PREPROD</v>
      </c>
      <c r="V45" s="53" t="str">
        <f>VLOOKUP(Subnets[[#This Row],[VNETID]],VNETS[#All],2, FALSE)</f>
        <v>sub02</v>
      </c>
    </row>
    <row r="46" spans="1:22" hidden="1" x14ac:dyDescent="0.45">
      <c r="A46" t="s">
        <v>442</v>
      </c>
      <c r="B46">
        <v>364</v>
      </c>
      <c r="C46" t="s">
        <v>315</v>
      </c>
      <c r="D46" t="str">
        <f>I46&amp;"_"&amp;Subnets[[#This Row],[SubNetNumber]]&amp;"_"&amp;Subnets[[#This Row],[Dept. (Computed)]]&amp;"_"&amp;E46&amp;"_"&amp;Subnets[[#This Row],[Location (Computed)]]</f>
        <v>Users_Tier1_364_dept_Dev_ia</v>
      </c>
      <c r="E46" t="s">
        <v>82</v>
      </c>
      <c r="F46" t="str">
        <f>VLOOKUP(Subnets[[#This Row],[VNETID]],VNETS[#All], 8, FALSE)</f>
        <v>dept</v>
      </c>
      <c r="G46" t="str">
        <f>VLOOKUP(Subnets[[#This Row],[VNETID]],VNETS[#All], 9, FALSE)</f>
        <v>Managed</v>
      </c>
      <c r="H46" t="str">
        <f>VLOOKUP(Subnets[[#This Row],[VNETID]],VNETS[#All],13, FALSE)</f>
        <v>ia</v>
      </c>
      <c r="I46" t="s">
        <v>991</v>
      </c>
      <c r="K46" t="s">
        <v>994</v>
      </c>
      <c r="L46" t="str">
        <f t="shared" si="1"/>
        <v>10.130.102.0</v>
      </c>
      <c r="M46" s="9" t="s">
        <v>390</v>
      </c>
      <c r="N46" t="str">
        <f>VLOOKUP(Subnets[[#This Row],[VNETID]],VNETS[#All],7, FALSE)</f>
        <v>mag_dept_managed_preprod</v>
      </c>
      <c r="O46">
        <f>VLOOKUP(Subnets[[#This Row],[VNETID]], VNETS[#All], 14, FALSE)</f>
        <v>10</v>
      </c>
      <c r="P46">
        <f>VLOOKUP(Subnets[[#This Row],[VNETID]], VNETS[#All], 15, FALSE)</f>
        <v>130</v>
      </c>
      <c r="Q46">
        <v>102</v>
      </c>
      <c r="R46">
        <v>0</v>
      </c>
      <c r="U46" s="53" t="str">
        <f>VLOOKUP(Subnets[[#This Row],[VNETID]],VNETS[#All],11, FALSE)</f>
        <v>PREPROD</v>
      </c>
      <c r="V46" s="53" t="str">
        <f>VLOOKUP(Subnets[[#This Row],[VNETID]],VNETS[#All],2, FALSE)</f>
        <v>sub02</v>
      </c>
    </row>
    <row r="47" spans="1:22" hidden="1" x14ac:dyDescent="0.45">
      <c r="A47" s="53"/>
      <c r="B47">
        <v>365</v>
      </c>
      <c r="C47" t="s">
        <v>315</v>
      </c>
      <c r="D47" s="53" t="str">
        <f>I47&amp;"_"&amp;Subnets[[#This Row],[SubNetNumber]]&amp;"_"&amp;Subnets[[#This Row],[Dept. (Computed)]]&amp;"_"&amp;E47&amp;"_"&amp;Subnets[[#This Row],[Location (Computed)]]</f>
        <v>Users_Tier2_365_dept_Dev_ia</v>
      </c>
      <c r="E47" s="53" t="s">
        <v>82</v>
      </c>
      <c r="F47" s="53" t="str">
        <f>VLOOKUP(Subnets[[#This Row],[VNETID]],VNETS[#All], 8, FALSE)</f>
        <v>dept</v>
      </c>
      <c r="G47" s="29" t="str">
        <f>VLOOKUP(Subnets[[#This Row],[VNETID]],VNETS[#All], 9, FALSE)</f>
        <v>Managed</v>
      </c>
      <c r="H47" t="str">
        <f>VLOOKUP(Subnets[[#This Row],[VNETID]],VNETS[#All],13, FALSE)</f>
        <v>ia</v>
      </c>
      <c r="I47" t="s">
        <v>992</v>
      </c>
      <c r="J47" s="53"/>
      <c r="K47" t="s">
        <v>995</v>
      </c>
      <c r="L47" t="str">
        <f t="shared" si="1"/>
        <v>10.130.102.128</v>
      </c>
      <c r="M47" s="9" t="s">
        <v>390</v>
      </c>
      <c r="N47" t="str">
        <f>VLOOKUP(Subnets[[#This Row],[VNETID]],VNETS[#All],7, FALSE)</f>
        <v>mag_dept_managed_preprod</v>
      </c>
      <c r="O47">
        <f>VLOOKUP(Subnets[[#This Row],[VNETID]], VNETS[#All], 14, FALSE)</f>
        <v>10</v>
      </c>
      <c r="P47">
        <f>VLOOKUP(Subnets[[#This Row],[VNETID]], VNETS[#All], 15, FALSE)</f>
        <v>130</v>
      </c>
      <c r="Q47" s="53">
        <v>102</v>
      </c>
      <c r="R47" s="53">
        <v>128</v>
      </c>
      <c r="S47" s="53"/>
      <c r="T47" s="53"/>
      <c r="U47" s="53" t="str">
        <f>VLOOKUP(Subnets[[#This Row],[VNETID]],VNETS[#All],11, FALSE)</f>
        <v>PREPROD</v>
      </c>
      <c r="V47" s="53" t="str">
        <f>VLOOKUP(Subnets[[#This Row],[VNETID]],VNETS[#All],2, FALSE)</f>
        <v>sub02</v>
      </c>
    </row>
    <row r="48" spans="1:22" hidden="1" x14ac:dyDescent="0.45">
      <c r="A48" t="s">
        <v>443</v>
      </c>
      <c r="B48">
        <v>410</v>
      </c>
      <c r="C48" t="s">
        <v>315</v>
      </c>
      <c r="D48" t="str">
        <f>I48&amp;"_"&amp;Subnets[[#This Row],[SubNetNumber]]&amp;"_"&amp;Subnets[[#This Row],[Dept. (Computed)]]&amp;"_"&amp;E48&amp;"_"&amp;Subnets[[#This Row],[Location (Computed)]]</f>
        <v>Web_410_dept_Dev_ia</v>
      </c>
      <c r="E48" t="s">
        <v>82</v>
      </c>
      <c r="F48" t="str">
        <f>VLOOKUP(Subnets[[#This Row],[VNETID]],VNETS[#All], 8, FALSE)</f>
        <v>dept</v>
      </c>
      <c r="G48" t="str">
        <f>VLOOKUP(Subnets[[#This Row],[VNETID]],VNETS[#All], 9, FALSE)</f>
        <v>Managed</v>
      </c>
      <c r="H48" t="str">
        <f>VLOOKUP(Subnets[[#This Row],[VNETID]],VNETS[#All],13, FALSE)</f>
        <v>ia</v>
      </c>
      <c r="I48" t="s">
        <v>73</v>
      </c>
      <c r="K48" t="s">
        <v>77</v>
      </c>
      <c r="L48" t="str">
        <f t="shared" si="1"/>
        <v>10.130.103.0</v>
      </c>
      <c r="M48" s="9" t="s">
        <v>78</v>
      </c>
      <c r="N48" t="str">
        <f>VLOOKUP(Subnets[[#This Row],[VNETID]],VNETS[#All],7, FALSE)</f>
        <v>mag_dept_managed_preprod</v>
      </c>
      <c r="O48">
        <f>VLOOKUP(Subnets[[#This Row],[VNETID]], VNETS[#All], 14, FALSE)</f>
        <v>10</v>
      </c>
      <c r="P48">
        <f>VLOOKUP(Subnets[[#This Row],[VNETID]], VNETS[#All], 15, FALSE)</f>
        <v>130</v>
      </c>
      <c r="Q48">
        <v>103</v>
      </c>
      <c r="R48">
        <v>0</v>
      </c>
      <c r="U48" s="53" t="str">
        <f>VLOOKUP(Subnets[[#This Row],[VNETID]],VNETS[#All],11, FALSE)</f>
        <v>PREPROD</v>
      </c>
      <c r="V48" s="53" t="str">
        <f>VLOOKUP(Subnets[[#This Row],[VNETID]],VNETS[#All],2, FALSE)</f>
        <v>sub02</v>
      </c>
    </row>
    <row r="49" spans="1:22" hidden="1" x14ac:dyDescent="0.45">
      <c r="A49" t="s">
        <v>444</v>
      </c>
      <c r="B49">
        <v>420</v>
      </c>
      <c r="C49" t="s">
        <v>315</v>
      </c>
      <c r="D49" t="str">
        <f>I49&amp;"_"&amp;Subnets[[#This Row],[SubNetNumber]]&amp;"_"&amp;Subnets[[#This Row],[Dept. (Computed)]]&amp;"_"&amp;E49&amp;"_"&amp;Subnets[[#This Row],[Location (Computed)]]</f>
        <v>App_420_dept_Dev_ia</v>
      </c>
      <c r="E49" t="s">
        <v>82</v>
      </c>
      <c r="F49" t="str">
        <f>VLOOKUP(Subnets[[#This Row],[VNETID]],VNETS[#All], 8, FALSE)</f>
        <v>dept</v>
      </c>
      <c r="G49" t="str">
        <f>VLOOKUP(Subnets[[#This Row],[VNETID]],VNETS[#All], 9, FALSE)</f>
        <v>Managed</v>
      </c>
      <c r="H49" t="str">
        <f>VLOOKUP(Subnets[[#This Row],[VNETID]],VNETS[#All],13, FALSE)</f>
        <v>ia</v>
      </c>
      <c r="I49" t="s">
        <v>74</v>
      </c>
      <c r="K49" t="s">
        <v>79</v>
      </c>
      <c r="L49" t="str">
        <f t="shared" si="1"/>
        <v>10.130.104.0</v>
      </c>
      <c r="M49" s="9" t="s">
        <v>78</v>
      </c>
      <c r="N49" t="str">
        <f>VLOOKUP(Subnets[[#This Row],[VNETID]],VNETS[#All],7, FALSE)</f>
        <v>mag_dept_managed_preprod</v>
      </c>
      <c r="O49">
        <f>VLOOKUP(Subnets[[#This Row],[VNETID]], VNETS[#All], 14, FALSE)</f>
        <v>10</v>
      </c>
      <c r="P49">
        <f>VLOOKUP(Subnets[[#This Row],[VNETID]], VNETS[#All], 15, FALSE)</f>
        <v>130</v>
      </c>
      <c r="Q49">
        <v>104</v>
      </c>
      <c r="R49">
        <v>0</v>
      </c>
      <c r="U49" s="53" t="str">
        <f>VLOOKUP(Subnets[[#This Row],[VNETID]],VNETS[#All],11, FALSE)</f>
        <v>PREPROD</v>
      </c>
      <c r="V49" s="53" t="str">
        <f>VLOOKUP(Subnets[[#This Row],[VNETID]],VNETS[#All],2, FALSE)</f>
        <v>sub02</v>
      </c>
    </row>
    <row r="50" spans="1:22" hidden="1" x14ac:dyDescent="0.45">
      <c r="A50" t="s">
        <v>445</v>
      </c>
      <c r="B50">
        <v>430</v>
      </c>
      <c r="C50" t="s">
        <v>315</v>
      </c>
      <c r="D50" t="str">
        <f>I50&amp;"_"&amp;Subnets[[#This Row],[SubNetNumber]]&amp;"_"&amp;Subnets[[#This Row],[Dept. (Computed)]]&amp;"_"&amp;E50&amp;"_"&amp;Subnets[[#This Row],[Location (Computed)]]</f>
        <v>Database_430_dept_Dev_ia</v>
      </c>
      <c r="E50" t="s">
        <v>82</v>
      </c>
      <c r="F50" t="str">
        <f>VLOOKUP(Subnets[[#This Row],[VNETID]],VNETS[#All], 8, FALSE)</f>
        <v>dept</v>
      </c>
      <c r="G50" t="str">
        <f>VLOOKUP(Subnets[[#This Row],[VNETID]],VNETS[#All], 9, FALSE)</f>
        <v>Managed</v>
      </c>
      <c r="H50" t="str">
        <f>VLOOKUP(Subnets[[#This Row],[VNETID]],VNETS[#All],13, FALSE)</f>
        <v>ia</v>
      </c>
      <c r="I50" t="s">
        <v>75</v>
      </c>
      <c r="K50" t="s">
        <v>80</v>
      </c>
      <c r="L50" t="str">
        <f t="shared" si="1"/>
        <v>10.130.105.0</v>
      </c>
      <c r="M50" s="9" t="s">
        <v>78</v>
      </c>
      <c r="N50" t="str">
        <f>VLOOKUP(Subnets[[#This Row],[VNETID]],VNETS[#All],7, FALSE)</f>
        <v>mag_dept_managed_preprod</v>
      </c>
      <c r="O50">
        <f>VLOOKUP(Subnets[[#This Row],[VNETID]], VNETS[#All], 14, FALSE)</f>
        <v>10</v>
      </c>
      <c r="P50">
        <f>VLOOKUP(Subnets[[#This Row],[VNETID]], VNETS[#All], 15, FALSE)</f>
        <v>130</v>
      </c>
      <c r="Q50">
        <v>105</v>
      </c>
      <c r="R50">
        <v>0</v>
      </c>
      <c r="U50" s="53" t="str">
        <f>VLOOKUP(Subnets[[#This Row],[VNETID]],VNETS[#All],11, FALSE)</f>
        <v>PREPROD</v>
      </c>
      <c r="V50" s="53" t="str">
        <f>VLOOKUP(Subnets[[#This Row],[VNETID]],VNETS[#All],2, FALSE)</f>
        <v>sub02</v>
      </c>
    </row>
    <row r="51" spans="1:22" hidden="1" x14ac:dyDescent="0.45">
      <c r="A51" t="s">
        <v>446</v>
      </c>
      <c r="B51">
        <v>450</v>
      </c>
      <c r="C51" t="s">
        <v>315</v>
      </c>
      <c r="D51" t="str">
        <f>I51&amp;"_"&amp;Subnets[[#This Row],[SubNetNumber]]&amp;"_"&amp;Subnets[[#This Row],[Dept. (Computed)]]&amp;"_"&amp;E51&amp;"_"&amp;Subnets[[#This Row],[Location (Computed)]]</f>
        <v>DMZ_450_dept_Dev_ia</v>
      </c>
      <c r="E51" t="s">
        <v>82</v>
      </c>
      <c r="F51" t="str">
        <f>VLOOKUP(Subnets[[#This Row],[VNETID]],VNETS[#All], 8, FALSE)</f>
        <v>dept</v>
      </c>
      <c r="G51" t="str">
        <f>VLOOKUP(Subnets[[#This Row],[VNETID]],VNETS[#All], 9, FALSE)</f>
        <v>Managed</v>
      </c>
      <c r="H51" t="str">
        <f>VLOOKUP(Subnets[[#This Row],[VNETID]],VNETS[#All],13, FALSE)</f>
        <v>ia</v>
      </c>
      <c r="I51" t="s">
        <v>76</v>
      </c>
      <c r="K51" t="s">
        <v>91</v>
      </c>
      <c r="L51" t="str">
        <f t="shared" si="1"/>
        <v>10.130.106.0</v>
      </c>
      <c r="M51" s="9" t="s">
        <v>78</v>
      </c>
      <c r="N51" t="str">
        <f>VLOOKUP(Subnets[[#This Row],[VNETID]],VNETS[#All],7, FALSE)</f>
        <v>mag_dept_managed_preprod</v>
      </c>
      <c r="O51">
        <f>VLOOKUP(Subnets[[#This Row],[VNETID]], VNETS[#All], 14, FALSE)</f>
        <v>10</v>
      </c>
      <c r="P51">
        <f>VLOOKUP(Subnets[[#This Row],[VNETID]], VNETS[#All], 15, FALSE)</f>
        <v>130</v>
      </c>
      <c r="Q51">
        <v>106</v>
      </c>
      <c r="R51">
        <v>0</v>
      </c>
      <c r="U51" s="53" t="str">
        <f>VLOOKUP(Subnets[[#This Row],[VNETID]],VNETS[#All],11, FALSE)</f>
        <v>PREPROD</v>
      </c>
      <c r="V51" s="53" t="str">
        <f>VLOOKUP(Subnets[[#This Row],[VNETID]],VNETS[#All],2, FALSE)</f>
        <v>sub02</v>
      </c>
    </row>
    <row r="52" spans="1:22" hidden="1" x14ac:dyDescent="0.45">
      <c r="A52" t="s">
        <v>447</v>
      </c>
      <c r="B52">
        <v>470</v>
      </c>
      <c r="C52" t="s">
        <v>315</v>
      </c>
      <c r="D52" t="str">
        <f>I52&amp;"_"&amp;Subnets[[#This Row],[SubNetNumber]]&amp;"_"&amp;Subnets[[#This Row],[Dept. (Computed)]]&amp;"_"&amp;E52&amp;"_"&amp;Subnets[[#This Row],[Location (Computed)]]</f>
        <v>Future_470_dept_Dev_ia</v>
      </c>
      <c r="E52" t="s">
        <v>82</v>
      </c>
      <c r="F52" t="str">
        <f>VLOOKUP(Subnets[[#This Row],[VNETID]],VNETS[#All], 8, FALSE)</f>
        <v>dept</v>
      </c>
      <c r="G52" t="str">
        <f>VLOOKUP(Subnets[[#This Row],[VNETID]],VNETS[#All], 9, FALSE)</f>
        <v>Managed</v>
      </c>
      <c r="H52" t="str">
        <f>VLOOKUP(Subnets[[#This Row],[VNETID]],VNETS[#All],13, FALSE)</f>
        <v>ia</v>
      </c>
      <c r="I52" t="s">
        <v>300</v>
      </c>
      <c r="K52" t="s">
        <v>301</v>
      </c>
      <c r="L52" t="str">
        <f t="shared" si="1"/>
        <v>10.130.108.0</v>
      </c>
      <c r="M52" s="9" t="s">
        <v>489</v>
      </c>
      <c r="N52" t="str">
        <f>VLOOKUP(Subnets[[#This Row],[VNETID]],VNETS[#All],7, FALSE)</f>
        <v>mag_dept_managed_preprod</v>
      </c>
      <c r="O52">
        <f>VLOOKUP(Subnets[[#This Row],[VNETID]], VNETS[#All], 14, FALSE)</f>
        <v>10</v>
      </c>
      <c r="P52">
        <f>VLOOKUP(Subnets[[#This Row],[VNETID]], VNETS[#All], 15, FALSE)</f>
        <v>130</v>
      </c>
      <c r="Q52">
        <v>108</v>
      </c>
      <c r="R52">
        <v>0</v>
      </c>
      <c r="U52" s="53" t="str">
        <f>VLOOKUP(Subnets[[#This Row],[VNETID]],VNETS[#All],11, FALSE)</f>
        <v>PREPROD</v>
      </c>
      <c r="V52" s="53" t="str">
        <f>VLOOKUP(Subnets[[#This Row],[VNETID]],VNETS[#All],2, FALSE)</f>
        <v>sub02</v>
      </c>
    </row>
    <row r="53" spans="1:22" hidden="1" x14ac:dyDescent="0.45">
      <c r="A53" t="s">
        <v>448</v>
      </c>
      <c r="B53">
        <v>470</v>
      </c>
      <c r="C53" t="s">
        <v>315</v>
      </c>
      <c r="D53" t="str">
        <f>I53&amp;"_"&amp;Subnets[[#This Row],[SubNetNumber]]&amp;"_"&amp;Subnets[[#This Row],[Dept. (Computed)]]&amp;"_"&amp;E53&amp;"_"&amp;Subnets[[#This Row],[Location (Computed)]]</f>
        <v>Future_470_dept_Dev_ia</v>
      </c>
      <c r="E53" t="s">
        <v>82</v>
      </c>
      <c r="F53" t="str">
        <f>VLOOKUP(Subnets[[#This Row],[VNETID]],VNETS[#All], 8, FALSE)</f>
        <v>dept</v>
      </c>
      <c r="G53" t="str">
        <f>VLOOKUP(Subnets[[#This Row],[VNETID]],VNETS[#All], 9, FALSE)</f>
        <v>Managed</v>
      </c>
      <c r="H53" t="str">
        <f>VLOOKUP(Subnets[[#This Row],[VNETID]],VNETS[#All],13, FALSE)</f>
        <v>ia</v>
      </c>
      <c r="I53" t="s">
        <v>300</v>
      </c>
      <c r="K53" t="s">
        <v>301</v>
      </c>
      <c r="L53" t="str">
        <f t="shared" si="1"/>
        <v>10.130.110.0</v>
      </c>
      <c r="M53" s="9" t="s">
        <v>78</v>
      </c>
      <c r="N53" t="str">
        <f>VLOOKUP(Subnets[[#This Row],[VNETID]],VNETS[#All],7, FALSE)</f>
        <v>mag_dept_managed_preprod</v>
      </c>
      <c r="O53">
        <f>VLOOKUP(Subnets[[#This Row],[VNETID]], VNETS[#All], 14, FALSE)</f>
        <v>10</v>
      </c>
      <c r="P53">
        <f>VLOOKUP(Subnets[[#This Row],[VNETID]], VNETS[#All], 15, FALSE)</f>
        <v>130</v>
      </c>
      <c r="Q53">
        <v>110</v>
      </c>
      <c r="R53">
        <v>0</v>
      </c>
      <c r="U53" s="53" t="str">
        <f>VLOOKUP(Subnets[[#This Row],[VNETID]],VNETS[#All],11, FALSE)</f>
        <v>PREPROD</v>
      </c>
      <c r="V53" s="53" t="str">
        <f>VLOOKUP(Subnets[[#This Row],[VNETID]],VNETS[#All],2, FALSE)</f>
        <v>sub02</v>
      </c>
    </row>
    <row r="54" spans="1:22" hidden="1" x14ac:dyDescent="0.45">
      <c r="A54" t="s">
        <v>449</v>
      </c>
      <c r="B54">
        <v>499</v>
      </c>
      <c r="C54" t="s">
        <v>315</v>
      </c>
      <c r="D54" t="str">
        <f>I54&amp;"_"&amp;Subnets[[#This Row],[SubNetNumber]]&amp;"_"&amp;Subnets[[#This Row],[Dept. (Computed)]]&amp;"_"&amp;E54&amp;"_"&amp;Subnets[[#This Row],[Location (Computed)]]</f>
        <v>Gateway_499_dept_PreProd_ia</v>
      </c>
      <c r="E54" t="s">
        <v>382</v>
      </c>
      <c r="F54" t="str">
        <f>VLOOKUP(Subnets[[#This Row],[VNETID]],VNETS[#All], 8, FALSE)</f>
        <v>dept</v>
      </c>
      <c r="G54" t="str">
        <f>VLOOKUP(Subnets[[#This Row],[VNETID]],VNETS[#All], 9, FALSE)</f>
        <v>Managed</v>
      </c>
      <c r="H54" t="str">
        <f>VLOOKUP(Subnets[[#This Row],[VNETID]],VNETS[#All],13, FALSE)</f>
        <v>ia</v>
      </c>
      <c r="I54" t="s">
        <v>501</v>
      </c>
      <c r="K54" t="s">
        <v>554</v>
      </c>
      <c r="L54" t="str">
        <f t="shared" si="1"/>
        <v>10.130.111.248</v>
      </c>
      <c r="M54" s="9" t="s">
        <v>399</v>
      </c>
      <c r="N54" t="str">
        <f>VLOOKUP(Subnets[[#This Row],[VNETID]],VNETS[#All],7, FALSE)</f>
        <v>mag_dept_managed_preprod</v>
      </c>
      <c r="O54">
        <f>VLOOKUP(Subnets[[#This Row],[VNETID]], VNETS[#All], 14, FALSE)</f>
        <v>10</v>
      </c>
      <c r="P54">
        <f>VLOOKUP(Subnets[[#This Row],[VNETID]], VNETS[#All], 15, FALSE)</f>
        <v>130</v>
      </c>
      <c r="Q54">
        <v>111</v>
      </c>
      <c r="R54">
        <v>248</v>
      </c>
      <c r="S54" t="str">
        <f>O54&amp;"."&amp;P54&amp;"."&amp;Q54&amp;"."&amp;R54</f>
        <v>10.130.111.248</v>
      </c>
      <c r="T54" s="9" t="s">
        <v>399</v>
      </c>
      <c r="U54" s="53" t="str">
        <f>VLOOKUP(Subnets[[#This Row],[VNETID]],VNETS[#All],11, FALSE)</f>
        <v>PREPROD</v>
      </c>
      <c r="V54" s="53" t="str">
        <f>VLOOKUP(Subnets[[#This Row],[VNETID]],VNETS[#All],2, FALSE)</f>
        <v>sub02</v>
      </c>
    </row>
    <row r="55" spans="1:22" hidden="1" x14ac:dyDescent="0.45">
      <c r="A55" t="s">
        <v>450</v>
      </c>
      <c r="B55">
        <v>110</v>
      </c>
      <c r="C55" t="s">
        <v>311</v>
      </c>
      <c r="D55" t="str">
        <f>I55&amp;"_"&amp;Subnets[[#This Row],[SubNetNumber]]&amp;"_"&amp;Subnets[[#This Row],[Dept. (Computed)]]&amp;"_"&amp;E55&amp;"_"&amp;Subnets[[#This Row],[Location (Computed)]]</f>
        <v>Web_110_dept_prod_va</v>
      </c>
      <c r="E55" t="s">
        <v>268</v>
      </c>
      <c r="F55" t="str">
        <f>VLOOKUP(Subnets[[#This Row],[VNETID]],VNETS[#All], 8, FALSE)</f>
        <v>dept</v>
      </c>
      <c r="G55" t="str">
        <f>VLOOKUP(Subnets[[#This Row],[VNETID]],VNETS[#All], 9, FALSE)</f>
        <v>Managed</v>
      </c>
      <c r="H55" t="str">
        <f>VLOOKUP(Subnets[[#This Row],[VNETID]],VNETS[#All],13, FALSE)</f>
        <v>va</v>
      </c>
      <c r="I55" t="s">
        <v>73</v>
      </c>
      <c r="K55" t="s">
        <v>77</v>
      </c>
      <c r="L55" t="str">
        <f t="shared" si="1"/>
        <v>10.130.2.0</v>
      </c>
      <c r="M55" s="9" t="s">
        <v>78</v>
      </c>
      <c r="N55" t="str">
        <f>VLOOKUP(Subnets[[#This Row],[VNETID]],VNETS[#All],7, FALSE)</f>
        <v>mag_dept_managed_prod</v>
      </c>
      <c r="O55">
        <f>VLOOKUP(Subnets[[#This Row],[VNETID]], VNETS[#All], 14, FALSE)</f>
        <v>10</v>
      </c>
      <c r="P55">
        <f>VLOOKUP(Subnets[[#This Row],[VNETID]], VNETS[#All], 15, FALSE)</f>
        <v>130</v>
      </c>
      <c r="Q55">
        <v>2</v>
      </c>
      <c r="R55">
        <v>0</v>
      </c>
      <c r="S55" t="str">
        <f>O55&amp;"."&amp;P55&amp;"."&amp;Q55&amp;"."&amp;R55</f>
        <v>10.130.2.0</v>
      </c>
      <c r="T55" s="9" t="s">
        <v>383</v>
      </c>
      <c r="U55" s="53" t="str">
        <f>VLOOKUP(Subnets[[#This Row],[VNETID]],VNETS[#All],11, FALSE)</f>
        <v>PROD</v>
      </c>
      <c r="V55" s="53" t="str">
        <f>VLOOKUP(Subnets[[#This Row],[VNETID]],VNETS[#All],2, FALSE)</f>
        <v>sub03</v>
      </c>
    </row>
    <row r="56" spans="1:22" hidden="1" x14ac:dyDescent="0.45">
      <c r="A56" t="s">
        <v>451</v>
      </c>
      <c r="B56">
        <v>120</v>
      </c>
      <c r="C56" t="s">
        <v>311</v>
      </c>
      <c r="D56" t="str">
        <f>I56&amp;"_"&amp;Subnets[[#This Row],[SubNetNumber]]&amp;"_"&amp;Subnets[[#This Row],[Dept. (Computed)]]&amp;"_"&amp;E56&amp;"_"&amp;Subnets[[#This Row],[Location (Computed)]]</f>
        <v>App_120_dept_prod_va</v>
      </c>
      <c r="E56" t="s">
        <v>268</v>
      </c>
      <c r="F56" t="str">
        <f>VLOOKUP(Subnets[[#This Row],[VNETID]],VNETS[#All], 8, FALSE)</f>
        <v>dept</v>
      </c>
      <c r="G56" t="str">
        <f>VLOOKUP(Subnets[[#This Row],[VNETID]],VNETS[#All], 9, FALSE)</f>
        <v>Managed</v>
      </c>
      <c r="H56" t="str">
        <f>VLOOKUP(Subnets[[#This Row],[VNETID]],VNETS[#All],13, FALSE)</f>
        <v>va</v>
      </c>
      <c r="I56" t="s">
        <v>74</v>
      </c>
      <c r="J56">
        <v>2</v>
      </c>
      <c r="K56" t="s">
        <v>79</v>
      </c>
      <c r="L56" t="str">
        <f t="shared" si="1"/>
        <v>10.130.4.0</v>
      </c>
      <c r="M56" s="9" t="s">
        <v>78</v>
      </c>
      <c r="N56" t="str">
        <f>VLOOKUP(Subnets[[#This Row],[VNETID]],VNETS[#All],7, FALSE)</f>
        <v>mag_dept_managed_prod</v>
      </c>
      <c r="O56">
        <f>VLOOKUP(Subnets[[#This Row],[VNETID]], VNETS[#All], 14, FALSE)</f>
        <v>10</v>
      </c>
      <c r="P56">
        <f>VLOOKUP(Subnets[[#This Row],[VNETID]], VNETS[#All], 15, FALSE)</f>
        <v>130</v>
      </c>
      <c r="Q56">
        <v>4</v>
      </c>
      <c r="R56">
        <v>0</v>
      </c>
      <c r="U56" s="53" t="str">
        <f>VLOOKUP(Subnets[[#This Row],[VNETID]],VNETS[#All],11, FALSE)</f>
        <v>PROD</v>
      </c>
      <c r="V56" s="53" t="str">
        <f>VLOOKUP(Subnets[[#This Row],[VNETID]],VNETS[#All],2, FALSE)</f>
        <v>sub03</v>
      </c>
    </row>
    <row r="57" spans="1:22" hidden="1" x14ac:dyDescent="0.45">
      <c r="A57" t="s">
        <v>452</v>
      </c>
      <c r="B57">
        <v>130</v>
      </c>
      <c r="C57" t="s">
        <v>311</v>
      </c>
      <c r="D57" t="str">
        <f>I57&amp;"_"&amp;Subnets[[#This Row],[SubNetNumber]]&amp;"_"&amp;Subnets[[#This Row],[Dept. (Computed)]]&amp;"_"&amp;E57&amp;"_"&amp;Subnets[[#This Row],[Location (Computed)]]</f>
        <v>Database_130_dept_prod_va</v>
      </c>
      <c r="E57" t="s">
        <v>268</v>
      </c>
      <c r="F57" t="str">
        <f>VLOOKUP(Subnets[[#This Row],[VNETID]],VNETS[#All], 8, FALSE)</f>
        <v>dept</v>
      </c>
      <c r="G57" t="str">
        <f>VLOOKUP(Subnets[[#This Row],[VNETID]],VNETS[#All], 9, FALSE)</f>
        <v>Managed</v>
      </c>
      <c r="H57" t="str">
        <f>VLOOKUP(Subnets[[#This Row],[VNETID]],VNETS[#All],13, FALSE)</f>
        <v>va</v>
      </c>
      <c r="I57" t="s">
        <v>75</v>
      </c>
      <c r="J57">
        <v>1</v>
      </c>
      <c r="K57" t="s">
        <v>80</v>
      </c>
      <c r="L57" t="str">
        <f t="shared" si="1"/>
        <v>10.130.6.0</v>
      </c>
      <c r="M57" s="9" t="s">
        <v>78</v>
      </c>
      <c r="N57" t="str">
        <f>VLOOKUP(Subnets[[#This Row],[VNETID]],VNETS[#All],7, FALSE)</f>
        <v>mag_dept_managed_prod</v>
      </c>
      <c r="O57">
        <f>VLOOKUP(Subnets[[#This Row],[VNETID]], VNETS[#All], 14, FALSE)</f>
        <v>10</v>
      </c>
      <c r="P57">
        <f>VLOOKUP(Subnets[[#This Row],[VNETID]], VNETS[#All], 15, FALSE)</f>
        <v>130</v>
      </c>
      <c r="Q57">
        <v>6</v>
      </c>
      <c r="R57">
        <v>0</v>
      </c>
      <c r="U57" s="53" t="str">
        <f>VLOOKUP(Subnets[[#This Row],[VNETID]],VNETS[#All],11, FALSE)</f>
        <v>PROD</v>
      </c>
      <c r="V57" s="53" t="str">
        <f>VLOOKUP(Subnets[[#This Row],[VNETID]],VNETS[#All],2, FALSE)</f>
        <v>sub03</v>
      </c>
    </row>
    <row r="58" spans="1:22" hidden="1" x14ac:dyDescent="0.45">
      <c r="A58" t="s">
        <v>453</v>
      </c>
      <c r="B58">
        <v>150</v>
      </c>
      <c r="C58" t="s">
        <v>311</v>
      </c>
      <c r="D58" t="str">
        <f>I58&amp;"_"&amp;Subnets[[#This Row],[SubNetNumber]]&amp;"_"&amp;Subnets[[#This Row],[Dept. (Computed)]]&amp;"_"&amp;E58&amp;"_"&amp;Subnets[[#This Row],[Location (Computed)]]</f>
        <v>DMZ_150_dept_prod_va</v>
      </c>
      <c r="E58" t="s">
        <v>268</v>
      </c>
      <c r="F58" t="str">
        <f>VLOOKUP(Subnets[[#This Row],[VNETID]],VNETS[#All], 8, FALSE)</f>
        <v>dept</v>
      </c>
      <c r="G58" t="str">
        <f>VLOOKUP(Subnets[[#This Row],[VNETID]],VNETS[#All], 9, FALSE)</f>
        <v>Managed</v>
      </c>
      <c r="H58" t="str">
        <f>VLOOKUP(Subnets[[#This Row],[VNETID]],VNETS[#All],13, FALSE)</f>
        <v>va</v>
      </c>
      <c r="I58" t="s">
        <v>76</v>
      </c>
      <c r="K58" t="s">
        <v>91</v>
      </c>
      <c r="L58" t="str">
        <f t="shared" si="1"/>
        <v>10.130.8.0</v>
      </c>
      <c r="M58" s="9" t="s">
        <v>78</v>
      </c>
      <c r="N58" t="str">
        <f>VLOOKUP(Subnets[[#This Row],[VNETID]],VNETS[#All],7, FALSE)</f>
        <v>mag_dept_managed_prod</v>
      </c>
      <c r="O58">
        <f>VLOOKUP(Subnets[[#This Row],[VNETID]], VNETS[#All], 14, FALSE)</f>
        <v>10</v>
      </c>
      <c r="P58">
        <f>VLOOKUP(Subnets[[#This Row],[VNETID]], VNETS[#All], 15, FALSE)</f>
        <v>130</v>
      </c>
      <c r="Q58">
        <v>8</v>
      </c>
      <c r="R58">
        <v>0</v>
      </c>
      <c r="U58" s="53" t="str">
        <f>VLOOKUP(Subnets[[#This Row],[VNETID]],VNETS[#All],11, FALSE)</f>
        <v>PROD</v>
      </c>
      <c r="V58" s="53" t="str">
        <f>VLOOKUP(Subnets[[#This Row],[VNETID]],VNETS[#All],2, FALSE)</f>
        <v>sub03</v>
      </c>
    </row>
    <row r="59" spans="1:22" hidden="1" x14ac:dyDescent="0.45">
      <c r="A59" t="s">
        <v>454</v>
      </c>
      <c r="B59">
        <v>160</v>
      </c>
      <c r="C59" t="s">
        <v>311</v>
      </c>
      <c r="D59" t="str">
        <f>I59&amp;"_"&amp;Subnets[[#This Row],[SubNetNumber]]&amp;"_"&amp;Subnets[[#This Row],[Dept. (Computed)]]&amp;"_"&amp;E59&amp;"_"&amp;Subnets[[#This Row],[Location (Computed)]]</f>
        <v>User_Tier0_160_dept_prod_va</v>
      </c>
      <c r="E59" t="s">
        <v>268</v>
      </c>
      <c r="F59" t="str">
        <f>VLOOKUP(Subnets[[#This Row],[VNETID]],VNETS[#All], 8, FALSE)</f>
        <v>dept</v>
      </c>
      <c r="G59" t="str">
        <f>VLOOKUP(Subnets[[#This Row],[VNETID]],VNETS[#All], 9, FALSE)</f>
        <v>Managed</v>
      </c>
      <c r="H59" t="str">
        <f>VLOOKUP(Subnets[[#This Row],[VNETID]],VNETS[#All],13, FALSE)</f>
        <v>va</v>
      </c>
      <c r="I59" t="s">
        <v>993</v>
      </c>
      <c r="K59" t="s">
        <v>996</v>
      </c>
      <c r="L59" t="str">
        <f t="shared" si="1"/>
        <v>10.130.10.0</v>
      </c>
      <c r="M59" s="9" t="s">
        <v>390</v>
      </c>
      <c r="N59" t="str">
        <f>VLOOKUP(Subnets[[#This Row],[VNETID]],VNETS[#All],7, FALSE)</f>
        <v>mag_dept_managed_prod</v>
      </c>
      <c r="O59">
        <f>VLOOKUP(Subnets[[#This Row],[VNETID]], VNETS[#All], 14, FALSE)</f>
        <v>10</v>
      </c>
      <c r="P59">
        <f>VLOOKUP(Subnets[[#This Row],[VNETID]], VNETS[#All], 15, FALSE)</f>
        <v>130</v>
      </c>
      <c r="Q59">
        <v>10</v>
      </c>
      <c r="R59">
        <v>0</v>
      </c>
      <c r="U59" s="53" t="str">
        <f>VLOOKUP(Subnets[[#This Row],[VNETID]],VNETS[#All],11, FALSE)</f>
        <v>PROD</v>
      </c>
      <c r="V59" s="53" t="str">
        <f>VLOOKUP(Subnets[[#This Row],[VNETID]],VNETS[#All],2, FALSE)</f>
        <v>sub03</v>
      </c>
    </row>
    <row r="60" spans="1:22" hidden="1" x14ac:dyDescent="0.45">
      <c r="A60" t="s">
        <v>455</v>
      </c>
      <c r="B60">
        <v>161</v>
      </c>
      <c r="C60" t="s">
        <v>311</v>
      </c>
      <c r="D60" t="str">
        <f>I60&amp;"_"&amp;Subnets[[#This Row],[SubNetNumber]]&amp;"_"&amp;Subnets[[#This Row],[Dept. (Computed)]]&amp;"_"&amp;E60&amp;"_"&amp;Subnets[[#This Row],[Location (Computed)]]</f>
        <v>Users_Tier1_161_dept_prod_va</v>
      </c>
      <c r="E60" t="s">
        <v>268</v>
      </c>
      <c r="F60" t="str">
        <f>VLOOKUP(Subnets[[#This Row],[VNETID]],VNETS[#All], 8, FALSE)</f>
        <v>dept</v>
      </c>
      <c r="G60" t="str">
        <f>VLOOKUP(Subnets[[#This Row],[VNETID]],VNETS[#All], 9, FALSE)</f>
        <v>Managed</v>
      </c>
      <c r="H60" t="str">
        <f>VLOOKUP(Subnets[[#This Row],[VNETID]],VNETS[#All],13, FALSE)</f>
        <v>va</v>
      </c>
      <c r="I60" t="s">
        <v>991</v>
      </c>
      <c r="K60" t="s">
        <v>994</v>
      </c>
      <c r="L60" t="str">
        <f t="shared" si="1"/>
        <v>10.130.10.128</v>
      </c>
      <c r="M60" s="9" t="s">
        <v>390</v>
      </c>
      <c r="N60" t="str">
        <f>VLOOKUP(Subnets[[#This Row],[VNETID]],VNETS[#All],7, FALSE)</f>
        <v>mag_dept_managed_prod</v>
      </c>
      <c r="O60">
        <f>VLOOKUP(Subnets[[#This Row],[VNETID]], VNETS[#All], 14, FALSE)</f>
        <v>10</v>
      </c>
      <c r="P60">
        <f>VLOOKUP(Subnets[[#This Row],[VNETID]], VNETS[#All], 15, FALSE)</f>
        <v>130</v>
      </c>
      <c r="Q60">
        <v>10</v>
      </c>
      <c r="R60">
        <v>128</v>
      </c>
      <c r="U60" s="53" t="str">
        <f>VLOOKUP(Subnets[[#This Row],[VNETID]],VNETS[#All],11, FALSE)</f>
        <v>PROD</v>
      </c>
      <c r="V60" s="53" t="str">
        <f>VLOOKUP(Subnets[[#This Row],[VNETID]],VNETS[#All],2, FALSE)</f>
        <v>sub03</v>
      </c>
    </row>
    <row r="61" spans="1:22" hidden="1" x14ac:dyDescent="0.45">
      <c r="A61" t="s">
        <v>456</v>
      </c>
      <c r="B61">
        <v>162</v>
      </c>
      <c r="C61" t="s">
        <v>311</v>
      </c>
      <c r="D61" t="str">
        <f>I61&amp;"_"&amp;Subnets[[#This Row],[SubNetNumber]]&amp;"_"&amp;Subnets[[#This Row],[Dept. (Computed)]]&amp;"_"&amp;E61&amp;"_"&amp;Subnets[[#This Row],[Location (Computed)]]</f>
        <v>Users_Tier2_162_dept_prod_va</v>
      </c>
      <c r="E61" t="s">
        <v>268</v>
      </c>
      <c r="F61" t="str">
        <f>VLOOKUP(Subnets[[#This Row],[VNETID]],VNETS[#All], 8, FALSE)</f>
        <v>dept</v>
      </c>
      <c r="G61" t="str">
        <f>VLOOKUP(Subnets[[#This Row],[VNETID]],VNETS[#All], 9, FALSE)</f>
        <v>Managed</v>
      </c>
      <c r="H61" t="str">
        <f>VLOOKUP(Subnets[[#This Row],[VNETID]],VNETS[#All],13, FALSE)</f>
        <v>va</v>
      </c>
      <c r="I61" t="s">
        <v>992</v>
      </c>
      <c r="K61" t="s">
        <v>995</v>
      </c>
      <c r="L61" t="str">
        <f t="shared" si="1"/>
        <v>10.130.11.0</v>
      </c>
      <c r="M61" s="9" t="s">
        <v>390</v>
      </c>
      <c r="N61" t="str">
        <f>VLOOKUP(Subnets[[#This Row],[VNETID]],VNETS[#All],7, FALSE)</f>
        <v>mag_dept_managed_prod</v>
      </c>
      <c r="O61">
        <f>VLOOKUP(Subnets[[#This Row],[VNETID]], VNETS[#All], 14, FALSE)</f>
        <v>10</v>
      </c>
      <c r="P61">
        <f>VLOOKUP(Subnets[[#This Row],[VNETID]], VNETS[#All], 15, FALSE)</f>
        <v>130</v>
      </c>
      <c r="Q61">
        <v>11</v>
      </c>
      <c r="R61">
        <v>0</v>
      </c>
      <c r="U61" s="53" t="str">
        <f>VLOOKUP(Subnets[[#This Row],[VNETID]],VNETS[#All],11, FALSE)</f>
        <v>PROD</v>
      </c>
      <c r="V61" s="53" t="str">
        <f>VLOOKUP(Subnets[[#This Row],[VNETID]],VNETS[#All],2, FALSE)</f>
        <v>sub03</v>
      </c>
    </row>
    <row r="62" spans="1:22" hidden="1" x14ac:dyDescent="0.45">
      <c r="A62" t="s">
        <v>1033</v>
      </c>
      <c r="B62">
        <v>163</v>
      </c>
      <c r="C62" t="s">
        <v>311</v>
      </c>
      <c r="D62" t="str">
        <f>I62&amp;"_"&amp;Subnets[[#This Row],[SubNetNumber]]&amp;"_"&amp;Subnets[[#This Row],[Dept. (Computed)]]&amp;"_"&amp;E62&amp;"_"&amp;Subnets[[#This Row],[Location (Computed)]]</f>
        <v>Deprecated_163_dept_prod_va</v>
      </c>
      <c r="E62" t="s">
        <v>268</v>
      </c>
      <c r="F62" t="str">
        <f>VLOOKUP(Subnets[[#This Row],[VNETID]],VNETS[#All], 8, FALSE)</f>
        <v>dept</v>
      </c>
      <c r="G62" t="str">
        <f>VLOOKUP(Subnets[[#This Row],[VNETID]],VNETS[#All], 9, FALSE)</f>
        <v>Managed</v>
      </c>
      <c r="H62" t="str">
        <f>VLOOKUP(Subnets[[#This Row],[VNETID]],VNETS[#All],13, FALSE)</f>
        <v>va</v>
      </c>
      <c r="I62" t="s">
        <v>1000</v>
      </c>
      <c r="K62" t="s">
        <v>997</v>
      </c>
      <c r="L62" t="str">
        <f t="shared" si="1"/>
        <v>10.130.11.128</v>
      </c>
      <c r="M62" s="9" t="s">
        <v>390</v>
      </c>
      <c r="N62" t="str">
        <f>VLOOKUP(Subnets[[#This Row],[VNETID]],VNETS[#All],7, FALSE)</f>
        <v>mag_dept_managed_prod</v>
      </c>
      <c r="O62">
        <f>VLOOKUP(Subnets[[#This Row],[VNETID]], VNETS[#All], 14, FALSE)</f>
        <v>10</v>
      </c>
      <c r="P62">
        <f>VLOOKUP(Subnets[[#This Row],[VNETID]], VNETS[#All], 15, FALSE)</f>
        <v>130</v>
      </c>
      <c r="Q62">
        <v>11</v>
      </c>
      <c r="R62">
        <v>128</v>
      </c>
      <c r="U62" s="53" t="str">
        <f>VLOOKUP(Subnets[[#This Row],[VNETID]],VNETS[#All],11, FALSE)</f>
        <v>PROD</v>
      </c>
      <c r="V62" s="53" t="str">
        <f>VLOOKUP(Subnets[[#This Row],[VNETID]],VNETS[#All],2, FALSE)</f>
        <v>sub03</v>
      </c>
    </row>
    <row r="63" spans="1:22" hidden="1" x14ac:dyDescent="0.45">
      <c r="A63" t="s">
        <v>1034</v>
      </c>
      <c r="B63">
        <v>164</v>
      </c>
      <c r="C63" t="s">
        <v>311</v>
      </c>
      <c r="D63" t="str">
        <f>I63&amp;"_"&amp;Subnets[[#This Row],[SubNetNumber]]&amp;"_"&amp;Subnets[[#This Row],[Dept. (Computed)]]&amp;"_"&amp;E63&amp;"_"&amp;Subnets[[#This Row],[Location (Computed)]]</f>
        <v>Deprecated_164_dept_prod_va</v>
      </c>
      <c r="E63" t="s">
        <v>268</v>
      </c>
      <c r="F63" t="str">
        <f>VLOOKUP(Subnets[[#This Row],[VNETID]],VNETS[#All], 8, FALSE)</f>
        <v>dept</v>
      </c>
      <c r="G63" t="str">
        <f>VLOOKUP(Subnets[[#This Row],[VNETID]],VNETS[#All], 9, FALSE)</f>
        <v>Managed</v>
      </c>
      <c r="H63" t="str">
        <f>VLOOKUP(Subnets[[#This Row],[VNETID]],VNETS[#All],13, FALSE)</f>
        <v>va</v>
      </c>
      <c r="I63" t="s">
        <v>1000</v>
      </c>
      <c r="K63" t="s">
        <v>998</v>
      </c>
      <c r="L63" t="str">
        <f t="shared" si="1"/>
        <v>10.130.12.0</v>
      </c>
      <c r="M63" s="9" t="s">
        <v>390</v>
      </c>
      <c r="N63" t="str">
        <f>VLOOKUP(Subnets[[#This Row],[VNETID]],VNETS[#All],7, FALSE)</f>
        <v>mag_dept_managed_prod</v>
      </c>
      <c r="O63">
        <f>VLOOKUP(Subnets[[#This Row],[VNETID]], VNETS[#All], 14, FALSE)</f>
        <v>10</v>
      </c>
      <c r="P63">
        <f>VLOOKUP(Subnets[[#This Row],[VNETID]], VNETS[#All], 15, FALSE)</f>
        <v>130</v>
      </c>
      <c r="Q63">
        <v>12</v>
      </c>
      <c r="R63">
        <v>0</v>
      </c>
      <c r="U63" s="53" t="str">
        <f>VLOOKUP(Subnets[[#This Row],[VNETID]],VNETS[#All],11, FALSE)</f>
        <v>PROD</v>
      </c>
      <c r="V63" s="53" t="str">
        <f>VLOOKUP(Subnets[[#This Row],[VNETID]],VNETS[#All],2, FALSE)</f>
        <v>sub03</v>
      </c>
    </row>
    <row r="64" spans="1:22" hidden="1" x14ac:dyDescent="0.45">
      <c r="A64" t="s">
        <v>457</v>
      </c>
      <c r="B64">
        <v>170</v>
      </c>
      <c r="C64" t="s">
        <v>311</v>
      </c>
      <c r="D64" t="str">
        <f>I64&amp;"_"&amp;Subnets[[#This Row],[SubNetNumber]]&amp;"_"&amp;Subnets[[#This Row],[Dept. (Computed)]]&amp;"_"&amp;E64&amp;"_"&amp;Subnets[[#This Row],[Location (Computed)]]</f>
        <v>Future_170_dept_prod_va</v>
      </c>
      <c r="E64" t="s">
        <v>268</v>
      </c>
      <c r="F64" t="str">
        <f>VLOOKUP(Subnets[[#This Row],[VNETID]],VNETS[#All], 8, FALSE)</f>
        <v>dept</v>
      </c>
      <c r="G64" t="str">
        <f>VLOOKUP(Subnets[[#This Row],[VNETID]],VNETS[#All], 9, FALSE)</f>
        <v>Managed</v>
      </c>
      <c r="H64" t="str">
        <f>VLOOKUP(Subnets[[#This Row],[VNETID]],VNETS[#All],13, FALSE)</f>
        <v>va</v>
      </c>
      <c r="I64" t="s">
        <v>300</v>
      </c>
      <c r="K64" t="s">
        <v>301</v>
      </c>
      <c r="L64" t="str">
        <f t="shared" si="1"/>
        <v>10.130.13.0</v>
      </c>
      <c r="M64" s="9" t="s">
        <v>78</v>
      </c>
      <c r="N64" t="str">
        <f>VLOOKUP(Subnets[[#This Row],[VNETID]],VNETS[#All],7, FALSE)</f>
        <v>mag_dept_managed_prod</v>
      </c>
      <c r="O64">
        <f>VLOOKUP(Subnets[[#This Row],[VNETID]], VNETS[#All], 14, FALSE)</f>
        <v>10</v>
      </c>
      <c r="P64">
        <f>VLOOKUP(Subnets[[#This Row],[VNETID]], VNETS[#All], 15, FALSE)</f>
        <v>130</v>
      </c>
      <c r="Q64">
        <v>13</v>
      </c>
      <c r="R64">
        <v>0</v>
      </c>
      <c r="U64" s="53" t="str">
        <f>VLOOKUP(Subnets[[#This Row],[VNETID]],VNETS[#All],11, FALSE)</f>
        <v>PROD</v>
      </c>
      <c r="V64" s="53" t="str">
        <f>VLOOKUP(Subnets[[#This Row],[VNETID]],VNETS[#All],2, FALSE)</f>
        <v>sub03</v>
      </c>
    </row>
    <row r="65" spans="1:22" hidden="1" x14ac:dyDescent="0.45">
      <c r="A65" t="s">
        <v>458</v>
      </c>
      <c r="B65">
        <v>170</v>
      </c>
      <c r="C65" t="s">
        <v>311</v>
      </c>
      <c r="D65" t="str">
        <f>I65&amp;"_"&amp;Subnets[[#This Row],[SubNetNumber]]&amp;"_"&amp;Subnets[[#This Row],[Dept. (Computed)]]&amp;"_"&amp;E65&amp;"_"&amp;Subnets[[#This Row],[Location (Computed)]]</f>
        <v>Future_170_dept_prod_va</v>
      </c>
      <c r="E65" t="s">
        <v>268</v>
      </c>
      <c r="F65" t="str">
        <f>VLOOKUP(Subnets[[#This Row],[VNETID]],VNETS[#All], 8, FALSE)</f>
        <v>dept</v>
      </c>
      <c r="G65" t="str">
        <f>VLOOKUP(Subnets[[#This Row],[VNETID]],VNETS[#All], 9, FALSE)</f>
        <v>Managed</v>
      </c>
      <c r="H65" t="str">
        <f>VLOOKUP(Subnets[[#This Row],[VNETID]],VNETS[#All],13, FALSE)</f>
        <v>va</v>
      </c>
      <c r="I65" t="s">
        <v>300</v>
      </c>
      <c r="K65" t="s">
        <v>301</v>
      </c>
      <c r="L65" t="str">
        <f t="shared" si="1"/>
        <v>10.130.14.0</v>
      </c>
      <c r="M65" s="9" t="s">
        <v>78</v>
      </c>
      <c r="N65" t="str">
        <f>VLOOKUP(Subnets[[#This Row],[VNETID]],VNETS[#All],7, FALSE)</f>
        <v>mag_dept_managed_prod</v>
      </c>
      <c r="O65">
        <f>VLOOKUP(Subnets[[#This Row],[VNETID]], VNETS[#All], 14, FALSE)</f>
        <v>10</v>
      </c>
      <c r="P65">
        <f>VLOOKUP(Subnets[[#This Row],[VNETID]], VNETS[#All], 15, FALSE)</f>
        <v>130</v>
      </c>
      <c r="Q65">
        <v>14</v>
      </c>
      <c r="R65">
        <v>0</v>
      </c>
      <c r="U65" s="53" t="str">
        <f>VLOOKUP(Subnets[[#This Row],[VNETID]],VNETS[#All],11, FALSE)</f>
        <v>PROD</v>
      </c>
      <c r="V65" s="53" t="str">
        <f>VLOOKUP(Subnets[[#This Row],[VNETID]],VNETS[#All],2, FALSE)</f>
        <v>sub03</v>
      </c>
    </row>
    <row r="66" spans="1:22" hidden="1" x14ac:dyDescent="0.45">
      <c r="A66" t="s">
        <v>459</v>
      </c>
      <c r="B66">
        <v>199</v>
      </c>
      <c r="C66" t="s">
        <v>311</v>
      </c>
      <c r="D66" t="str">
        <f>I66&amp;"_"&amp;Subnets[[#This Row],[SubNetNumber]]&amp;"_"&amp;Subnets[[#This Row],[Dept. (Computed)]]&amp;"_"&amp;E66&amp;"_"&amp;Subnets[[#This Row],[Location (Computed)]]</f>
        <v>Gateway_199_dept_prod_va</v>
      </c>
      <c r="E66" t="s">
        <v>268</v>
      </c>
      <c r="F66" t="str">
        <f>VLOOKUP(Subnets[[#This Row],[VNETID]],VNETS[#All], 8, FALSE)</f>
        <v>dept</v>
      </c>
      <c r="G66" t="str">
        <f>VLOOKUP(Subnets[[#This Row],[VNETID]],VNETS[#All], 9, FALSE)</f>
        <v>Managed</v>
      </c>
      <c r="H66" t="str">
        <f>VLOOKUP(Subnets[[#This Row],[VNETID]],VNETS[#All],13, FALSE)</f>
        <v>va</v>
      </c>
      <c r="I66" t="s">
        <v>501</v>
      </c>
      <c r="K66" t="s">
        <v>554</v>
      </c>
      <c r="L66" t="str">
        <f t="shared" si="1"/>
        <v>10.130.15.248</v>
      </c>
      <c r="M66" s="9" t="s">
        <v>399</v>
      </c>
      <c r="N66" t="str">
        <f>VLOOKUP(Subnets[[#This Row],[VNETID]],VNETS[#All],7, FALSE)</f>
        <v>mag_dept_managed_prod</v>
      </c>
      <c r="O66">
        <f>VLOOKUP(Subnets[[#This Row],[VNETID]], VNETS[#All], 14, FALSE)</f>
        <v>10</v>
      </c>
      <c r="P66">
        <f>VLOOKUP(Subnets[[#This Row],[VNETID]], VNETS[#All], 15, FALSE)</f>
        <v>130</v>
      </c>
      <c r="Q66">
        <v>15</v>
      </c>
      <c r="R66">
        <v>248</v>
      </c>
      <c r="S66" t="str">
        <f>O66&amp;"."&amp;P66&amp;"."&amp;Q66&amp;"."&amp;R66</f>
        <v>10.130.15.248</v>
      </c>
      <c r="T66" s="9" t="s">
        <v>399</v>
      </c>
      <c r="U66" s="53" t="str">
        <f>VLOOKUP(Subnets[[#This Row],[VNETID]],VNETS[#All],11, FALSE)</f>
        <v>PROD</v>
      </c>
      <c r="V66" s="53" t="str">
        <f>VLOOKUP(Subnets[[#This Row],[VNETID]],VNETS[#All],2, FALSE)</f>
        <v>sub03</v>
      </c>
    </row>
    <row r="67" spans="1:22" hidden="1" x14ac:dyDescent="0.45">
      <c r="A67" t="s">
        <v>460</v>
      </c>
      <c r="B67">
        <v>110</v>
      </c>
      <c r="C67" t="s">
        <v>316</v>
      </c>
      <c r="D67" t="str">
        <f>I67&amp;"_"&amp;Subnets[[#This Row],[SubNetNumber]]&amp;"_"&amp;Subnets[[#This Row],[Dept. (Computed)]]&amp;"_"&amp;E67&amp;"_"&amp;Subnets[[#This Row],[Location (Computed)]]</f>
        <v>Web_110_dept_prod_ia</v>
      </c>
      <c r="E67" t="s">
        <v>268</v>
      </c>
      <c r="F67" t="str">
        <f>VLOOKUP(Subnets[[#This Row],[VNETID]],VNETS[#All], 8, FALSE)</f>
        <v>dept</v>
      </c>
      <c r="G67" t="str">
        <f>VLOOKUP(Subnets[[#This Row],[VNETID]],VNETS[#All], 9, FALSE)</f>
        <v>Managed</v>
      </c>
      <c r="H67" t="str">
        <f>VLOOKUP(Subnets[[#This Row],[VNETID]],VNETS[#All],13, FALSE)</f>
        <v>ia</v>
      </c>
      <c r="I67" t="s">
        <v>73</v>
      </c>
      <c r="K67" t="s">
        <v>77</v>
      </c>
      <c r="L67" t="str">
        <f t="shared" si="1"/>
        <v>10.130.64.0</v>
      </c>
      <c r="M67" s="9" t="s">
        <v>78</v>
      </c>
      <c r="N67" t="str">
        <f>VLOOKUP(Subnets[[#This Row],[VNETID]],VNETS[#All],7, FALSE)</f>
        <v>mag_dept_managed_prod</v>
      </c>
      <c r="O67">
        <f>VLOOKUP(Subnets[[#This Row],[VNETID]], VNETS[#All], 14, FALSE)</f>
        <v>10</v>
      </c>
      <c r="P67">
        <f>VLOOKUP(Subnets[[#This Row],[VNETID]], VNETS[#All], 15, FALSE)</f>
        <v>130</v>
      </c>
      <c r="Q67">
        <v>64</v>
      </c>
      <c r="R67">
        <v>0</v>
      </c>
      <c r="S67" t="str">
        <f>O67&amp;"."&amp;P67&amp;"."&amp;Q67&amp;"."&amp;R67</f>
        <v>10.130.64.0</v>
      </c>
      <c r="T67" s="9" t="s">
        <v>383</v>
      </c>
      <c r="U67" s="53" t="str">
        <f>VLOOKUP(Subnets[[#This Row],[VNETID]],VNETS[#All],11, FALSE)</f>
        <v>PROD</v>
      </c>
      <c r="V67" s="53" t="str">
        <f>VLOOKUP(Subnets[[#This Row],[VNETID]],VNETS[#All],2, FALSE)</f>
        <v>sub03</v>
      </c>
    </row>
    <row r="68" spans="1:22" hidden="1" x14ac:dyDescent="0.45">
      <c r="A68" t="s">
        <v>461</v>
      </c>
      <c r="B68">
        <v>120</v>
      </c>
      <c r="C68" t="s">
        <v>316</v>
      </c>
      <c r="D68" t="str">
        <f>I68&amp;"_"&amp;Subnets[[#This Row],[SubNetNumber]]&amp;"_"&amp;Subnets[[#This Row],[Dept. (Computed)]]&amp;"_"&amp;E68&amp;"_"&amp;Subnets[[#This Row],[Location (Computed)]]</f>
        <v>App_120_dept_prod_ia</v>
      </c>
      <c r="E68" t="s">
        <v>268</v>
      </c>
      <c r="F68" t="str">
        <f>VLOOKUP(Subnets[[#This Row],[VNETID]],VNETS[#All], 8, FALSE)</f>
        <v>dept</v>
      </c>
      <c r="G68" t="str">
        <f>VLOOKUP(Subnets[[#This Row],[VNETID]],VNETS[#All], 9, FALSE)</f>
        <v>Managed</v>
      </c>
      <c r="H68" t="str">
        <f>VLOOKUP(Subnets[[#This Row],[VNETID]],VNETS[#All],13, FALSE)</f>
        <v>ia</v>
      </c>
      <c r="I68" t="s">
        <v>74</v>
      </c>
      <c r="J68">
        <v>2</v>
      </c>
      <c r="K68" t="s">
        <v>79</v>
      </c>
      <c r="L68" t="str">
        <f t="shared" ref="L68:L104" si="2">O68&amp;"."&amp;P68&amp;"."&amp;Q68&amp;"."&amp;R68</f>
        <v>10.130.66.0</v>
      </c>
      <c r="M68" s="9" t="s">
        <v>78</v>
      </c>
      <c r="N68" t="str">
        <f>VLOOKUP(Subnets[[#This Row],[VNETID]],VNETS[#All],7, FALSE)</f>
        <v>mag_dept_managed_prod</v>
      </c>
      <c r="O68">
        <f>VLOOKUP(Subnets[[#This Row],[VNETID]], VNETS[#All], 14, FALSE)</f>
        <v>10</v>
      </c>
      <c r="P68">
        <f>VLOOKUP(Subnets[[#This Row],[VNETID]], VNETS[#All], 15, FALSE)</f>
        <v>130</v>
      </c>
      <c r="Q68">
        <v>66</v>
      </c>
      <c r="R68">
        <v>0</v>
      </c>
      <c r="U68" s="53" t="str">
        <f>VLOOKUP(Subnets[[#This Row],[VNETID]],VNETS[#All],11, FALSE)</f>
        <v>PROD</v>
      </c>
      <c r="V68" s="53" t="str">
        <f>VLOOKUP(Subnets[[#This Row],[VNETID]],VNETS[#All],2, FALSE)</f>
        <v>sub03</v>
      </c>
    </row>
    <row r="69" spans="1:22" hidden="1" x14ac:dyDescent="0.45">
      <c r="A69" t="s">
        <v>462</v>
      </c>
      <c r="B69">
        <v>130</v>
      </c>
      <c r="C69" t="s">
        <v>316</v>
      </c>
      <c r="D69" t="str">
        <f>I69&amp;"_"&amp;Subnets[[#This Row],[SubNetNumber]]&amp;"_"&amp;Subnets[[#This Row],[Dept. (Computed)]]&amp;"_"&amp;E69&amp;"_"&amp;Subnets[[#This Row],[Location (Computed)]]</f>
        <v>Database_130_dept_prod_ia</v>
      </c>
      <c r="E69" t="s">
        <v>268</v>
      </c>
      <c r="F69" t="str">
        <f>VLOOKUP(Subnets[[#This Row],[VNETID]],VNETS[#All], 8, FALSE)</f>
        <v>dept</v>
      </c>
      <c r="G69" t="str">
        <f>VLOOKUP(Subnets[[#This Row],[VNETID]],VNETS[#All], 9, FALSE)</f>
        <v>Managed</v>
      </c>
      <c r="H69" t="str">
        <f>VLOOKUP(Subnets[[#This Row],[VNETID]],VNETS[#All],13, FALSE)</f>
        <v>ia</v>
      </c>
      <c r="I69" t="s">
        <v>75</v>
      </c>
      <c r="J69">
        <v>1</v>
      </c>
      <c r="K69" t="s">
        <v>80</v>
      </c>
      <c r="L69" t="str">
        <f t="shared" si="2"/>
        <v>10.130.68.0</v>
      </c>
      <c r="M69" s="9" t="s">
        <v>78</v>
      </c>
      <c r="N69" t="str">
        <f>VLOOKUP(Subnets[[#This Row],[VNETID]],VNETS[#All],7, FALSE)</f>
        <v>mag_dept_managed_prod</v>
      </c>
      <c r="O69">
        <f>VLOOKUP(Subnets[[#This Row],[VNETID]], VNETS[#All], 14, FALSE)</f>
        <v>10</v>
      </c>
      <c r="P69">
        <f>VLOOKUP(Subnets[[#This Row],[VNETID]], VNETS[#All], 15, FALSE)</f>
        <v>130</v>
      </c>
      <c r="Q69">
        <v>68</v>
      </c>
      <c r="R69">
        <v>0</v>
      </c>
      <c r="U69" s="53" t="str">
        <f>VLOOKUP(Subnets[[#This Row],[VNETID]],VNETS[#All],11, FALSE)</f>
        <v>PROD</v>
      </c>
      <c r="V69" s="53" t="str">
        <f>VLOOKUP(Subnets[[#This Row],[VNETID]],VNETS[#All],2, FALSE)</f>
        <v>sub03</v>
      </c>
    </row>
    <row r="70" spans="1:22" hidden="1" x14ac:dyDescent="0.45">
      <c r="A70" t="s">
        <v>463</v>
      </c>
      <c r="B70">
        <v>150</v>
      </c>
      <c r="C70" t="s">
        <v>316</v>
      </c>
      <c r="D70" t="str">
        <f>I70&amp;"_"&amp;Subnets[[#This Row],[SubNetNumber]]&amp;"_"&amp;Subnets[[#This Row],[Dept. (Computed)]]&amp;"_"&amp;E70&amp;"_"&amp;Subnets[[#This Row],[Location (Computed)]]</f>
        <v>DMZ_150_dept_prod_ia</v>
      </c>
      <c r="E70" t="s">
        <v>268</v>
      </c>
      <c r="F70" t="str">
        <f>VLOOKUP(Subnets[[#This Row],[VNETID]],VNETS[#All], 8, FALSE)</f>
        <v>dept</v>
      </c>
      <c r="G70" t="str">
        <f>VLOOKUP(Subnets[[#This Row],[VNETID]],VNETS[#All], 9, FALSE)</f>
        <v>Managed</v>
      </c>
      <c r="H70" t="str">
        <f>VLOOKUP(Subnets[[#This Row],[VNETID]],VNETS[#All],13, FALSE)</f>
        <v>ia</v>
      </c>
      <c r="I70" t="s">
        <v>76</v>
      </c>
      <c r="K70" t="s">
        <v>91</v>
      </c>
      <c r="L70" t="str">
        <f t="shared" si="2"/>
        <v>10.130.70.0</v>
      </c>
      <c r="M70" s="9" t="s">
        <v>78</v>
      </c>
      <c r="N70" t="str">
        <f>VLOOKUP(Subnets[[#This Row],[VNETID]],VNETS[#All],7, FALSE)</f>
        <v>mag_dept_managed_prod</v>
      </c>
      <c r="O70">
        <f>VLOOKUP(Subnets[[#This Row],[VNETID]], VNETS[#All], 14, FALSE)</f>
        <v>10</v>
      </c>
      <c r="P70">
        <f>VLOOKUP(Subnets[[#This Row],[VNETID]], VNETS[#All], 15, FALSE)</f>
        <v>130</v>
      </c>
      <c r="Q70">
        <v>70</v>
      </c>
      <c r="R70">
        <v>0</v>
      </c>
      <c r="U70" s="53" t="str">
        <f>VLOOKUP(Subnets[[#This Row],[VNETID]],VNETS[#All],11, FALSE)</f>
        <v>PROD</v>
      </c>
      <c r="V70" s="53" t="str">
        <f>VLOOKUP(Subnets[[#This Row],[VNETID]],VNETS[#All],2, FALSE)</f>
        <v>sub03</v>
      </c>
    </row>
    <row r="71" spans="1:22" hidden="1" x14ac:dyDescent="0.45">
      <c r="A71" t="s">
        <v>464</v>
      </c>
      <c r="B71">
        <v>160</v>
      </c>
      <c r="C71" t="s">
        <v>316</v>
      </c>
      <c r="D71" t="str">
        <f>I71&amp;"_"&amp;Subnets[[#This Row],[SubNetNumber]]&amp;"_"&amp;Subnets[[#This Row],[Dept. (Computed)]]&amp;"_"&amp;E71&amp;"_"&amp;Subnets[[#This Row],[Location (Computed)]]</f>
        <v>User_Tier0_160_dept_prod_ia</v>
      </c>
      <c r="E71" t="s">
        <v>268</v>
      </c>
      <c r="F71" t="str">
        <f>VLOOKUP(Subnets[[#This Row],[VNETID]],VNETS[#All], 8, FALSE)</f>
        <v>dept</v>
      </c>
      <c r="G71" t="str">
        <f>VLOOKUP(Subnets[[#This Row],[VNETID]],VNETS[#All], 9, FALSE)</f>
        <v>Managed</v>
      </c>
      <c r="H71" t="str">
        <f>VLOOKUP(Subnets[[#This Row],[VNETID]],VNETS[#All],13, FALSE)</f>
        <v>ia</v>
      </c>
      <c r="I71" t="s">
        <v>993</v>
      </c>
      <c r="K71" t="s">
        <v>996</v>
      </c>
      <c r="L71" t="str">
        <f t="shared" si="2"/>
        <v>10.130.72.0</v>
      </c>
      <c r="M71" s="9" t="s">
        <v>390</v>
      </c>
      <c r="N71" t="str">
        <f>VLOOKUP(Subnets[[#This Row],[VNETID]],VNETS[#All],7, FALSE)</f>
        <v>mag_dept_managed_prod</v>
      </c>
      <c r="O71">
        <f>VLOOKUP(Subnets[[#This Row],[VNETID]], VNETS[#All], 14, FALSE)</f>
        <v>10</v>
      </c>
      <c r="P71">
        <f>VLOOKUP(Subnets[[#This Row],[VNETID]], VNETS[#All], 15, FALSE)</f>
        <v>130</v>
      </c>
      <c r="Q71">
        <v>72</v>
      </c>
      <c r="R71">
        <v>0</v>
      </c>
      <c r="U71" s="53" t="str">
        <f>VLOOKUP(Subnets[[#This Row],[VNETID]],VNETS[#All],11, FALSE)</f>
        <v>PROD</v>
      </c>
      <c r="V71" s="53" t="str">
        <f>VLOOKUP(Subnets[[#This Row],[VNETID]],VNETS[#All],2, FALSE)</f>
        <v>sub03</v>
      </c>
    </row>
    <row r="72" spans="1:22" hidden="1" x14ac:dyDescent="0.45">
      <c r="A72" t="s">
        <v>465</v>
      </c>
      <c r="B72">
        <v>161</v>
      </c>
      <c r="C72" t="s">
        <v>316</v>
      </c>
      <c r="D72" t="str">
        <f>I72&amp;"_"&amp;Subnets[[#This Row],[SubNetNumber]]&amp;"_"&amp;Subnets[[#This Row],[Dept. (Computed)]]&amp;"_"&amp;E72&amp;"_"&amp;Subnets[[#This Row],[Location (Computed)]]</f>
        <v>Users_Tier1_161_dept_prod_ia</v>
      </c>
      <c r="E72" t="s">
        <v>268</v>
      </c>
      <c r="F72" t="str">
        <f>VLOOKUP(Subnets[[#This Row],[VNETID]],VNETS[#All], 8, FALSE)</f>
        <v>dept</v>
      </c>
      <c r="G72" t="str">
        <f>VLOOKUP(Subnets[[#This Row],[VNETID]],VNETS[#All], 9, FALSE)</f>
        <v>Managed</v>
      </c>
      <c r="H72" t="str">
        <f>VLOOKUP(Subnets[[#This Row],[VNETID]],VNETS[#All],13, FALSE)</f>
        <v>ia</v>
      </c>
      <c r="I72" t="s">
        <v>991</v>
      </c>
      <c r="K72" t="s">
        <v>994</v>
      </c>
      <c r="L72" t="str">
        <f t="shared" si="2"/>
        <v>10.130.72.128</v>
      </c>
      <c r="M72" s="9" t="s">
        <v>390</v>
      </c>
      <c r="N72" t="str">
        <f>VLOOKUP(Subnets[[#This Row],[VNETID]],VNETS[#All],7, FALSE)</f>
        <v>mag_dept_managed_prod</v>
      </c>
      <c r="O72">
        <f>VLOOKUP(Subnets[[#This Row],[VNETID]], VNETS[#All], 14, FALSE)</f>
        <v>10</v>
      </c>
      <c r="P72">
        <f>VLOOKUP(Subnets[[#This Row],[VNETID]], VNETS[#All], 15, FALSE)</f>
        <v>130</v>
      </c>
      <c r="Q72">
        <v>72</v>
      </c>
      <c r="R72">
        <v>128</v>
      </c>
      <c r="U72" s="53" t="str">
        <f>VLOOKUP(Subnets[[#This Row],[VNETID]],VNETS[#All],11, FALSE)</f>
        <v>PROD</v>
      </c>
      <c r="V72" s="53" t="str">
        <f>VLOOKUP(Subnets[[#This Row],[VNETID]],VNETS[#All],2, FALSE)</f>
        <v>sub03</v>
      </c>
    </row>
    <row r="73" spans="1:22" hidden="1" x14ac:dyDescent="0.45">
      <c r="A73" t="s">
        <v>466</v>
      </c>
      <c r="B73">
        <v>162</v>
      </c>
      <c r="C73" t="s">
        <v>316</v>
      </c>
      <c r="D73" t="str">
        <f>I73&amp;"_"&amp;Subnets[[#This Row],[SubNetNumber]]&amp;"_"&amp;Subnets[[#This Row],[Dept. (Computed)]]&amp;"_"&amp;E73&amp;"_"&amp;Subnets[[#This Row],[Location (Computed)]]</f>
        <v>Users_Tier2_162_dept_prod_ia</v>
      </c>
      <c r="E73" t="s">
        <v>268</v>
      </c>
      <c r="F73" t="str">
        <f>VLOOKUP(Subnets[[#This Row],[VNETID]],VNETS[#All], 8, FALSE)</f>
        <v>dept</v>
      </c>
      <c r="G73" t="str">
        <f>VLOOKUP(Subnets[[#This Row],[VNETID]],VNETS[#All], 9, FALSE)</f>
        <v>Managed</v>
      </c>
      <c r="H73" t="str">
        <f>VLOOKUP(Subnets[[#This Row],[VNETID]],VNETS[#All],13, FALSE)</f>
        <v>ia</v>
      </c>
      <c r="I73" t="s">
        <v>992</v>
      </c>
      <c r="K73" t="s">
        <v>995</v>
      </c>
      <c r="L73" t="str">
        <f t="shared" si="2"/>
        <v>10.130.73.0</v>
      </c>
      <c r="M73" s="9" t="s">
        <v>390</v>
      </c>
      <c r="N73" t="str">
        <f>VLOOKUP(Subnets[[#This Row],[VNETID]],VNETS[#All],7, FALSE)</f>
        <v>mag_dept_managed_prod</v>
      </c>
      <c r="O73">
        <f>VLOOKUP(Subnets[[#This Row],[VNETID]], VNETS[#All], 14, FALSE)</f>
        <v>10</v>
      </c>
      <c r="P73">
        <f>VLOOKUP(Subnets[[#This Row],[VNETID]], VNETS[#All], 15, FALSE)</f>
        <v>130</v>
      </c>
      <c r="Q73">
        <v>73</v>
      </c>
      <c r="R73">
        <v>0</v>
      </c>
      <c r="U73" s="53" t="str">
        <f>VLOOKUP(Subnets[[#This Row],[VNETID]],VNETS[#All],11, FALSE)</f>
        <v>PROD</v>
      </c>
      <c r="V73" s="53" t="str">
        <f>VLOOKUP(Subnets[[#This Row],[VNETID]],VNETS[#All],2, FALSE)</f>
        <v>sub03</v>
      </c>
    </row>
    <row r="74" spans="1:22" hidden="1" x14ac:dyDescent="0.45">
      <c r="A74" t="s">
        <v>1035</v>
      </c>
      <c r="B74">
        <v>163</v>
      </c>
      <c r="C74" t="s">
        <v>316</v>
      </c>
      <c r="D74" t="str">
        <f>I74&amp;"_"&amp;Subnets[[#This Row],[SubNetNumber]]&amp;"_"&amp;Subnets[[#This Row],[Dept. (Computed)]]&amp;"_"&amp;E74&amp;"_"&amp;Subnets[[#This Row],[Location (Computed)]]</f>
        <v>Future_163_dept_prod_ia</v>
      </c>
      <c r="E74" t="s">
        <v>268</v>
      </c>
      <c r="F74" t="str">
        <f>VLOOKUP(Subnets[[#This Row],[VNETID]],VNETS[#All], 8, FALSE)</f>
        <v>dept</v>
      </c>
      <c r="G74" t="str">
        <f>VLOOKUP(Subnets[[#This Row],[VNETID]],VNETS[#All], 9, FALSE)</f>
        <v>Managed</v>
      </c>
      <c r="H74" t="str">
        <f>VLOOKUP(Subnets[[#This Row],[VNETID]],VNETS[#All],13, FALSE)</f>
        <v>ia</v>
      </c>
      <c r="I74" t="s">
        <v>300</v>
      </c>
      <c r="K74" t="s">
        <v>997</v>
      </c>
      <c r="L74" t="str">
        <f t="shared" si="2"/>
        <v>10.130.73.128</v>
      </c>
      <c r="M74" s="9" t="s">
        <v>390</v>
      </c>
      <c r="N74" t="str">
        <f>VLOOKUP(Subnets[[#This Row],[VNETID]],VNETS[#All],7, FALSE)</f>
        <v>mag_dept_managed_prod</v>
      </c>
      <c r="O74">
        <f>VLOOKUP(Subnets[[#This Row],[VNETID]], VNETS[#All], 14, FALSE)</f>
        <v>10</v>
      </c>
      <c r="P74">
        <f>VLOOKUP(Subnets[[#This Row],[VNETID]], VNETS[#All], 15, FALSE)</f>
        <v>130</v>
      </c>
      <c r="Q74">
        <v>73</v>
      </c>
      <c r="R74">
        <v>128</v>
      </c>
      <c r="U74" s="53" t="str">
        <f>VLOOKUP(Subnets[[#This Row],[VNETID]],VNETS[#All],11, FALSE)</f>
        <v>PROD</v>
      </c>
      <c r="V74" s="53" t="str">
        <f>VLOOKUP(Subnets[[#This Row],[VNETID]],VNETS[#All],2, FALSE)</f>
        <v>sub03</v>
      </c>
    </row>
    <row r="75" spans="1:22" hidden="1" x14ac:dyDescent="0.45">
      <c r="A75" t="s">
        <v>1036</v>
      </c>
      <c r="B75">
        <v>164</v>
      </c>
      <c r="C75" t="s">
        <v>316</v>
      </c>
      <c r="D75" t="str">
        <f>I75&amp;"_"&amp;Subnets[[#This Row],[SubNetNumber]]&amp;"_"&amp;Subnets[[#This Row],[Dept. (Computed)]]&amp;"_"&amp;E75&amp;"_"&amp;Subnets[[#This Row],[Location (Computed)]]</f>
        <v>Future_164_dept_prod_ia</v>
      </c>
      <c r="E75" t="s">
        <v>268</v>
      </c>
      <c r="F75" t="str">
        <f>VLOOKUP(Subnets[[#This Row],[VNETID]],VNETS[#All], 8, FALSE)</f>
        <v>dept</v>
      </c>
      <c r="G75" t="str">
        <f>VLOOKUP(Subnets[[#This Row],[VNETID]],VNETS[#All], 9, FALSE)</f>
        <v>Managed</v>
      </c>
      <c r="H75" t="str">
        <f>VLOOKUP(Subnets[[#This Row],[VNETID]],VNETS[#All],13, FALSE)</f>
        <v>ia</v>
      </c>
      <c r="I75" t="s">
        <v>300</v>
      </c>
      <c r="K75" t="s">
        <v>998</v>
      </c>
      <c r="L75" t="str">
        <f t="shared" si="2"/>
        <v>10.130.74.0</v>
      </c>
      <c r="M75" s="9" t="s">
        <v>390</v>
      </c>
      <c r="N75" t="str">
        <f>VLOOKUP(Subnets[[#This Row],[VNETID]],VNETS[#All],7, FALSE)</f>
        <v>mag_dept_managed_prod</v>
      </c>
      <c r="O75">
        <f>VLOOKUP(Subnets[[#This Row],[VNETID]], VNETS[#All], 14, FALSE)</f>
        <v>10</v>
      </c>
      <c r="P75">
        <f>VLOOKUP(Subnets[[#This Row],[VNETID]], VNETS[#All], 15, FALSE)</f>
        <v>130</v>
      </c>
      <c r="Q75">
        <v>74</v>
      </c>
      <c r="R75">
        <v>0</v>
      </c>
      <c r="U75" s="53" t="str">
        <f>VLOOKUP(Subnets[[#This Row],[VNETID]],VNETS[#All],11, FALSE)</f>
        <v>PROD</v>
      </c>
      <c r="V75" s="53" t="str">
        <f>VLOOKUP(Subnets[[#This Row],[VNETID]],VNETS[#All],2, FALSE)</f>
        <v>sub03</v>
      </c>
    </row>
    <row r="76" spans="1:22" hidden="1" x14ac:dyDescent="0.45">
      <c r="A76" t="s">
        <v>467</v>
      </c>
      <c r="B76">
        <v>170</v>
      </c>
      <c r="C76" t="s">
        <v>316</v>
      </c>
      <c r="D76" t="str">
        <f>I76&amp;"_"&amp;Subnets[[#This Row],[SubNetNumber]]&amp;"_"&amp;Subnets[[#This Row],[Dept. (Computed)]]&amp;"_"&amp;E76&amp;"_"&amp;Subnets[[#This Row],[Location (Computed)]]</f>
        <v>Future_170_dept_prod_ia</v>
      </c>
      <c r="E76" t="s">
        <v>268</v>
      </c>
      <c r="F76" t="str">
        <f>VLOOKUP(Subnets[[#This Row],[VNETID]],VNETS[#All], 8, FALSE)</f>
        <v>dept</v>
      </c>
      <c r="G76" t="str">
        <f>VLOOKUP(Subnets[[#This Row],[VNETID]],VNETS[#All], 9, FALSE)</f>
        <v>Managed</v>
      </c>
      <c r="H76" t="str">
        <f>VLOOKUP(Subnets[[#This Row],[VNETID]],VNETS[#All],13, FALSE)</f>
        <v>ia</v>
      </c>
      <c r="I76" t="s">
        <v>300</v>
      </c>
      <c r="K76" t="s">
        <v>301</v>
      </c>
      <c r="L76" t="str">
        <f t="shared" si="2"/>
        <v>10.130.76.0</v>
      </c>
      <c r="M76" s="9" t="s">
        <v>489</v>
      </c>
      <c r="N76" t="str">
        <f>VLOOKUP(Subnets[[#This Row],[VNETID]],VNETS[#All],7, FALSE)</f>
        <v>mag_dept_managed_prod</v>
      </c>
      <c r="O76">
        <f>VLOOKUP(Subnets[[#This Row],[VNETID]], VNETS[#All], 14, FALSE)</f>
        <v>10</v>
      </c>
      <c r="P76">
        <f>VLOOKUP(Subnets[[#This Row],[VNETID]], VNETS[#All], 15, FALSE)</f>
        <v>130</v>
      </c>
      <c r="Q76">
        <v>76</v>
      </c>
      <c r="R76">
        <v>0</v>
      </c>
      <c r="U76" s="53" t="str">
        <f>VLOOKUP(Subnets[[#This Row],[VNETID]],VNETS[#All],11, FALSE)</f>
        <v>PROD</v>
      </c>
      <c r="V76" s="53" t="str">
        <f>VLOOKUP(Subnets[[#This Row],[VNETID]],VNETS[#All],2, FALSE)</f>
        <v>sub03</v>
      </c>
    </row>
    <row r="77" spans="1:22" hidden="1" x14ac:dyDescent="0.45">
      <c r="A77" t="s">
        <v>468</v>
      </c>
      <c r="B77">
        <v>170</v>
      </c>
      <c r="C77" t="s">
        <v>316</v>
      </c>
      <c r="D77" t="str">
        <f>I77&amp;"_"&amp;Subnets[[#This Row],[SubNetNumber]]&amp;"_"&amp;Subnets[[#This Row],[Dept. (Computed)]]&amp;"_"&amp;E77&amp;"_"&amp;Subnets[[#This Row],[Location (Computed)]]</f>
        <v>Future_170_dept_prod_ia</v>
      </c>
      <c r="E77" t="s">
        <v>268</v>
      </c>
      <c r="F77" t="str">
        <f>VLOOKUP(Subnets[[#This Row],[VNETID]],VNETS[#All], 8, FALSE)</f>
        <v>dept</v>
      </c>
      <c r="G77" t="str">
        <f>VLOOKUP(Subnets[[#This Row],[VNETID]],VNETS[#All], 9, FALSE)</f>
        <v>Managed</v>
      </c>
      <c r="H77" t="str">
        <f>VLOOKUP(Subnets[[#This Row],[VNETID]],VNETS[#All],13, FALSE)</f>
        <v>ia</v>
      </c>
      <c r="I77" t="s">
        <v>300</v>
      </c>
      <c r="K77" t="s">
        <v>301</v>
      </c>
      <c r="L77" t="str">
        <f t="shared" si="2"/>
        <v>10.130.78.0</v>
      </c>
      <c r="M77" s="9" t="s">
        <v>78</v>
      </c>
      <c r="N77" t="str">
        <f>VLOOKUP(Subnets[[#This Row],[VNETID]],VNETS[#All],7, FALSE)</f>
        <v>mag_dept_managed_prod</v>
      </c>
      <c r="O77">
        <f>VLOOKUP(Subnets[[#This Row],[VNETID]], VNETS[#All], 14, FALSE)</f>
        <v>10</v>
      </c>
      <c r="P77">
        <f>VLOOKUP(Subnets[[#This Row],[VNETID]], VNETS[#All], 15, FALSE)</f>
        <v>130</v>
      </c>
      <c r="Q77">
        <v>78</v>
      </c>
      <c r="R77">
        <v>0</v>
      </c>
      <c r="U77" s="53" t="str">
        <f>VLOOKUP(Subnets[[#This Row],[VNETID]],VNETS[#All],11, FALSE)</f>
        <v>PROD</v>
      </c>
      <c r="V77" s="53" t="str">
        <f>VLOOKUP(Subnets[[#This Row],[VNETID]],VNETS[#All],2, FALSE)</f>
        <v>sub03</v>
      </c>
    </row>
    <row r="78" spans="1:22" hidden="1" x14ac:dyDescent="0.45">
      <c r="A78" t="s">
        <v>469</v>
      </c>
      <c r="B78">
        <v>199</v>
      </c>
      <c r="C78" t="s">
        <v>316</v>
      </c>
      <c r="D78" t="str">
        <f>I78&amp;"_"&amp;Subnets[[#This Row],[SubNetNumber]]&amp;"_"&amp;Subnets[[#This Row],[Dept. (Computed)]]&amp;"_"&amp;E78&amp;"_"&amp;Subnets[[#This Row],[Location (Computed)]]</f>
        <v>Gateway_199_dept_prod_ia</v>
      </c>
      <c r="E78" t="s">
        <v>268</v>
      </c>
      <c r="F78" t="str">
        <f>VLOOKUP(Subnets[[#This Row],[VNETID]],VNETS[#All], 8, FALSE)</f>
        <v>dept</v>
      </c>
      <c r="G78" t="str">
        <f>VLOOKUP(Subnets[[#This Row],[VNETID]],VNETS[#All], 9, FALSE)</f>
        <v>Managed</v>
      </c>
      <c r="H78" t="str">
        <f>VLOOKUP(Subnets[[#This Row],[VNETID]],VNETS[#All],13, FALSE)</f>
        <v>ia</v>
      </c>
      <c r="I78" t="s">
        <v>501</v>
      </c>
      <c r="K78" t="s">
        <v>554</v>
      </c>
      <c r="L78" t="str">
        <f t="shared" si="2"/>
        <v>10.130.79.248</v>
      </c>
      <c r="M78" s="9" t="s">
        <v>399</v>
      </c>
      <c r="N78" t="str">
        <f>VLOOKUP(Subnets[[#This Row],[VNETID]],VNETS[#All],7, FALSE)</f>
        <v>mag_dept_managed_prod</v>
      </c>
      <c r="O78">
        <f>VLOOKUP(Subnets[[#This Row],[VNETID]], VNETS[#All], 14, FALSE)</f>
        <v>10</v>
      </c>
      <c r="P78">
        <f>VLOOKUP(Subnets[[#This Row],[VNETID]], VNETS[#All], 15, FALSE)</f>
        <v>130</v>
      </c>
      <c r="Q78">
        <v>79</v>
      </c>
      <c r="R78">
        <v>248</v>
      </c>
      <c r="S78" t="str">
        <f>O78&amp;"."&amp;P78&amp;"."&amp;Q78&amp;"."&amp;R78</f>
        <v>10.130.79.248</v>
      </c>
      <c r="T78" s="9" t="s">
        <v>399</v>
      </c>
      <c r="U78" s="53" t="str">
        <f>VLOOKUP(Subnets[[#This Row],[VNETID]],VNETS[#All],11, FALSE)</f>
        <v>PROD</v>
      </c>
      <c r="V78" s="53" t="str">
        <f>VLOOKUP(Subnets[[#This Row],[VNETID]],VNETS[#All],2, FALSE)</f>
        <v>sub03</v>
      </c>
    </row>
    <row r="79" spans="1:22" hidden="1" x14ac:dyDescent="0.45">
      <c r="A79" t="s">
        <v>470</v>
      </c>
      <c r="B79">
        <v>600</v>
      </c>
      <c r="C79" t="s">
        <v>312</v>
      </c>
      <c r="D79" t="str">
        <f>I79&amp;"_"&amp;Subnets[[#This Row],[SubNetNumber]]&amp;"_"&amp;Subnets[[#This Row],[Dept. (Computed)]]&amp;"_"&amp;E79&amp;"_"&amp;Subnets[[#This Row],[Location (Computed)]]</f>
        <v>Services_600_dept_Srvcs_va</v>
      </c>
      <c r="E79" t="s">
        <v>374</v>
      </c>
      <c r="F79" t="str">
        <f>VLOOKUP(Subnets[[#This Row],[VNETID]],VNETS[#All], 8, FALSE)</f>
        <v>dept</v>
      </c>
      <c r="G79" t="str">
        <f>VLOOKUP(Subnets[[#This Row],[VNETID]],VNETS[#All], 9, FALSE)</f>
        <v>Managed</v>
      </c>
      <c r="H79" t="str">
        <f>VLOOKUP(Subnets[[#This Row],[VNETID]],VNETS[#All],13, FALSE)</f>
        <v>va</v>
      </c>
      <c r="I79" t="s">
        <v>72</v>
      </c>
      <c r="K79" t="s">
        <v>269</v>
      </c>
      <c r="L79" t="str">
        <f t="shared" si="2"/>
        <v>10.130.56.0</v>
      </c>
      <c r="M79" s="9" t="s">
        <v>78</v>
      </c>
      <c r="N79" t="str">
        <f>VLOOKUP(Subnets[[#This Row],[VNETID]],VNETS[#All],7, FALSE)</f>
        <v>mag_dept_managed_services</v>
      </c>
      <c r="O79">
        <f>VLOOKUP(Subnets[[#This Row],[VNETID]], VNETS[#All], 14, FALSE)</f>
        <v>10</v>
      </c>
      <c r="P79">
        <f>VLOOKUP(Subnets[[#This Row],[VNETID]], VNETS[#All], 15, FALSE)</f>
        <v>130</v>
      </c>
      <c r="Q79">
        <v>56</v>
      </c>
      <c r="R79">
        <v>0</v>
      </c>
      <c r="S79" t="str">
        <f>O79&amp;"."&amp;P79&amp;"."&amp;Q79&amp;"."&amp;R79</f>
        <v>10.130.56.0</v>
      </c>
      <c r="T79" s="9" t="s">
        <v>302</v>
      </c>
      <c r="U79" s="53" t="str">
        <f>VLOOKUP(Subnets[[#This Row],[VNETID]],VNETS[#All],11, FALSE)</f>
        <v>SERVICES</v>
      </c>
      <c r="V79" s="53" t="str">
        <f>VLOOKUP(Subnets[[#This Row],[VNETID]],VNETS[#All],2, FALSE)</f>
        <v>sub04</v>
      </c>
    </row>
    <row r="80" spans="1:22" hidden="1" x14ac:dyDescent="0.45">
      <c r="A80" t="s">
        <v>471</v>
      </c>
      <c r="B80">
        <v>650</v>
      </c>
      <c r="C80" t="s">
        <v>312</v>
      </c>
      <c r="D80" t="str">
        <f>I80&amp;"_"&amp;Subnets[[#This Row],[SubNetNumber]]&amp;"_"&amp;Subnets[[#This Row],[Dept. (Computed)]]&amp;"_"&amp;E80&amp;"_"&amp;Subnets[[#This Row],[Location (Computed)]]</f>
        <v>DMZ_650_dept_Srvcs_va</v>
      </c>
      <c r="E80" t="s">
        <v>374</v>
      </c>
      <c r="F80" t="str">
        <f>VLOOKUP(Subnets[[#This Row],[VNETID]],VNETS[#All], 8, FALSE)</f>
        <v>dept</v>
      </c>
      <c r="G80" t="str">
        <f>VLOOKUP(Subnets[[#This Row],[VNETID]],VNETS[#All], 9, FALSE)</f>
        <v>Managed</v>
      </c>
      <c r="H80" t="str">
        <f>VLOOKUP(Subnets[[#This Row],[VNETID]],VNETS[#All],13, FALSE)</f>
        <v>va</v>
      </c>
      <c r="I80" t="s">
        <v>76</v>
      </c>
      <c r="K80" t="s">
        <v>270</v>
      </c>
      <c r="L80" t="str">
        <f t="shared" si="2"/>
        <v>10.130.58.0</v>
      </c>
      <c r="M80" s="9" t="s">
        <v>78</v>
      </c>
      <c r="N80" t="str">
        <f>VLOOKUP(Subnets[[#This Row],[VNETID]],VNETS[#All],7, FALSE)</f>
        <v>mag_dept_managed_services</v>
      </c>
      <c r="O80">
        <f>VLOOKUP(Subnets[[#This Row],[VNETID]], VNETS[#All], 14, FALSE)</f>
        <v>10</v>
      </c>
      <c r="P80">
        <f>VLOOKUP(Subnets[[#This Row],[VNETID]], VNETS[#All], 15, FALSE)</f>
        <v>130</v>
      </c>
      <c r="Q80">
        <v>58</v>
      </c>
      <c r="R80">
        <v>0</v>
      </c>
      <c r="U80" s="53" t="str">
        <f>VLOOKUP(Subnets[[#This Row],[VNETID]],VNETS[#All],11, FALSE)</f>
        <v>SERVICES</v>
      </c>
      <c r="V80" s="53" t="str">
        <f>VLOOKUP(Subnets[[#This Row],[VNETID]],VNETS[#All],2, FALSE)</f>
        <v>sub04</v>
      </c>
    </row>
    <row r="81" spans="1:22" hidden="1" x14ac:dyDescent="0.45">
      <c r="A81" t="s">
        <v>472</v>
      </c>
      <c r="B81" s="53">
        <v>660</v>
      </c>
      <c r="C81" t="s">
        <v>312</v>
      </c>
      <c r="D81" s="53" t="str">
        <f>I81&amp;"_"&amp;Subnets[[#This Row],[SubNetNumber]]&amp;"_"&amp;Subnets[[#This Row],[Dept. (Computed)]]&amp;"_"&amp;E81&amp;"_"&amp;Subnets[[#This Row],[Location (Computed)]]</f>
        <v>User_Tier0_660_dept_Srvcs_va</v>
      </c>
      <c r="E81" t="s">
        <v>374</v>
      </c>
      <c r="F81" s="53" t="str">
        <f>VLOOKUP(Subnets[[#This Row],[VNETID]],VNETS[#All], 8, FALSE)</f>
        <v>dept</v>
      </c>
      <c r="G81" s="29" t="str">
        <f>VLOOKUP(Subnets[[#This Row],[VNETID]],VNETS[#All], 9, FALSE)</f>
        <v>Managed</v>
      </c>
      <c r="H81" t="str">
        <f>VLOOKUP(Subnets[[#This Row],[VNETID]],VNETS[#All],13, FALSE)</f>
        <v>va</v>
      </c>
      <c r="I81" t="s">
        <v>993</v>
      </c>
      <c r="J81">
        <v>0</v>
      </c>
      <c r="K81" t="s">
        <v>996</v>
      </c>
      <c r="L81" t="str">
        <f t="shared" ref="L81:L82" si="3">O81&amp;"."&amp;P81&amp;"."&amp;Q81&amp;"."&amp;R81</f>
        <v>10.130.59.0</v>
      </c>
      <c r="M81" s="67" t="s">
        <v>390</v>
      </c>
      <c r="N81" t="str">
        <f>VLOOKUP(Subnets[[#This Row],[VNETID]],VNETS[#All],7, FALSE)</f>
        <v>mag_dept_managed_services</v>
      </c>
      <c r="O81">
        <f>VLOOKUP(Subnets[[#This Row],[VNETID]], VNETS[#All], 14, FALSE)</f>
        <v>10</v>
      </c>
      <c r="P81">
        <f>VLOOKUP(Subnets[[#This Row],[VNETID]], VNETS[#All], 15, FALSE)</f>
        <v>130</v>
      </c>
      <c r="Q81" s="53">
        <v>59</v>
      </c>
      <c r="R81" s="53">
        <v>0</v>
      </c>
      <c r="S81" s="53"/>
      <c r="T81" s="67"/>
      <c r="U81" s="53" t="str">
        <f>VLOOKUP(Subnets[[#This Row],[VNETID]],VNETS[#All],11, FALSE)</f>
        <v>SERVICES</v>
      </c>
      <c r="V81" s="53" t="str">
        <f>VLOOKUP(Subnets[[#This Row],[VNETID]],VNETS[#All],2, FALSE)</f>
        <v>sub04</v>
      </c>
    </row>
    <row r="82" spans="1:22" hidden="1" x14ac:dyDescent="0.45">
      <c r="A82" t="s">
        <v>473</v>
      </c>
      <c r="B82" s="53">
        <v>661</v>
      </c>
      <c r="C82" t="s">
        <v>312</v>
      </c>
      <c r="D82" s="53" t="str">
        <f>I82&amp;"_"&amp;Subnets[[#This Row],[SubNetNumber]]&amp;"_"&amp;Subnets[[#This Row],[Dept. (Computed)]]&amp;"_"&amp;E82&amp;"_"&amp;Subnets[[#This Row],[Location (Computed)]]</f>
        <v>Users_Tier1_661_dept_Srvcs_va</v>
      </c>
      <c r="E82" t="s">
        <v>374</v>
      </c>
      <c r="F82" s="53" t="str">
        <f>VLOOKUP(Subnets[[#This Row],[VNETID]],VNETS[#All], 8, FALSE)</f>
        <v>dept</v>
      </c>
      <c r="G82" s="29" t="str">
        <f>VLOOKUP(Subnets[[#This Row],[VNETID]],VNETS[#All], 9, FALSE)</f>
        <v>Managed</v>
      </c>
      <c r="H82" t="str">
        <f>VLOOKUP(Subnets[[#This Row],[VNETID]],VNETS[#All],13, FALSE)</f>
        <v>va</v>
      </c>
      <c r="I82" t="s">
        <v>991</v>
      </c>
      <c r="J82">
        <v>1</v>
      </c>
      <c r="K82" t="s">
        <v>994</v>
      </c>
      <c r="L82" t="str">
        <f t="shared" si="3"/>
        <v>10.130.59.128</v>
      </c>
      <c r="M82" s="67" t="s">
        <v>390</v>
      </c>
      <c r="N82" t="str">
        <f>VLOOKUP(Subnets[[#This Row],[VNETID]],VNETS[#All],7, FALSE)</f>
        <v>mag_dept_managed_services</v>
      </c>
      <c r="O82">
        <f>VLOOKUP(Subnets[[#This Row],[VNETID]], VNETS[#All], 14, FALSE)</f>
        <v>10</v>
      </c>
      <c r="P82">
        <f>VLOOKUP(Subnets[[#This Row],[VNETID]], VNETS[#All], 15, FALSE)</f>
        <v>130</v>
      </c>
      <c r="Q82" s="53">
        <v>59</v>
      </c>
      <c r="R82" s="53">
        <v>128</v>
      </c>
      <c r="S82" s="53"/>
      <c r="T82" s="67"/>
      <c r="U82" s="53" t="str">
        <f>VLOOKUP(Subnets[[#This Row],[VNETID]],VNETS[#All],11, FALSE)</f>
        <v>SERVICES</v>
      </c>
      <c r="V82" s="53" t="str">
        <f>VLOOKUP(Subnets[[#This Row],[VNETID]],VNETS[#All],2, FALSE)</f>
        <v>sub04</v>
      </c>
    </row>
    <row r="83" spans="1:22" hidden="1" x14ac:dyDescent="0.45">
      <c r="A83" t="s">
        <v>472</v>
      </c>
      <c r="B83">
        <v>670</v>
      </c>
      <c r="C83" t="s">
        <v>312</v>
      </c>
      <c r="D83" t="str">
        <f>I83&amp;"_"&amp;Subnets[[#This Row],[SubNetNumber]]&amp;"_"&amp;Subnets[[#This Row],[Dept. (Computed)]]&amp;"_"&amp;E83&amp;"_"&amp;Subnets[[#This Row],[Location (Computed)]]</f>
        <v>Future_670_dept_Srvcs_va</v>
      </c>
      <c r="E83" t="s">
        <v>374</v>
      </c>
      <c r="F83" t="str">
        <f>VLOOKUP(Subnets[[#This Row],[VNETID]],VNETS[#All], 8, FALSE)</f>
        <v>dept</v>
      </c>
      <c r="G83" t="str">
        <f>VLOOKUP(Subnets[[#This Row],[VNETID]],VNETS[#All], 9, FALSE)</f>
        <v>Managed</v>
      </c>
      <c r="H83" t="str">
        <f>VLOOKUP(Subnets[[#This Row],[VNETID]],VNETS[#All],13, FALSE)</f>
        <v>va</v>
      </c>
      <c r="I83" t="s">
        <v>300</v>
      </c>
      <c r="K83" t="s">
        <v>301</v>
      </c>
      <c r="L83" t="str">
        <f t="shared" si="2"/>
        <v>10.130.60.0</v>
      </c>
      <c r="M83" s="9" t="s">
        <v>373</v>
      </c>
      <c r="N83" t="str">
        <f>VLOOKUP(Subnets[[#This Row],[VNETID]],VNETS[#All],7, FALSE)</f>
        <v>mag_dept_managed_services</v>
      </c>
      <c r="O83">
        <f>VLOOKUP(Subnets[[#This Row],[VNETID]], VNETS[#All], 14, FALSE)</f>
        <v>10</v>
      </c>
      <c r="P83">
        <f>VLOOKUP(Subnets[[#This Row],[VNETID]], VNETS[#All], 15, FALSE)</f>
        <v>130</v>
      </c>
      <c r="Q83">
        <v>60</v>
      </c>
      <c r="R83">
        <v>0</v>
      </c>
      <c r="U83" s="53" t="str">
        <f>VLOOKUP(Subnets[[#This Row],[VNETID]],VNETS[#All],11, FALSE)</f>
        <v>SERVICES</v>
      </c>
      <c r="V83" s="53" t="str">
        <f>VLOOKUP(Subnets[[#This Row],[VNETID]],VNETS[#All],2, FALSE)</f>
        <v>sub04</v>
      </c>
    </row>
    <row r="84" spans="1:22" hidden="1" x14ac:dyDescent="0.45">
      <c r="A84" t="s">
        <v>473</v>
      </c>
      <c r="B84">
        <v>699</v>
      </c>
      <c r="C84" t="s">
        <v>312</v>
      </c>
      <c r="D84" t="str">
        <f>I84&amp;"_"&amp;Subnets[[#This Row],[SubNetNumber]]&amp;"_"&amp;Subnets[[#This Row],[Dept. (Computed)]]&amp;"_"&amp;E84&amp;"_"&amp;Subnets[[#This Row],[Location (Computed)]]</f>
        <v>Gateway_699_dept_Srvcs_va</v>
      </c>
      <c r="E84" t="s">
        <v>374</v>
      </c>
      <c r="F84" t="str">
        <f>VLOOKUP(Subnets[[#This Row],[VNETID]],VNETS[#All], 8, FALSE)</f>
        <v>dept</v>
      </c>
      <c r="G84" t="str">
        <f>VLOOKUP(Subnets[[#This Row],[VNETID]],VNETS[#All], 9, FALSE)</f>
        <v>Managed</v>
      </c>
      <c r="H84" t="str">
        <f>VLOOKUP(Subnets[[#This Row],[VNETID]],VNETS[#All],13, FALSE)</f>
        <v>va</v>
      </c>
      <c r="I84" t="s">
        <v>501</v>
      </c>
      <c r="K84" t="s">
        <v>554</v>
      </c>
      <c r="L84" t="str">
        <f t="shared" si="2"/>
        <v>10.130.63.248</v>
      </c>
      <c r="M84" s="9" t="s">
        <v>399</v>
      </c>
      <c r="N84" t="str">
        <f>VLOOKUP(Subnets[[#This Row],[VNETID]],VNETS[#All],7, FALSE)</f>
        <v>mag_dept_managed_services</v>
      </c>
      <c r="O84">
        <f>VLOOKUP(Subnets[[#This Row],[VNETID]], VNETS[#All], 14, FALSE)</f>
        <v>10</v>
      </c>
      <c r="P84">
        <f>VLOOKUP(Subnets[[#This Row],[VNETID]], VNETS[#All], 15, FALSE)</f>
        <v>130</v>
      </c>
      <c r="Q84">
        <v>63</v>
      </c>
      <c r="R84">
        <v>248</v>
      </c>
      <c r="S84" t="str">
        <f>O84&amp;"."&amp;P84&amp;"."&amp;Q84&amp;"."&amp;R84</f>
        <v>10.130.63.248</v>
      </c>
      <c r="T84" s="9" t="s">
        <v>399</v>
      </c>
      <c r="U84" s="53" t="str">
        <f>VLOOKUP(Subnets[[#This Row],[VNETID]],VNETS[#All],11, FALSE)</f>
        <v>SERVICES</v>
      </c>
      <c r="V84" s="53" t="str">
        <f>VLOOKUP(Subnets[[#This Row],[VNETID]],VNETS[#All],2, FALSE)</f>
        <v>sub04</v>
      </c>
    </row>
    <row r="85" spans="1:22" hidden="1" x14ac:dyDescent="0.45">
      <c r="A85" t="s">
        <v>474</v>
      </c>
      <c r="B85">
        <v>600</v>
      </c>
      <c r="C85" t="s">
        <v>317</v>
      </c>
      <c r="D85" t="str">
        <f>I85&amp;"_"&amp;Subnets[[#This Row],[SubNetNumber]]&amp;"_"&amp;Subnets[[#This Row],[Dept. (Computed)]]&amp;"_"&amp;E85&amp;"_"&amp;Subnets[[#This Row],[Location (Computed)]]</f>
        <v>Services_600_dept_Srvcs_ia</v>
      </c>
      <c r="E85" t="s">
        <v>374</v>
      </c>
      <c r="F85" t="str">
        <f>VLOOKUP(Subnets[[#This Row],[VNETID]],VNETS[#All], 8, FALSE)</f>
        <v>dept</v>
      </c>
      <c r="G85" t="str">
        <f>VLOOKUP(Subnets[[#This Row],[VNETID]],VNETS[#All], 9, FALSE)</f>
        <v>Managed</v>
      </c>
      <c r="H85" t="str">
        <f>VLOOKUP(Subnets[[#This Row],[VNETID]],VNETS[#All],13, FALSE)</f>
        <v>ia</v>
      </c>
      <c r="I85" t="s">
        <v>72</v>
      </c>
      <c r="K85" t="s">
        <v>269</v>
      </c>
      <c r="L85" t="str">
        <f t="shared" si="2"/>
        <v>10.130.120.0</v>
      </c>
      <c r="M85" s="9" t="s">
        <v>78</v>
      </c>
      <c r="N85" t="str">
        <f>VLOOKUP(Subnets[[#This Row],[VNETID]],VNETS[#All],7, FALSE)</f>
        <v>mag_dept_managed_services</v>
      </c>
      <c r="O85">
        <f>VLOOKUP(Subnets[[#This Row],[VNETID]], VNETS[#All], 14, FALSE)</f>
        <v>10</v>
      </c>
      <c r="P85">
        <f>VLOOKUP(Subnets[[#This Row],[VNETID]], VNETS[#All], 15, FALSE)</f>
        <v>130</v>
      </c>
      <c r="Q85">
        <v>120</v>
      </c>
      <c r="R85">
        <v>0</v>
      </c>
      <c r="S85" t="str">
        <f>O85&amp;"."&amp;P85&amp;"."&amp;Q85&amp;"."&amp;R85</f>
        <v>10.130.120.0</v>
      </c>
      <c r="T85" s="9" t="s">
        <v>302</v>
      </c>
      <c r="U85" s="53" t="str">
        <f>VLOOKUP(Subnets[[#This Row],[VNETID]],VNETS[#All],11, FALSE)</f>
        <v>SERVICES</v>
      </c>
      <c r="V85" s="53" t="str">
        <f>VLOOKUP(Subnets[[#This Row],[VNETID]],VNETS[#All],2, FALSE)</f>
        <v>sub04</v>
      </c>
    </row>
    <row r="86" spans="1:22" hidden="1" x14ac:dyDescent="0.45">
      <c r="A86" t="s">
        <v>475</v>
      </c>
      <c r="B86">
        <v>650</v>
      </c>
      <c r="C86" t="s">
        <v>317</v>
      </c>
      <c r="D86" t="str">
        <f>I86&amp;"_"&amp;Subnets[[#This Row],[SubNetNumber]]&amp;"_"&amp;Subnets[[#This Row],[Dept. (Computed)]]&amp;"_"&amp;E86&amp;"_"&amp;Subnets[[#This Row],[Location (Computed)]]</f>
        <v>DMZ_650_dept_Srvcs_ia</v>
      </c>
      <c r="E86" t="s">
        <v>374</v>
      </c>
      <c r="F86" t="str">
        <f>VLOOKUP(Subnets[[#This Row],[VNETID]],VNETS[#All], 8, FALSE)</f>
        <v>dept</v>
      </c>
      <c r="G86" t="str">
        <f>VLOOKUP(Subnets[[#This Row],[VNETID]],VNETS[#All], 9, FALSE)</f>
        <v>Managed</v>
      </c>
      <c r="H86" t="str">
        <f>VLOOKUP(Subnets[[#This Row],[VNETID]],VNETS[#All],13, FALSE)</f>
        <v>ia</v>
      </c>
      <c r="I86" t="s">
        <v>76</v>
      </c>
      <c r="K86" t="s">
        <v>270</v>
      </c>
      <c r="L86" t="str">
        <f t="shared" si="2"/>
        <v>10.130.122.0</v>
      </c>
      <c r="M86" s="9" t="s">
        <v>78</v>
      </c>
      <c r="N86" t="str">
        <f>VLOOKUP(Subnets[[#This Row],[VNETID]],VNETS[#All],7, FALSE)</f>
        <v>mag_dept_managed_services</v>
      </c>
      <c r="O86">
        <f>VLOOKUP(Subnets[[#This Row],[VNETID]], VNETS[#All], 14, FALSE)</f>
        <v>10</v>
      </c>
      <c r="P86">
        <f>VLOOKUP(Subnets[[#This Row],[VNETID]], VNETS[#All], 15, FALSE)</f>
        <v>130</v>
      </c>
      <c r="Q86">
        <v>122</v>
      </c>
      <c r="R86">
        <v>0</v>
      </c>
      <c r="U86" s="53" t="str">
        <f>VLOOKUP(Subnets[[#This Row],[VNETID]],VNETS[#All],11, FALSE)</f>
        <v>SERVICES</v>
      </c>
      <c r="V86" s="53" t="str">
        <f>VLOOKUP(Subnets[[#This Row],[VNETID]],VNETS[#All],2, FALSE)</f>
        <v>sub04</v>
      </c>
    </row>
    <row r="87" spans="1:22" hidden="1" x14ac:dyDescent="0.45">
      <c r="A87" t="s">
        <v>1037</v>
      </c>
      <c r="B87" s="53">
        <v>660</v>
      </c>
      <c r="C87" t="s">
        <v>317</v>
      </c>
      <c r="D87" s="53" t="str">
        <f>I87&amp;"_"&amp;Subnets[[#This Row],[SubNetNumber]]&amp;"_"&amp;Subnets[[#This Row],[Dept. (Computed)]]&amp;"_"&amp;E87&amp;"_"&amp;Subnets[[#This Row],[Location (Computed)]]</f>
        <v>User_Tier0_660_dept_Srvcs_ia</v>
      </c>
      <c r="E87" t="s">
        <v>374</v>
      </c>
      <c r="F87" s="53" t="str">
        <f>VLOOKUP(Subnets[[#This Row],[VNETID]],VNETS[#All], 8, FALSE)</f>
        <v>dept</v>
      </c>
      <c r="G87" s="29" t="str">
        <f>VLOOKUP(Subnets[[#This Row],[VNETID]],VNETS[#All], 9, FALSE)</f>
        <v>Managed</v>
      </c>
      <c r="H87" t="str">
        <f>VLOOKUP(Subnets[[#This Row],[VNETID]],VNETS[#All],13, FALSE)</f>
        <v>ia</v>
      </c>
      <c r="I87" t="s">
        <v>993</v>
      </c>
      <c r="J87">
        <v>0</v>
      </c>
      <c r="K87" t="s">
        <v>996</v>
      </c>
      <c r="L87" t="str">
        <f t="shared" si="2"/>
        <v>10.130.123.0</v>
      </c>
      <c r="M87" s="67" t="s">
        <v>390</v>
      </c>
      <c r="N87" t="str">
        <f>VLOOKUP(Subnets[[#This Row],[VNETID]],VNETS[#All],7, FALSE)</f>
        <v>mag_dept_managed_services</v>
      </c>
      <c r="O87">
        <f>VLOOKUP(Subnets[[#This Row],[VNETID]], VNETS[#All], 14, FALSE)</f>
        <v>10</v>
      </c>
      <c r="P87">
        <f>VLOOKUP(Subnets[[#This Row],[VNETID]], VNETS[#All], 15, FALSE)</f>
        <v>130</v>
      </c>
      <c r="Q87" s="53">
        <v>123</v>
      </c>
      <c r="R87" s="53">
        <v>0</v>
      </c>
      <c r="S87" s="53"/>
      <c r="T87" s="67"/>
      <c r="U87" s="53" t="str">
        <f>VLOOKUP(Subnets[[#This Row],[VNETID]],VNETS[#All],11, FALSE)</f>
        <v>SERVICES</v>
      </c>
      <c r="V87" s="53" t="str">
        <f>VLOOKUP(Subnets[[#This Row],[VNETID]],VNETS[#All],2, FALSE)</f>
        <v>sub04</v>
      </c>
    </row>
    <row r="88" spans="1:22" hidden="1" x14ac:dyDescent="0.45">
      <c r="A88" t="s">
        <v>1038</v>
      </c>
      <c r="B88" s="53">
        <v>661</v>
      </c>
      <c r="C88" t="s">
        <v>317</v>
      </c>
      <c r="D88" s="53" t="str">
        <f>I88&amp;"_"&amp;Subnets[[#This Row],[SubNetNumber]]&amp;"_"&amp;Subnets[[#This Row],[Dept. (Computed)]]&amp;"_"&amp;E88&amp;"_"&amp;Subnets[[#This Row],[Location (Computed)]]</f>
        <v>Users_Tier1_661_dept_Srvcs_ia</v>
      </c>
      <c r="E88" t="s">
        <v>374</v>
      </c>
      <c r="F88" s="53" t="str">
        <f>VLOOKUP(Subnets[[#This Row],[VNETID]],VNETS[#All], 8, FALSE)</f>
        <v>dept</v>
      </c>
      <c r="G88" s="29" t="str">
        <f>VLOOKUP(Subnets[[#This Row],[VNETID]],VNETS[#All], 9, FALSE)</f>
        <v>Managed</v>
      </c>
      <c r="H88" t="str">
        <f>VLOOKUP(Subnets[[#This Row],[VNETID]],VNETS[#All],13, FALSE)</f>
        <v>ia</v>
      </c>
      <c r="I88" t="s">
        <v>991</v>
      </c>
      <c r="J88">
        <v>1</v>
      </c>
      <c r="K88" t="s">
        <v>994</v>
      </c>
      <c r="L88" t="str">
        <f t="shared" si="2"/>
        <v>10.130.123.128</v>
      </c>
      <c r="M88" s="67" t="s">
        <v>390</v>
      </c>
      <c r="N88" t="str">
        <f>VLOOKUP(Subnets[[#This Row],[VNETID]],VNETS[#All],7, FALSE)</f>
        <v>mag_dept_managed_services</v>
      </c>
      <c r="O88">
        <f>VLOOKUP(Subnets[[#This Row],[VNETID]], VNETS[#All], 14, FALSE)</f>
        <v>10</v>
      </c>
      <c r="P88">
        <f>VLOOKUP(Subnets[[#This Row],[VNETID]], VNETS[#All], 15, FALSE)</f>
        <v>130</v>
      </c>
      <c r="Q88" s="53">
        <v>123</v>
      </c>
      <c r="R88" s="53">
        <v>128</v>
      </c>
      <c r="S88" s="53"/>
      <c r="T88" s="67"/>
      <c r="U88" s="53" t="str">
        <f>VLOOKUP(Subnets[[#This Row],[VNETID]],VNETS[#All],11, FALSE)</f>
        <v>SERVICES</v>
      </c>
      <c r="V88" s="53" t="str">
        <f>VLOOKUP(Subnets[[#This Row],[VNETID]],VNETS[#All],2, FALSE)</f>
        <v>sub04</v>
      </c>
    </row>
    <row r="89" spans="1:22" hidden="1" x14ac:dyDescent="0.45">
      <c r="A89" t="s">
        <v>476</v>
      </c>
      <c r="B89">
        <v>670</v>
      </c>
      <c r="C89" t="s">
        <v>317</v>
      </c>
      <c r="D89" t="str">
        <f>I89&amp;"_"&amp;Subnets[[#This Row],[SubNetNumber]]&amp;"_"&amp;Subnets[[#This Row],[Dept. (Computed)]]&amp;"_"&amp;E89&amp;"_"&amp;Subnets[[#This Row],[Location (Computed)]]</f>
        <v>Future_670_dept_Srvcs_ia</v>
      </c>
      <c r="E89" t="s">
        <v>374</v>
      </c>
      <c r="F89" t="str">
        <f>VLOOKUP(Subnets[[#This Row],[VNETID]],VNETS[#All], 8, FALSE)</f>
        <v>dept</v>
      </c>
      <c r="G89" t="str">
        <f>VLOOKUP(Subnets[[#This Row],[VNETID]],VNETS[#All], 9, FALSE)</f>
        <v>Managed</v>
      </c>
      <c r="H89" t="str">
        <f>VLOOKUP(Subnets[[#This Row],[VNETID]],VNETS[#All],13, FALSE)</f>
        <v>ia</v>
      </c>
      <c r="I89" t="s">
        <v>300</v>
      </c>
      <c r="K89" t="s">
        <v>301</v>
      </c>
      <c r="L89" t="str">
        <f t="shared" si="2"/>
        <v>10.130.124.0</v>
      </c>
      <c r="M89" s="9" t="s">
        <v>373</v>
      </c>
      <c r="N89" t="str">
        <f>VLOOKUP(Subnets[[#This Row],[VNETID]],VNETS[#All],7, FALSE)</f>
        <v>mag_dept_managed_services</v>
      </c>
      <c r="O89">
        <f>VLOOKUP(Subnets[[#This Row],[VNETID]], VNETS[#All], 14, FALSE)</f>
        <v>10</v>
      </c>
      <c r="P89">
        <f>VLOOKUP(Subnets[[#This Row],[VNETID]], VNETS[#All], 15, FALSE)</f>
        <v>130</v>
      </c>
      <c r="Q89">
        <v>124</v>
      </c>
      <c r="R89">
        <v>0</v>
      </c>
      <c r="U89" s="53" t="str">
        <f>VLOOKUP(Subnets[[#This Row],[VNETID]],VNETS[#All],11, FALSE)</f>
        <v>SERVICES</v>
      </c>
      <c r="V89" s="53" t="str">
        <f>VLOOKUP(Subnets[[#This Row],[VNETID]],VNETS[#All],2, FALSE)</f>
        <v>sub04</v>
      </c>
    </row>
    <row r="90" spans="1:22" hidden="1" x14ac:dyDescent="0.45">
      <c r="A90" t="s">
        <v>477</v>
      </c>
      <c r="B90">
        <v>699</v>
      </c>
      <c r="C90" t="s">
        <v>317</v>
      </c>
      <c r="D90" t="str">
        <f>I90&amp;"_"&amp;Subnets[[#This Row],[SubNetNumber]]&amp;"_"&amp;Subnets[[#This Row],[Dept. (Computed)]]&amp;"_"&amp;E90&amp;"_"&amp;Subnets[[#This Row],[Location (Computed)]]</f>
        <v>Gateway_699_dept_Srvcs_ia</v>
      </c>
      <c r="E90" t="s">
        <v>374</v>
      </c>
      <c r="F90" t="str">
        <f>VLOOKUP(Subnets[[#This Row],[VNETID]],VNETS[#All], 8, FALSE)</f>
        <v>dept</v>
      </c>
      <c r="G90" t="str">
        <f>VLOOKUP(Subnets[[#This Row],[VNETID]],VNETS[#All], 9, FALSE)</f>
        <v>Managed</v>
      </c>
      <c r="H90" t="str">
        <f>VLOOKUP(Subnets[[#This Row],[VNETID]],VNETS[#All],13, FALSE)</f>
        <v>ia</v>
      </c>
      <c r="I90" t="s">
        <v>501</v>
      </c>
      <c r="K90" t="s">
        <v>554</v>
      </c>
      <c r="L90" t="str">
        <f t="shared" si="2"/>
        <v>10.130.127.248</v>
      </c>
      <c r="M90" s="9" t="s">
        <v>399</v>
      </c>
      <c r="N90" t="str">
        <f>VLOOKUP(Subnets[[#This Row],[VNETID]],VNETS[#All],7, FALSE)</f>
        <v>mag_dept_managed_services</v>
      </c>
      <c r="O90">
        <f>VLOOKUP(Subnets[[#This Row],[VNETID]], VNETS[#All], 14, FALSE)</f>
        <v>10</v>
      </c>
      <c r="P90">
        <f>VLOOKUP(Subnets[[#This Row],[VNETID]], VNETS[#All], 15, FALSE)</f>
        <v>130</v>
      </c>
      <c r="Q90">
        <v>127</v>
      </c>
      <c r="R90">
        <v>248</v>
      </c>
      <c r="S90" t="str">
        <f>O90&amp;"."&amp;P90&amp;"."&amp;Q90&amp;"."&amp;R90</f>
        <v>10.130.127.248</v>
      </c>
      <c r="T90" s="9" t="s">
        <v>399</v>
      </c>
      <c r="U90" s="53" t="str">
        <f>VLOOKUP(Subnets[[#This Row],[VNETID]],VNETS[#All],11, FALSE)</f>
        <v>SERVICES</v>
      </c>
      <c r="V90" s="53" t="str">
        <f>VLOOKUP(Subnets[[#This Row],[VNETID]],VNETS[#All],2, FALSE)</f>
        <v>sub04</v>
      </c>
    </row>
    <row r="91" spans="1:22" hidden="1" x14ac:dyDescent="0.45">
      <c r="A91" t="s">
        <v>478</v>
      </c>
      <c r="B91">
        <v>500</v>
      </c>
      <c r="C91" t="s">
        <v>313</v>
      </c>
      <c r="D91" t="str">
        <f>I91&amp;"_"&amp;Subnets[[#This Row],[SubNetNumber]]&amp;"_"&amp;Subnets[[#This Row],[Dept. (Computed)]]&amp;"_"&amp;E91&amp;"_"&amp;Subnets[[#This Row],[Location (Computed)]]</f>
        <v>Storage_500_dept_Storage_va</v>
      </c>
      <c r="E91" t="s">
        <v>211</v>
      </c>
      <c r="F91" t="str">
        <f>VLOOKUP(Subnets[[#This Row],[VNETID]],VNETS[#All], 8, FALSE)</f>
        <v>dept</v>
      </c>
      <c r="G91" t="str">
        <f>VLOOKUP(Subnets[[#This Row],[VNETID]],VNETS[#All], 9, FALSE)</f>
        <v>Managed</v>
      </c>
      <c r="H91" t="str">
        <f>VLOOKUP(Subnets[[#This Row],[VNETID]],VNETS[#All],13, FALSE)</f>
        <v>va</v>
      </c>
      <c r="I91" t="s">
        <v>211</v>
      </c>
      <c r="K91" t="s">
        <v>490</v>
      </c>
      <c r="L91" t="str">
        <f t="shared" si="2"/>
        <v>10.130.48.0</v>
      </c>
      <c r="M91" s="9" t="s">
        <v>78</v>
      </c>
      <c r="N91" t="str">
        <f>VLOOKUP(Subnets[[#This Row],[VNETID]],VNETS[#All],7, FALSE)</f>
        <v>mag_dept_managed_storage</v>
      </c>
      <c r="O91">
        <f>VLOOKUP(Subnets[[#This Row],[VNETID]], VNETS[#All], 14, FALSE)</f>
        <v>10</v>
      </c>
      <c r="P91">
        <f>VLOOKUP(Subnets[[#This Row],[VNETID]], VNETS[#All], 15, FALSE)</f>
        <v>130</v>
      </c>
      <c r="Q91">
        <v>48</v>
      </c>
      <c r="R91">
        <v>0</v>
      </c>
      <c r="S91" t="str">
        <f>O91&amp;"."&amp;P91&amp;"."&amp;Q91&amp;"."&amp;R91</f>
        <v>10.130.48.0</v>
      </c>
      <c r="T91" s="9" t="s">
        <v>302</v>
      </c>
      <c r="U91" s="53" t="str">
        <f>VLOOKUP(Subnets[[#This Row],[VNETID]],VNETS[#All],11, FALSE)</f>
        <v>STORAGE</v>
      </c>
      <c r="V91" s="53" t="str">
        <f>VLOOKUP(Subnets[[#This Row],[VNETID]],VNETS[#All],2, FALSE)</f>
        <v>sub05</v>
      </c>
    </row>
    <row r="92" spans="1:22" hidden="1" x14ac:dyDescent="0.45">
      <c r="A92" t="s">
        <v>1039</v>
      </c>
      <c r="B92" s="53">
        <v>560</v>
      </c>
      <c r="C92" t="s">
        <v>313</v>
      </c>
      <c r="D92" s="53" t="str">
        <f>I92&amp;"_"&amp;Subnets[[#This Row],[SubNetNumber]]&amp;"_"&amp;Subnets[[#This Row],[Dept. (Computed)]]&amp;"_"&amp;E92&amp;"_"&amp;Subnets[[#This Row],[Location (Computed)]]</f>
        <v>User_Tier0_560_dept_Storage_va</v>
      </c>
      <c r="E92" t="s">
        <v>211</v>
      </c>
      <c r="F92" s="53" t="str">
        <f>VLOOKUP(Subnets[[#This Row],[VNETID]],VNETS[#All], 8, FALSE)</f>
        <v>dept</v>
      </c>
      <c r="G92" s="29" t="str">
        <f>VLOOKUP(Subnets[[#This Row],[VNETID]],VNETS[#All], 9, FALSE)</f>
        <v>Managed</v>
      </c>
      <c r="H92" t="str">
        <f>VLOOKUP(Subnets[[#This Row],[VNETID]],VNETS[#All],13, FALSE)</f>
        <v>va</v>
      </c>
      <c r="I92" t="s">
        <v>993</v>
      </c>
      <c r="K92" t="s">
        <v>996</v>
      </c>
      <c r="L92" t="str">
        <f t="shared" si="2"/>
        <v>10.130.49.0</v>
      </c>
      <c r="M92" s="67" t="s">
        <v>390</v>
      </c>
      <c r="N92" t="str">
        <f>VLOOKUP(Subnets[[#This Row],[VNETID]],VNETS[#All],7, FALSE)</f>
        <v>mag_dept_managed_storage</v>
      </c>
      <c r="O92">
        <f>VLOOKUP(Subnets[[#This Row],[VNETID]], VNETS[#All], 14, FALSE)</f>
        <v>10</v>
      </c>
      <c r="P92">
        <f>VLOOKUP(Subnets[[#This Row],[VNETID]], VNETS[#All], 15, FALSE)</f>
        <v>130</v>
      </c>
      <c r="Q92" s="53">
        <v>49</v>
      </c>
      <c r="R92" s="53">
        <v>0</v>
      </c>
      <c r="S92" s="53"/>
      <c r="T92" s="67"/>
      <c r="U92" s="53" t="str">
        <f>VLOOKUP(Subnets[[#This Row],[VNETID]],VNETS[#All],11, FALSE)</f>
        <v>STORAGE</v>
      </c>
      <c r="V92" s="53" t="str">
        <f>VLOOKUP(Subnets[[#This Row],[VNETID]],VNETS[#All],2, FALSE)</f>
        <v>sub05</v>
      </c>
    </row>
    <row r="93" spans="1:22" hidden="1" x14ac:dyDescent="0.45">
      <c r="A93" t="s">
        <v>1040</v>
      </c>
      <c r="B93" s="53">
        <v>561</v>
      </c>
      <c r="C93" t="s">
        <v>313</v>
      </c>
      <c r="D93" s="53" t="str">
        <f>I93&amp;"_"&amp;Subnets[[#This Row],[SubNetNumber]]&amp;"_"&amp;Subnets[[#This Row],[Dept. (Computed)]]&amp;"_"&amp;E93&amp;"_"&amp;Subnets[[#This Row],[Location (Computed)]]</f>
        <v>Users_Tier1_561_dept_Storage_va</v>
      </c>
      <c r="E93" t="s">
        <v>211</v>
      </c>
      <c r="F93" s="53" t="str">
        <f>VLOOKUP(Subnets[[#This Row],[VNETID]],VNETS[#All], 8, FALSE)</f>
        <v>dept</v>
      </c>
      <c r="G93" s="29" t="str">
        <f>VLOOKUP(Subnets[[#This Row],[VNETID]],VNETS[#All], 9, FALSE)</f>
        <v>Managed</v>
      </c>
      <c r="H93" t="str">
        <f>VLOOKUP(Subnets[[#This Row],[VNETID]],VNETS[#All],13, FALSE)</f>
        <v>va</v>
      </c>
      <c r="I93" t="s">
        <v>991</v>
      </c>
      <c r="K93" t="s">
        <v>994</v>
      </c>
      <c r="L93" t="str">
        <f t="shared" si="2"/>
        <v>10.130.49.128</v>
      </c>
      <c r="M93" s="67" t="s">
        <v>390</v>
      </c>
      <c r="N93" t="str">
        <f>VLOOKUP(Subnets[[#This Row],[VNETID]],VNETS[#All],7, FALSE)</f>
        <v>mag_dept_managed_storage</v>
      </c>
      <c r="O93">
        <f>VLOOKUP(Subnets[[#This Row],[VNETID]], VNETS[#All], 14, FALSE)</f>
        <v>10</v>
      </c>
      <c r="P93">
        <f>VLOOKUP(Subnets[[#This Row],[VNETID]], VNETS[#All], 15, FALSE)</f>
        <v>130</v>
      </c>
      <c r="Q93" s="53">
        <v>49</v>
      </c>
      <c r="R93" s="53">
        <v>128</v>
      </c>
      <c r="S93" s="53"/>
      <c r="T93" s="67"/>
      <c r="U93" s="53" t="str">
        <f>VLOOKUP(Subnets[[#This Row],[VNETID]],VNETS[#All],11, FALSE)</f>
        <v>STORAGE</v>
      </c>
      <c r="V93" s="53" t="str">
        <f>VLOOKUP(Subnets[[#This Row],[VNETID]],VNETS[#All],2, FALSE)</f>
        <v>sub05</v>
      </c>
    </row>
    <row r="94" spans="1:22" hidden="1" x14ac:dyDescent="0.45">
      <c r="A94" t="s">
        <v>479</v>
      </c>
      <c r="B94">
        <v>570</v>
      </c>
      <c r="C94" t="s">
        <v>313</v>
      </c>
      <c r="D94" t="str">
        <f>I94&amp;"_"&amp;Subnets[[#This Row],[SubNetNumber]]&amp;"_"&amp;Subnets[[#This Row],[Dept. (Computed)]]&amp;"_"&amp;E94&amp;"_"&amp;Subnets[[#This Row],[Location (Computed)]]</f>
        <v>Future_570_dept_Storage_va</v>
      </c>
      <c r="E94" t="s">
        <v>211</v>
      </c>
      <c r="F94" t="str">
        <f>VLOOKUP(Subnets[[#This Row],[VNETID]],VNETS[#All], 8, FALSE)</f>
        <v>dept</v>
      </c>
      <c r="G94" t="str">
        <f>VLOOKUP(Subnets[[#This Row],[VNETID]],VNETS[#All], 9, FALSE)</f>
        <v>Managed</v>
      </c>
      <c r="H94" t="str">
        <f>VLOOKUP(Subnets[[#This Row],[VNETID]],VNETS[#All],13, FALSE)</f>
        <v>va</v>
      </c>
      <c r="I94" t="s">
        <v>300</v>
      </c>
      <c r="K94" t="s">
        <v>301</v>
      </c>
      <c r="L94" t="str">
        <f t="shared" si="2"/>
        <v>10.130.50.0</v>
      </c>
      <c r="M94" s="9" t="s">
        <v>489</v>
      </c>
      <c r="N94" t="str">
        <f>VLOOKUP(Subnets[[#This Row],[VNETID]],VNETS[#All],7, FALSE)</f>
        <v>mag_dept_managed_storage</v>
      </c>
      <c r="O94">
        <f>VLOOKUP(Subnets[[#This Row],[VNETID]], VNETS[#All], 14, FALSE)</f>
        <v>10</v>
      </c>
      <c r="P94">
        <f>VLOOKUP(Subnets[[#This Row],[VNETID]], VNETS[#All], 15, FALSE)</f>
        <v>130</v>
      </c>
      <c r="Q94">
        <v>50</v>
      </c>
      <c r="R94">
        <v>0</v>
      </c>
      <c r="U94" s="53" t="str">
        <f>VLOOKUP(Subnets[[#This Row],[VNETID]],VNETS[#All],11, FALSE)</f>
        <v>STORAGE</v>
      </c>
      <c r="V94" s="53" t="str">
        <f>VLOOKUP(Subnets[[#This Row],[VNETID]],VNETS[#All],2, FALSE)</f>
        <v>sub05</v>
      </c>
    </row>
    <row r="95" spans="1:22" hidden="1" x14ac:dyDescent="0.45">
      <c r="A95" t="s">
        <v>480</v>
      </c>
      <c r="B95">
        <v>570</v>
      </c>
      <c r="C95" t="s">
        <v>313</v>
      </c>
      <c r="D95" t="str">
        <f>I95&amp;"_"&amp;Subnets[[#This Row],[SubNetNumber]]&amp;"_"&amp;Subnets[[#This Row],[Dept. (Computed)]]&amp;"_"&amp;E95&amp;"_"&amp;Subnets[[#This Row],[Location (Computed)]]</f>
        <v>Future_570_dept_Storage_va</v>
      </c>
      <c r="E95" t="s">
        <v>211</v>
      </c>
      <c r="F95" t="str">
        <f>VLOOKUP(Subnets[[#This Row],[VNETID]],VNETS[#All], 8, FALSE)</f>
        <v>dept</v>
      </c>
      <c r="G95" t="str">
        <f>VLOOKUP(Subnets[[#This Row],[VNETID]],VNETS[#All], 9, FALSE)</f>
        <v>Managed</v>
      </c>
      <c r="H95" t="str">
        <f>VLOOKUP(Subnets[[#This Row],[VNETID]],VNETS[#All],13, FALSE)</f>
        <v>va</v>
      </c>
      <c r="I95" t="s">
        <v>300</v>
      </c>
      <c r="K95" t="s">
        <v>301</v>
      </c>
      <c r="L95" t="str">
        <f t="shared" si="2"/>
        <v>10.130.52.0</v>
      </c>
      <c r="M95" s="9" t="s">
        <v>489</v>
      </c>
      <c r="N95" t="str">
        <f>VLOOKUP(Subnets[[#This Row],[VNETID]],VNETS[#All],7, FALSE)</f>
        <v>mag_dept_managed_storage</v>
      </c>
      <c r="O95">
        <f>VLOOKUP(Subnets[[#This Row],[VNETID]], VNETS[#All], 14, FALSE)</f>
        <v>10</v>
      </c>
      <c r="P95">
        <f>VLOOKUP(Subnets[[#This Row],[VNETID]], VNETS[#All], 15, FALSE)</f>
        <v>130</v>
      </c>
      <c r="Q95">
        <v>52</v>
      </c>
      <c r="R95">
        <v>0</v>
      </c>
      <c r="U95" s="53" t="str">
        <f>VLOOKUP(Subnets[[#This Row],[VNETID]],VNETS[#All],11, FALSE)</f>
        <v>STORAGE</v>
      </c>
      <c r="V95" s="53" t="str">
        <f>VLOOKUP(Subnets[[#This Row],[VNETID]],VNETS[#All],2, FALSE)</f>
        <v>sub05</v>
      </c>
    </row>
    <row r="96" spans="1:22" hidden="1" x14ac:dyDescent="0.45">
      <c r="A96" t="s">
        <v>481</v>
      </c>
      <c r="B96">
        <v>570</v>
      </c>
      <c r="C96" t="s">
        <v>313</v>
      </c>
      <c r="D96" t="str">
        <f>I96&amp;"_"&amp;Subnets[[#This Row],[SubNetNumber]]&amp;"_"&amp;Subnets[[#This Row],[Dept. (Computed)]]&amp;"_"&amp;E96&amp;"_"&amp;Subnets[[#This Row],[Location (Computed)]]</f>
        <v>Future_570_dept_Storage_va</v>
      </c>
      <c r="E96" t="s">
        <v>211</v>
      </c>
      <c r="F96" t="str">
        <f>VLOOKUP(Subnets[[#This Row],[VNETID]],VNETS[#All], 8, FALSE)</f>
        <v>dept</v>
      </c>
      <c r="G96" t="str">
        <f>VLOOKUP(Subnets[[#This Row],[VNETID]],VNETS[#All], 9, FALSE)</f>
        <v>Managed</v>
      </c>
      <c r="H96" t="str">
        <f>VLOOKUP(Subnets[[#This Row],[VNETID]],VNETS[#All],13, FALSE)</f>
        <v>va</v>
      </c>
      <c r="I96" t="s">
        <v>300</v>
      </c>
      <c r="K96" t="s">
        <v>301</v>
      </c>
      <c r="L96" t="str">
        <f t="shared" si="2"/>
        <v>10.130.54.0</v>
      </c>
      <c r="M96" s="9" t="s">
        <v>78</v>
      </c>
      <c r="N96" t="str">
        <f>VLOOKUP(Subnets[[#This Row],[VNETID]],VNETS[#All],7, FALSE)</f>
        <v>mag_dept_managed_storage</v>
      </c>
      <c r="O96">
        <f>VLOOKUP(Subnets[[#This Row],[VNETID]], VNETS[#All], 14, FALSE)</f>
        <v>10</v>
      </c>
      <c r="P96">
        <f>VLOOKUP(Subnets[[#This Row],[VNETID]], VNETS[#All], 15, FALSE)</f>
        <v>130</v>
      </c>
      <c r="Q96">
        <v>54</v>
      </c>
      <c r="R96">
        <v>0</v>
      </c>
      <c r="U96" s="53" t="str">
        <f>VLOOKUP(Subnets[[#This Row],[VNETID]],VNETS[#All],11, FALSE)</f>
        <v>STORAGE</v>
      </c>
      <c r="V96" s="53" t="str">
        <f>VLOOKUP(Subnets[[#This Row],[VNETID]],VNETS[#All],2, FALSE)</f>
        <v>sub05</v>
      </c>
    </row>
    <row r="97" spans="1:22" hidden="1" x14ac:dyDescent="0.45">
      <c r="A97" t="s">
        <v>482</v>
      </c>
      <c r="B97">
        <v>599</v>
      </c>
      <c r="C97" t="s">
        <v>313</v>
      </c>
      <c r="D97" t="str">
        <f>I97&amp;"_"&amp;Subnets[[#This Row],[SubNetNumber]]&amp;"_"&amp;Subnets[[#This Row],[Dept. (Computed)]]&amp;"_"&amp;E97&amp;"_"&amp;Subnets[[#This Row],[Location (Computed)]]</f>
        <v>Gateway_599_dept_Storage_va</v>
      </c>
      <c r="E97" t="s">
        <v>211</v>
      </c>
      <c r="F97" t="str">
        <f>VLOOKUP(Subnets[[#This Row],[VNETID]],VNETS[#All], 8, FALSE)</f>
        <v>dept</v>
      </c>
      <c r="G97" t="str">
        <f>VLOOKUP(Subnets[[#This Row],[VNETID]],VNETS[#All], 9, FALSE)</f>
        <v>Managed</v>
      </c>
      <c r="H97" t="str">
        <f>VLOOKUP(Subnets[[#This Row],[VNETID]],VNETS[#All],13, FALSE)</f>
        <v>va</v>
      </c>
      <c r="I97" t="s">
        <v>501</v>
      </c>
      <c r="K97" t="s">
        <v>554</v>
      </c>
      <c r="L97" t="str">
        <f t="shared" si="2"/>
        <v>10.130.55.248</v>
      </c>
      <c r="M97" s="9" t="s">
        <v>399</v>
      </c>
      <c r="N97" t="str">
        <f>VLOOKUP(Subnets[[#This Row],[VNETID]],VNETS[#All],7, FALSE)</f>
        <v>mag_dept_managed_storage</v>
      </c>
      <c r="O97">
        <f>VLOOKUP(Subnets[[#This Row],[VNETID]], VNETS[#All], 14, FALSE)</f>
        <v>10</v>
      </c>
      <c r="P97">
        <f>VLOOKUP(Subnets[[#This Row],[VNETID]], VNETS[#All], 15, FALSE)</f>
        <v>130</v>
      </c>
      <c r="Q97">
        <v>55</v>
      </c>
      <c r="R97">
        <v>248</v>
      </c>
      <c r="S97" t="str">
        <f>O97&amp;"."&amp;P97&amp;"."&amp;Q97&amp;"."&amp;R97</f>
        <v>10.130.55.248</v>
      </c>
      <c r="T97" s="9" t="s">
        <v>399</v>
      </c>
      <c r="U97" s="53" t="str">
        <f>VLOOKUP(Subnets[[#This Row],[VNETID]],VNETS[#All],11, FALSE)</f>
        <v>STORAGE</v>
      </c>
      <c r="V97" s="53" t="str">
        <f>VLOOKUP(Subnets[[#This Row],[VNETID]],VNETS[#All],2, FALSE)</f>
        <v>sub05</v>
      </c>
    </row>
    <row r="98" spans="1:22" hidden="1" x14ac:dyDescent="0.45">
      <c r="A98" t="s">
        <v>483</v>
      </c>
      <c r="B98">
        <v>500</v>
      </c>
      <c r="C98" t="s">
        <v>318</v>
      </c>
      <c r="D98" t="str">
        <f>I98&amp;"_"&amp;Subnets[[#This Row],[SubNetNumber]]&amp;"_"&amp;Subnets[[#This Row],[Dept. (Computed)]]&amp;"_"&amp;E98&amp;"_"&amp;Subnets[[#This Row],[Location (Computed)]]</f>
        <v>Storage_500_dept_Storage_ia</v>
      </c>
      <c r="E98" t="s">
        <v>211</v>
      </c>
      <c r="F98" t="str">
        <f>VLOOKUP(Subnets[[#This Row],[VNETID]],VNETS[#All], 8, FALSE)</f>
        <v>dept</v>
      </c>
      <c r="G98" t="str">
        <f>VLOOKUP(Subnets[[#This Row],[VNETID]],VNETS[#All], 9, FALSE)</f>
        <v>Managed</v>
      </c>
      <c r="H98" t="str">
        <f>VLOOKUP(Subnets[[#This Row],[VNETID]],VNETS[#All],13, FALSE)</f>
        <v>ia</v>
      </c>
      <c r="I98" t="s">
        <v>211</v>
      </c>
      <c r="K98" t="s">
        <v>301</v>
      </c>
      <c r="L98" t="str">
        <f t="shared" si="2"/>
        <v>10.130.112.0</v>
      </c>
      <c r="M98" s="9" t="s">
        <v>78</v>
      </c>
      <c r="N98" t="str">
        <f>VLOOKUP(Subnets[[#This Row],[VNETID]],VNETS[#All],7, FALSE)</f>
        <v>mag_dept_managed_storage</v>
      </c>
      <c r="O98">
        <f>VLOOKUP(Subnets[[#This Row],[VNETID]], VNETS[#All], 14, FALSE)</f>
        <v>10</v>
      </c>
      <c r="P98">
        <f>VLOOKUP(Subnets[[#This Row],[VNETID]], VNETS[#All], 15, FALSE)</f>
        <v>130</v>
      </c>
      <c r="Q98">
        <v>112</v>
      </c>
      <c r="R98">
        <v>0</v>
      </c>
      <c r="S98" t="str">
        <f>O98&amp;"."&amp;P98&amp;"."&amp;Q98&amp;"."&amp;R98</f>
        <v>10.130.112.0</v>
      </c>
      <c r="T98" s="9" t="s">
        <v>302</v>
      </c>
      <c r="U98" s="53" t="str">
        <f>VLOOKUP(Subnets[[#This Row],[VNETID]],VNETS[#All],11, FALSE)</f>
        <v>STORAGE</v>
      </c>
      <c r="V98" s="53" t="str">
        <f>VLOOKUP(Subnets[[#This Row],[VNETID]],VNETS[#All],2, FALSE)</f>
        <v>sub05</v>
      </c>
    </row>
    <row r="99" spans="1:22" hidden="1" x14ac:dyDescent="0.45">
      <c r="A99" t="s">
        <v>1041</v>
      </c>
      <c r="B99" s="53">
        <v>560</v>
      </c>
      <c r="C99" t="s">
        <v>318</v>
      </c>
      <c r="D99" s="53" t="str">
        <f>I99&amp;"_"&amp;Subnets[[#This Row],[SubNetNumber]]&amp;"_"&amp;Subnets[[#This Row],[Dept. (Computed)]]&amp;"_"&amp;E99&amp;"_"&amp;Subnets[[#This Row],[Location (Computed)]]</f>
        <v>User_Tier0_560_dept_Storage_ia</v>
      </c>
      <c r="E99" t="s">
        <v>211</v>
      </c>
      <c r="F99" s="53" t="str">
        <f>VLOOKUP(Subnets[[#This Row],[VNETID]],VNETS[#All], 8, FALSE)</f>
        <v>dept</v>
      </c>
      <c r="G99" s="29" t="str">
        <f>VLOOKUP(Subnets[[#This Row],[VNETID]],VNETS[#All], 9, FALSE)</f>
        <v>Managed</v>
      </c>
      <c r="H99" t="str">
        <f>VLOOKUP(Subnets[[#This Row],[VNETID]],VNETS[#All],13, FALSE)</f>
        <v>ia</v>
      </c>
      <c r="I99" t="s">
        <v>993</v>
      </c>
      <c r="K99" t="s">
        <v>996</v>
      </c>
      <c r="L99" t="str">
        <f t="shared" ref="L99:L100" si="4">O99&amp;"."&amp;P99&amp;"."&amp;Q99&amp;"."&amp;R99</f>
        <v>10.130.113.0</v>
      </c>
      <c r="M99" s="67" t="s">
        <v>390</v>
      </c>
      <c r="N99" t="str">
        <f>VLOOKUP(Subnets[[#This Row],[VNETID]],VNETS[#All],7, FALSE)</f>
        <v>mag_dept_managed_storage</v>
      </c>
      <c r="O99">
        <f>VLOOKUP(Subnets[[#This Row],[VNETID]], VNETS[#All], 14, FALSE)</f>
        <v>10</v>
      </c>
      <c r="P99">
        <f>VLOOKUP(Subnets[[#This Row],[VNETID]], VNETS[#All], 15, FALSE)</f>
        <v>130</v>
      </c>
      <c r="Q99" s="53">
        <v>113</v>
      </c>
      <c r="R99" s="53">
        <v>0</v>
      </c>
      <c r="S99" s="53"/>
      <c r="T99" s="67"/>
      <c r="U99" s="53" t="str">
        <f>VLOOKUP(Subnets[[#This Row],[VNETID]],VNETS[#All],11, FALSE)</f>
        <v>STORAGE</v>
      </c>
      <c r="V99" s="53" t="str">
        <f>VLOOKUP(Subnets[[#This Row],[VNETID]],VNETS[#All],2, FALSE)</f>
        <v>sub05</v>
      </c>
    </row>
    <row r="100" spans="1:22" hidden="1" x14ac:dyDescent="0.45">
      <c r="A100" t="s">
        <v>1042</v>
      </c>
      <c r="B100" s="53">
        <v>561</v>
      </c>
      <c r="C100" t="s">
        <v>318</v>
      </c>
      <c r="D100" s="53" t="str">
        <f>I100&amp;"_"&amp;Subnets[[#This Row],[SubNetNumber]]&amp;"_"&amp;Subnets[[#This Row],[Dept. (Computed)]]&amp;"_"&amp;E100&amp;"_"&amp;Subnets[[#This Row],[Location (Computed)]]</f>
        <v>Users_Tier1_561_dept_Storage_ia</v>
      </c>
      <c r="E100" t="s">
        <v>211</v>
      </c>
      <c r="F100" s="53" t="str">
        <f>VLOOKUP(Subnets[[#This Row],[VNETID]],VNETS[#All], 8, FALSE)</f>
        <v>dept</v>
      </c>
      <c r="G100" s="29" t="str">
        <f>VLOOKUP(Subnets[[#This Row],[VNETID]],VNETS[#All], 9, FALSE)</f>
        <v>Managed</v>
      </c>
      <c r="H100" t="str">
        <f>VLOOKUP(Subnets[[#This Row],[VNETID]],VNETS[#All],13, FALSE)</f>
        <v>ia</v>
      </c>
      <c r="I100" t="s">
        <v>991</v>
      </c>
      <c r="K100" t="s">
        <v>994</v>
      </c>
      <c r="L100" t="str">
        <f t="shared" si="4"/>
        <v>10.130.113.128</v>
      </c>
      <c r="M100" s="67" t="s">
        <v>390</v>
      </c>
      <c r="N100" t="str">
        <f>VLOOKUP(Subnets[[#This Row],[VNETID]],VNETS[#All],7, FALSE)</f>
        <v>mag_dept_managed_storage</v>
      </c>
      <c r="O100">
        <f>VLOOKUP(Subnets[[#This Row],[VNETID]], VNETS[#All], 14, FALSE)</f>
        <v>10</v>
      </c>
      <c r="P100">
        <f>VLOOKUP(Subnets[[#This Row],[VNETID]], VNETS[#All], 15, FALSE)</f>
        <v>130</v>
      </c>
      <c r="Q100" s="53">
        <v>113</v>
      </c>
      <c r="R100" s="53">
        <v>128</v>
      </c>
      <c r="S100" s="53"/>
      <c r="T100" s="67"/>
      <c r="U100" s="53" t="str">
        <f>VLOOKUP(Subnets[[#This Row],[VNETID]],VNETS[#All],11, FALSE)</f>
        <v>STORAGE</v>
      </c>
      <c r="V100" s="53" t="str">
        <f>VLOOKUP(Subnets[[#This Row],[VNETID]],VNETS[#All],2, FALSE)</f>
        <v>sub05</v>
      </c>
    </row>
    <row r="101" spans="1:22" hidden="1" x14ac:dyDescent="0.45">
      <c r="A101" t="s">
        <v>484</v>
      </c>
      <c r="B101">
        <v>570</v>
      </c>
      <c r="C101" t="s">
        <v>318</v>
      </c>
      <c r="D101" t="str">
        <f>I101&amp;"_"&amp;Subnets[[#This Row],[SubNetNumber]]&amp;"_"&amp;Subnets[[#This Row],[Dept. (Computed)]]&amp;"_"&amp;E101&amp;"_"&amp;Subnets[[#This Row],[Location (Computed)]]</f>
        <v>Future_570_dept_Storage_ia</v>
      </c>
      <c r="E101" t="s">
        <v>211</v>
      </c>
      <c r="F101" t="str">
        <f>VLOOKUP(Subnets[[#This Row],[VNETID]],VNETS[#All], 8, FALSE)</f>
        <v>dept</v>
      </c>
      <c r="G101" t="str">
        <f>VLOOKUP(Subnets[[#This Row],[VNETID]],VNETS[#All], 9, FALSE)</f>
        <v>Managed</v>
      </c>
      <c r="H101" t="str">
        <f>VLOOKUP(Subnets[[#This Row],[VNETID]],VNETS[#All],13, FALSE)</f>
        <v>ia</v>
      </c>
      <c r="I101" t="s">
        <v>300</v>
      </c>
      <c r="K101" t="s">
        <v>301</v>
      </c>
      <c r="L101" t="str">
        <f t="shared" si="2"/>
        <v>10.130.114.0</v>
      </c>
      <c r="M101" s="9" t="s">
        <v>373</v>
      </c>
      <c r="N101" t="str">
        <f>VLOOKUP(Subnets[[#This Row],[VNETID]],VNETS[#All],7, FALSE)</f>
        <v>mag_dept_managed_storage</v>
      </c>
      <c r="O101">
        <f>VLOOKUP(Subnets[[#This Row],[VNETID]], VNETS[#All], 14, FALSE)</f>
        <v>10</v>
      </c>
      <c r="P101">
        <f>VLOOKUP(Subnets[[#This Row],[VNETID]], VNETS[#All], 15, FALSE)</f>
        <v>130</v>
      </c>
      <c r="Q101">
        <v>114</v>
      </c>
      <c r="R101">
        <v>0</v>
      </c>
      <c r="U101" s="53" t="str">
        <f>VLOOKUP(Subnets[[#This Row],[VNETID]],VNETS[#All],11, FALSE)</f>
        <v>STORAGE</v>
      </c>
      <c r="V101" s="53" t="str">
        <f>VLOOKUP(Subnets[[#This Row],[VNETID]],VNETS[#All],2, FALSE)</f>
        <v>sub05</v>
      </c>
    </row>
    <row r="102" spans="1:22" hidden="1" x14ac:dyDescent="0.45">
      <c r="A102" t="s">
        <v>485</v>
      </c>
      <c r="B102">
        <v>570</v>
      </c>
      <c r="C102" t="s">
        <v>318</v>
      </c>
      <c r="D102" t="str">
        <f>I102&amp;"_"&amp;Subnets[[#This Row],[SubNetNumber]]&amp;"_"&amp;Subnets[[#This Row],[Dept. (Computed)]]&amp;"_"&amp;E102&amp;"_"&amp;Subnets[[#This Row],[Location (Computed)]]</f>
        <v>Future_570_dept_Storage_ia</v>
      </c>
      <c r="E102" t="s">
        <v>211</v>
      </c>
      <c r="F102" t="str">
        <f>VLOOKUP(Subnets[[#This Row],[VNETID]],VNETS[#All], 8, FALSE)</f>
        <v>dept</v>
      </c>
      <c r="G102" t="str">
        <f>VLOOKUP(Subnets[[#This Row],[VNETID]],VNETS[#All], 9, FALSE)</f>
        <v>Managed</v>
      </c>
      <c r="H102" t="str">
        <f>VLOOKUP(Subnets[[#This Row],[VNETID]],VNETS[#All],13, FALSE)</f>
        <v>ia</v>
      </c>
      <c r="I102" t="s">
        <v>300</v>
      </c>
      <c r="K102" t="s">
        <v>301</v>
      </c>
      <c r="L102" t="str">
        <f t="shared" si="2"/>
        <v>10.130.116.0</v>
      </c>
      <c r="M102" s="9" t="s">
        <v>373</v>
      </c>
      <c r="N102" t="str">
        <f>VLOOKUP(Subnets[[#This Row],[VNETID]],VNETS[#All],7, FALSE)</f>
        <v>mag_dept_managed_storage</v>
      </c>
      <c r="O102">
        <f>VLOOKUP(Subnets[[#This Row],[VNETID]], VNETS[#All], 14, FALSE)</f>
        <v>10</v>
      </c>
      <c r="P102">
        <f>VLOOKUP(Subnets[[#This Row],[VNETID]], VNETS[#All], 15, FALSE)</f>
        <v>130</v>
      </c>
      <c r="Q102">
        <v>116</v>
      </c>
      <c r="R102">
        <v>0</v>
      </c>
      <c r="U102" s="53" t="str">
        <f>VLOOKUP(Subnets[[#This Row],[VNETID]],VNETS[#All],11, FALSE)</f>
        <v>STORAGE</v>
      </c>
      <c r="V102" s="53" t="str">
        <f>VLOOKUP(Subnets[[#This Row],[VNETID]],VNETS[#All],2, FALSE)</f>
        <v>sub05</v>
      </c>
    </row>
    <row r="103" spans="1:22" hidden="1" x14ac:dyDescent="0.45">
      <c r="A103" t="s">
        <v>486</v>
      </c>
      <c r="B103">
        <v>570</v>
      </c>
      <c r="C103" t="s">
        <v>318</v>
      </c>
      <c r="D103" t="str">
        <f>I103&amp;"_"&amp;Subnets[[#This Row],[SubNetNumber]]&amp;"_"&amp;Subnets[[#This Row],[Dept. (Computed)]]&amp;"_"&amp;E103&amp;"_"&amp;Subnets[[#This Row],[Location (Computed)]]</f>
        <v>Future_570_dept_Storage_ia</v>
      </c>
      <c r="E103" t="s">
        <v>211</v>
      </c>
      <c r="F103" t="str">
        <f>VLOOKUP(Subnets[[#This Row],[VNETID]],VNETS[#All], 8, FALSE)</f>
        <v>dept</v>
      </c>
      <c r="G103" t="str">
        <f>VLOOKUP(Subnets[[#This Row],[VNETID]],VNETS[#All], 9, FALSE)</f>
        <v>Managed</v>
      </c>
      <c r="H103" t="str">
        <f>VLOOKUP(Subnets[[#This Row],[VNETID]],VNETS[#All],13, FALSE)</f>
        <v>ia</v>
      </c>
      <c r="I103" t="s">
        <v>300</v>
      </c>
      <c r="K103" t="s">
        <v>301</v>
      </c>
      <c r="L103" t="str">
        <f t="shared" si="2"/>
        <v>10.130.118.0</v>
      </c>
      <c r="M103" s="9" t="s">
        <v>78</v>
      </c>
      <c r="N103" t="str">
        <f>VLOOKUP(Subnets[[#This Row],[VNETID]],VNETS[#All],7, FALSE)</f>
        <v>mag_dept_managed_storage</v>
      </c>
      <c r="O103">
        <f>VLOOKUP(Subnets[[#This Row],[VNETID]], VNETS[#All], 14, FALSE)</f>
        <v>10</v>
      </c>
      <c r="P103">
        <f>VLOOKUP(Subnets[[#This Row],[VNETID]], VNETS[#All], 15, FALSE)</f>
        <v>130</v>
      </c>
      <c r="Q103">
        <v>118</v>
      </c>
      <c r="R103">
        <v>0</v>
      </c>
      <c r="U103" s="53" t="str">
        <f>VLOOKUP(Subnets[[#This Row],[VNETID]],VNETS[#All],11, FALSE)</f>
        <v>STORAGE</v>
      </c>
      <c r="V103" s="53" t="str">
        <f>VLOOKUP(Subnets[[#This Row],[VNETID]],VNETS[#All],2, FALSE)</f>
        <v>sub05</v>
      </c>
    </row>
    <row r="104" spans="1:22" hidden="1" x14ac:dyDescent="0.45">
      <c r="A104" t="s">
        <v>487</v>
      </c>
      <c r="B104">
        <v>599</v>
      </c>
      <c r="C104" t="s">
        <v>318</v>
      </c>
      <c r="D104" t="str">
        <f>I104&amp;"_"&amp;Subnets[[#This Row],[SubNetNumber]]&amp;"_"&amp;Subnets[[#This Row],[Dept. (Computed)]]&amp;"_"&amp;E104&amp;"_"&amp;Subnets[[#This Row],[Location (Computed)]]</f>
        <v>Gateway_599_dept_Storage_ia</v>
      </c>
      <c r="E104" t="s">
        <v>211</v>
      </c>
      <c r="F104" t="str">
        <f>VLOOKUP(Subnets[[#This Row],[VNETID]],VNETS[#All], 8, FALSE)</f>
        <v>dept</v>
      </c>
      <c r="G104" t="str">
        <f>VLOOKUP(Subnets[[#This Row],[VNETID]],VNETS[#All], 9, FALSE)</f>
        <v>Managed</v>
      </c>
      <c r="H104" t="str">
        <f>VLOOKUP(Subnets[[#This Row],[VNETID]],VNETS[#All],13, FALSE)</f>
        <v>ia</v>
      </c>
      <c r="I104" t="s">
        <v>501</v>
      </c>
      <c r="K104" t="s">
        <v>554</v>
      </c>
      <c r="L104" t="str">
        <f t="shared" si="2"/>
        <v>10.130.119.248</v>
      </c>
      <c r="M104" s="9" t="s">
        <v>399</v>
      </c>
      <c r="N104" t="str">
        <f>VLOOKUP(Subnets[[#This Row],[VNETID]],VNETS[#All],7, FALSE)</f>
        <v>mag_dept_managed_storage</v>
      </c>
      <c r="O104">
        <f>VLOOKUP(Subnets[[#This Row],[VNETID]], VNETS[#All], 14, FALSE)</f>
        <v>10</v>
      </c>
      <c r="P104">
        <f>VLOOKUP(Subnets[[#This Row],[VNETID]], VNETS[#All], 15, FALSE)</f>
        <v>130</v>
      </c>
      <c r="Q104">
        <v>119</v>
      </c>
      <c r="R104">
        <v>248</v>
      </c>
      <c r="S104" t="str">
        <f>O104&amp;"."&amp;P104&amp;"."&amp;Q104&amp;"."&amp;R104</f>
        <v>10.130.119.248</v>
      </c>
      <c r="T104" s="9" t="s">
        <v>399</v>
      </c>
      <c r="U104" s="53" t="str">
        <f>VLOOKUP(Subnets[[#This Row],[VNETID]],VNETS[#All],11, FALSE)</f>
        <v>STORAGE</v>
      </c>
      <c r="V104" s="53" t="str">
        <f>VLOOKUP(Subnets[[#This Row],[VNETID]],VNETS[#All],2, FALSE)</f>
        <v>sub05</v>
      </c>
    </row>
  </sheetData>
  <pageMargins left="0.7" right="0.7" top="0.75" bottom="0.75" header="0.3" footer="0.3"/>
  <pageSetup orientation="portrait"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13" sqref="D13"/>
    </sheetView>
  </sheetViews>
  <sheetFormatPr defaultRowHeight="14.25" x14ac:dyDescent="0.45"/>
  <cols>
    <col min="2" max="2" width="9.59765625" customWidth="1"/>
    <col min="3" max="3" width="16.59765625" customWidth="1"/>
    <col min="4" max="4" width="34.1328125" customWidth="1"/>
    <col min="5" max="5" width="16.86328125" customWidth="1"/>
    <col min="6" max="6" width="15.86328125" customWidth="1"/>
  </cols>
  <sheetData>
    <row r="1" spans="1:6" x14ac:dyDescent="0.45">
      <c r="A1" t="s">
        <v>389</v>
      </c>
      <c r="B1" t="s">
        <v>308</v>
      </c>
      <c r="C1" t="s">
        <v>503</v>
      </c>
      <c r="D1" t="s">
        <v>274</v>
      </c>
      <c r="E1" t="s">
        <v>65</v>
      </c>
      <c r="F1" t="s">
        <v>501</v>
      </c>
    </row>
    <row r="2" spans="1:6" x14ac:dyDescent="0.45">
      <c r="A2" t="s">
        <v>392</v>
      </c>
      <c r="B2" t="s">
        <v>398</v>
      </c>
      <c r="C2" t="s">
        <v>504</v>
      </c>
      <c r="D2" t="e">
        <f>VLOOKUP(LclNtwrk!B2, VNETS[#All], 4, FALSE)</f>
        <v>#N/A</v>
      </c>
      <c r="E2" t="s">
        <v>500</v>
      </c>
      <c r="F2" s="38" t="s">
        <v>650</v>
      </c>
    </row>
    <row r="3" spans="1:6" x14ac:dyDescent="0.45">
      <c r="A3" t="s">
        <v>492</v>
      </c>
      <c r="B3" t="s">
        <v>398</v>
      </c>
      <c r="C3" t="s">
        <v>505</v>
      </c>
      <c r="D3" t="e">
        <f>VLOOKUP(LclNtwrk!B3, VNETS[#All], 4, FALSE)</f>
        <v>#N/A</v>
      </c>
      <c r="E3" t="s">
        <v>502</v>
      </c>
      <c r="F3" s="38" t="s">
        <v>650</v>
      </c>
    </row>
    <row r="4" spans="1:6" x14ac:dyDescent="0.45">
      <c r="A4" t="s">
        <v>493</v>
      </c>
      <c r="B4" t="s">
        <v>398</v>
      </c>
      <c r="C4" t="s">
        <v>636</v>
      </c>
      <c r="D4" t="e">
        <f>VLOOKUP(LclNtwrk!B4, VNETS[#All], 4, FALSE)</f>
        <v>#N/A</v>
      </c>
      <c r="E4" t="s">
        <v>506</v>
      </c>
      <c r="F4" s="38" t="s">
        <v>650</v>
      </c>
    </row>
    <row r="5" spans="1:6" x14ac:dyDescent="0.45">
      <c r="A5" t="s">
        <v>494</v>
      </c>
      <c r="B5" t="s">
        <v>398</v>
      </c>
      <c r="C5" t="s">
        <v>636</v>
      </c>
      <c r="D5" t="e">
        <f>VLOOKUP(LclNtwrk!B5, VNETS[#All], 4, FALSE)</f>
        <v>#N/A</v>
      </c>
      <c r="E5" t="s">
        <v>507</v>
      </c>
      <c r="F5" s="38" t="s">
        <v>650</v>
      </c>
    </row>
    <row r="6" spans="1:6" x14ac:dyDescent="0.45">
      <c r="A6" t="s">
        <v>495</v>
      </c>
      <c r="B6" t="s">
        <v>398</v>
      </c>
      <c r="C6" t="s">
        <v>636</v>
      </c>
      <c r="D6" t="e">
        <f>VLOOKUP(LclNtwrk!B6, VNETS[#All], 4, FALSE)</f>
        <v>#N/A</v>
      </c>
      <c r="E6" t="s">
        <v>508</v>
      </c>
      <c r="F6" s="38" t="s">
        <v>650</v>
      </c>
    </row>
    <row r="7" spans="1:6" x14ac:dyDescent="0.45">
      <c r="A7" t="s">
        <v>496</v>
      </c>
      <c r="B7" t="s">
        <v>398</v>
      </c>
      <c r="C7" t="s">
        <v>636</v>
      </c>
      <c r="D7" t="e">
        <f>VLOOKUP(LclNtwrk!B7, VNETS[#All], 4, FALSE)</f>
        <v>#N/A</v>
      </c>
      <c r="E7" t="s">
        <v>509</v>
      </c>
      <c r="F7" s="38" t="s">
        <v>650</v>
      </c>
    </row>
    <row r="8" spans="1:6" x14ac:dyDescent="0.45">
      <c r="A8" t="s">
        <v>497</v>
      </c>
      <c r="B8" t="s">
        <v>398</v>
      </c>
      <c r="C8" t="s">
        <v>636</v>
      </c>
      <c r="D8" t="e">
        <f>VLOOKUP(LclNtwrk!B8, VNETS[#All], 4, FALSE)</f>
        <v>#N/A</v>
      </c>
      <c r="E8" t="s">
        <v>510</v>
      </c>
      <c r="F8" s="38" t="s">
        <v>650</v>
      </c>
    </row>
    <row r="9" spans="1:6" x14ac:dyDescent="0.45">
      <c r="A9" t="s">
        <v>498</v>
      </c>
      <c r="B9" t="s">
        <v>398</v>
      </c>
      <c r="C9" t="s">
        <v>636</v>
      </c>
      <c r="D9" t="e">
        <f>VLOOKUP(LclNtwrk!B9, VNETS[#All], 4, FALSE)</f>
        <v>#N/A</v>
      </c>
      <c r="E9" t="s">
        <v>511</v>
      </c>
      <c r="F9" s="38" t="s">
        <v>650</v>
      </c>
    </row>
    <row r="10" spans="1:6" x14ac:dyDescent="0.45">
      <c r="A10" t="s">
        <v>499</v>
      </c>
      <c r="B10" t="s">
        <v>398</v>
      </c>
      <c r="C10" t="s">
        <v>636</v>
      </c>
      <c r="D10" t="e">
        <f>VLOOKUP(LclNtwrk!B10, VNETS[#All], 4, FALSE)</f>
        <v>#N/A</v>
      </c>
      <c r="E10" t="s">
        <v>512</v>
      </c>
      <c r="F10" s="38" t="s">
        <v>650</v>
      </c>
    </row>
    <row r="11" spans="1:6" x14ac:dyDescent="0.45">
      <c r="A11" t="s">
        <v>523</v>
      </c>
      <c r="B11" t="s">
        <v>398</v>
      </c>
      <c r="C11" t="s">
        <v>636</v>
      </c>
      <c r="D11" t="e">
        <f>VLOOKUP(LclNtwrk!B11, VNETS[#All], 4, FALSE)</f>
        <v>#N/A</v>
      </c>
      <c r="E11" t="s">
        <v>513</v>
      </c>
      <c r="F11" s="38" t="s">
        <v>650</v>
      </c>
    </row>
    <row r="12" spans="1:6" x14ac:dyDescent="0.45">
      <c r="A12" t="s">
        <v>524</v>
      </c>
      <c r="B12" t="s">
        <v>398</v>
      </c>
      <c r="C12" t="s">
        <v>636</v>
      </c>
      <c r="D12" t="e">
        <f>VLOOKUP(LclNtwrk!B12, VNETS[#All], 4, FALSE)</f>
        <v>#N/A</v>
      </c>
      <c r="E12" t="s">
        <v>514</v>
      </c>
      <c r="F12" s="38" t="s">
        <v>650</v>
      </c>
    </row>
    <row r="13" spans="1:6" x14ac:dyDescent="0.45">
      <c r="A13" t="s">
        <v>525</v>
      </c>
      <c r="B13" t="s">
        <v>398</v>
      </c>
      <c r="C13" t="s">
        <v>636</v>
      </c>
      <c r="D13" t="e">
        <f>VLOOKUP(LclNtwrk!B13, VNETS[#All], 4, FALSE)</f>
        <v>#N/A</v>
      </c>
      <c r="E13" t="s">
        <v>515</v>
      </c>
      <c r="F13" s="38" t="s">
        <v>650</v>
      </c>
    </row>
    <row r="14" spans="1:6" x14ac:dyDescent="0.45">
      <c r="A14" t="s">
        <v>526</v>
      </c>
      <c r="B14" t="s">
        <v>398</v>
      </c>
      <c r="C14" t="s">
        <v>636</v>
      </c>
      <c r="D14" t="e">
        <f>VLOOKUP(LclNtwrk!B14, VNETS[#All], 4, FALSE)</f>
        <v>#N/A</v>
      </c>
      <c r="E14" t="s">
        <v>516</v>
      </c>
      <c r="F14" s="38" t="s">
        <v>650</v>
      </c>
    </row>
    <row r="15" spans="1:6" x14ac:dyDescent="0.45">
      <c r="A15" t="s">
        <v>527</v>
      </c>
      <c r="B15" t="s">
        <v>398</v>
      </c>
      <c r="C15" t="s">
        <v>636</v>
      </c>
      <c r="D15" t="e">
        <f>VLOOKUP(LclNtwrk!B15, VNETS[#All], 4, FALSE)</f>
        <v>#N/A</v>
      </c>
      <c r="E15" t="s">
        <v>517</v>
      </c>
      <c r="F15" s="38" t="s">
        <v>650</v>
      </c>
    </row>
    <row r="16" spans="1:6" x14ac:dyDescent="0.45">
      <c r="A16" t="s">
        <v>528</v>
      </c>
      <c r="B16" t="s">
        <v>398</v>
      </c>
      <c r="C16" t="s">
        <v>636</v>
      </c>
      <c r="D16" t="e">
        <f>VLOOKUP(LclNtwrk!B16, VNETS[#All], 4, FALSE)</f>
        <v>#N/A</v>
      </c>
      <c r="E16" t="s">
        <v>518</v>
      </c>
      <c r="F16" s="38" t="s">
        <v>650</v>
      </c>
    </row>
    <row r="17" spans="1:6" x14ac:dyDescent="0.45">
      <c r="A17" t="s">
        <v>529</v>
      </c>
      <c r="B17" t="s">
        <v>398</v>
      </c>
      <c r="C17" t="s">
        <v>636</v>
      </c>
      <c r="D17" t="e">
        <f>VLOOKUP(LclNtwrk!B17, VNETS[#All], 4, FALSE)</f>
        <v>#N/A</v>
      </c>
      <c r="E17" t="s">
        <v>519</v>
      </c>
      <c r="F17" s="38" t="s">
        <v>650</v>
      </c>
    </row>
    <row r="18" spans="1:6" x14ac:dyDescent="0.45">
      <c r="A18" t="s">
        <v>530</v>
      </c>
      <c r="B18" t="s">
        <v>398</v>
      </c>
      <c r="C18" t="s">
        <v>636</v>
      </c>
      <c r="D18" t="e">
        <f>VLOOKUP(LclNtwrk!B18, VNETS[#All], 4, FALSE)</f>
        <v>#N/A</v>
      </c>
      <c r="E18" t="s">
        <v>520</v>
      </c>
      <c r="F18" s="38" t="s">
        <v>650</v>
      </c>
    </row>
    <row r="19" spans="1:6" x14ac:dyDescent="0.45">
      <c r="A19" t="s">
        <v>531</v>
      </c>
      <c r="B19" t="s">
        <v>398</v>
      </c>
      <c r="C19" t="s">
        <v>636</v>
      </c>
      <c r="D19" t="e">
        <f>VLOOKUP(LclNtwrk!B19, VNETS[#All], 4, FALSE)</f>
        <v>#N/A</v>
      </c>
      <c r="E19" t="s">
        <v>521</v>
      </c>
      <c r="F19" s="38" t="s">
        <v>650</v>
      </c>
    </row>
    <row r="20" spans="1:6" x14ac:dyDescent="0.45">
      <c r="A20" t="s">
        <v>532</v>
      </c>
      <c r="B20" t="s">
        <v>398</v>
      </c>
      <c r="C20" t="s">
        <v>636</v>
      </c>
      <c r="D20" t="e">
        <f>VLOOKUP(LclNtwrk!B20, VNETS[#All], 4, FALSE)</f>
        <v>#N/A</v>
      </c>
      <c r="E20" t="s">
        <v>522</v>
      </c>
      <c r="F20" s="38" t="s">
        <v>650</v>
      </c>
    </row>
    <row r="21" spans="1:6" x14ac:dyDescent="0.45">
      <c r="A21" t="s">
        <v>533</v>
      </c>
      <c r="B21" t="s">
        <v>398</v>
      </c>
      <c r="C21" t="s">
        <v>636</v>
      </c>
      <c r="D21" t="e">
        <f>VLOOKUP(LclNtwrk!B21, VNETS[#All], 4, FALSE)</f>
        <v>#N/A</v>
      </c>
      <c r="E21" t="s">
        <v>521</v>
      </c>
      <c r="F21" s="38" t="s">
        <v>650</v>
      </c>
    </row>
    <row r="22" spans="1:6" x14ac:dyDescent="0.45">
      <c r="A22" t="s">
        <v>534</v>
      </c>
      <c r="B22" t="s">
        <v>398</v>
      </c>
      <c r="C22" t="s">
        <v>636</v>
      </c>
      <c r="D22" t="e">
        <f>VLOOKUP(LclNtwrk!B22, VNETS[#All], 4, FALSE)</f>
        <v>#N/A</v>
      </c>
      <c r="E22" t="s">
        <v>522</v>
      </c>
      <c r="F22" s="38" t="s">
        <v>650</v>
      </c>
    </row>
    <row r="23" spans="1:6" x14ac:dyDescent="0.45">
      <c r="A23" t="s">
        <v>535</v>
      </c>
      <c r="B23" t="s">
        <v>398</v>
      </c>
      <c r="C23" t="s">
        <v>637</v>
      </c>
      <c r="D23" t="e">
        <f>VLOOKUP(LclNtwrk!B23, VNETS[#All], 4, FALSE)</f>
        <v>#N/A</v>
      </c>
      <c r="E23" t="s">
        <v>536</v>
      </c>
      <c r="F23" s="38" t="s">
        <v>650</v>
      </c>
    </row>
    <row r="24" spans="1:6" x14ac:dyDescent="0.45">
      <c r="D24" t="e">
        <f>VLOOKUP(LclNtwrk!B24, VNETS[#All], 4, FALSE)</f>
        <v>#N/A</v>
      </c>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C6" sqref="C6"/>
    </sheetView>
  </sheetViews>
  <sheetFormatPr defaultRowHeight="14.25" x14ac:dyDescent="0.45"/>
  <cols>
    <col min="1" max="2" width="11.59765625" customWidth="1"/>
    <col min="3" max="3" width="32.265625" customWidth="1"/>
    <col min="4" max="4" width="24" customWidth="1"/>
    <col min="5" max="5" width="39.3984375" customWidth="1"/>
    <col min="6" max="6" width="11" customWidth="1"/>
    <col min="7" max="7" width="11.265625" customWidth="1"/>
    <col min="8" max="8" width="21.3984375" customWidth="1"/>
  </cols>
  <sheetData>
    <row r="1" spans="1:7" x14ac:dyDescent="0.45">
      <c r="A1" t="s">
        <v>590</v>
      </c>
      <c r="B1" t="s">
        <v>602</v>
      </c>
      <c r="C1" t="s">
        <v>0</v>
      </c>
      <c r="D1" t="s">
        <v>1</v>
      </c>
      <c r="E1" t="s">
        <v>603</v>
      </c>
      <c r="F1" t="s">
        <v>36</v>
      </c>
      <c r="G1" t="s">
        <v>50</v>
      </c>
    </row>
    <row r="2" spans="1:7" x14ac:dyDescent="0.45">
      <c r="A2" t="s">
        <v>591</v>
      </c>
      <c r="B2" t="s">
        <v>400</v>
      </c>
      <c r="C2" t="e">
        <f>"NSG_"&amp;Table8[[#This Row],[SubnetName]]</f>
        <v>#N/A</v>
      </c>
      <c r="D2" t="s">
        <v>984</v>
      </c>
      <c r="E2" t="e">
        <f>VLOOKUP(Table8[[#This Row],[SNetID]], Subnets!A1:N102, 4)</f>
        <v>#N/A</v>
      </c>
    </row>
    <row r="3" spans="1:7" x14ac:dyDescent="0.45">
      <c r="A3" t="s">
        <v>592</v>
      </c>
      <c r="B3" t="s">
        <v>401</v>
      </c>
      <c r="C3" t="str">
        <f>"NSG_"&amp;Table8[[#This Row],[SubnetName]]</f>
        <v>NSG_App_220_dept_CJIS_va</v>
      </c>
      <c r="D3" t="s">
        <v>985</v>
      </c>
      <c r="E3" t="str">
        <f>VLOOKUP(Table8[[#This Row],[SNetID]], Subnets!A2:N103, 4)</f>
        <v>App_220_dept_CJIS_va</v>
      </c>
    </row>
    <row r="4" spans="1:7" x14ac:dyDescent="0.45">
      <c r="A4" t="s">
        <v>593</v>
      </c>
      <c r="B4" t="s">
        <v>402</v>
      </c>
      <c r="C4" t="str">
        <f>"NSG_"&amp;Table8[[#This Row],[SubnetName]]</f>
        <v>NSG_DB_230_dept_CJIS_va</v>
      </c>
      <c r="D4" t="s">
        <v>986</v>
      </c>
      <c r="E4" t="str">
        <f>VLOOKUP(Table8[[#This Row],[SNetID]], Subnets!A2:N104, 4)</f>
        <v>DB_230_dept_CJIS_va</v>
      </c>
    </row>
    <row r="5" spans="1:7" x14ac:dyDescent="0.45">
      <c r="A5" t="s">
        <v>594</v>
      </c>
      <c r="B5" t="s">
        <v>403</v>
      </c>
      <c r="C5" t="str">
        <f>"NSG_"&amp;Table8[[#This Row],[SubnetName]]</f>
        <v>NSG_DMZ_250_dept_CJIS_va</v>
      </c>
      <c r="D5" t="s">
        <v>987</v>
      </c>
      <c r="E5" t="str">
        <f>VLOOKUP(Table8[[#This Row],[SNetID]], Subnets!A2:N105, 4)</f>
        <v>DMZ_250_dept_CJIS_va</v>
      </c>
    </row>
    <row r="6" spans="1:7" x14ac:dyDescent="0.45">
      <c r="A6" t="s">
        <v>595</v>
      </c>
      <c r="B6" t="s">
        <v>404</v>
      </c>
      <c r="C6" t="str">
        <f>"NSG_"&amp;Table8[[#This Row],[SubnetName]]</f>
        <v>NSG_User_Tier0_260_dept_CJIS_va</v>
      </c>
      <c r="D6" t="s">
        <v>988</v>
      </c>
      <c r="E6" t="str">
        <f>VLOOKUP(Table8[[#This Row],[SNetID]], Subnets!A2:N106, 4)</f>
        <v>User_Tier0_260_dept_CJIS_va</v>
      </c>
    </row>
    <row r="7" spans="1:7" x14ac:dyDescent="0.45">
      <c r="A7" t="s">
        <v>596</v>
      </c>
      <c r="B7" t="s">
        <v>405</v>
      </c>
      <c r="C7" t="str">
        <f>"NSG_"&amp;Table8[[#This Row],[SubnetName]]</f>
        <v>NSG_Users_Tier1_261_dept_CJIS_va</v>
      </c>
      <c r="D7" t="s">
        <v>989</v>
      </c>
      <c r="E7" t="str">
        <f>VLOOKUP(Table8[[#This Row],[SNetID]], Subnets!A2:N107, 4)</f>
        <v>Users_Tier1_261_dept_CJIS_va</v>
      </c>
    </row>
    <row r="8" spans="1:7" x14ac:dyDescent="0.45">
      <c r="A8" t="s">
        <v>597</v>
      </c>
      <c r="B8" t="s">
        <v>406</v>
      </c>
      <c r="C8" t="str">
        <f>"NSG_"&amp;Table8[[#This Row],[SubnetName]]</f>
        <v>NSG_Future_270_dept_CJIS_va</v>
      </c>
      <c r="D8" t="s">
        <v>984</v>
      </c>
      <c r="E8" t="str">
        <f>VLOOKUP(Table8[[#This Row],[SNetID]], Subnets!A2:N108, 4)</f>
        <v>Future_270_dept_CJIS_va</v>
      </c>
    </row>
    <row r="9" spans="1:7" x14ac:dyDescent="0.45">
      <c r="A9" t="s">
        <v>598</v>
      </c>
      <c r="B9" t="s">
        <v>407</v>
      </c>
      <c r="C9" t="str">
        <f>"NSG_"&amp;Table8[[#This Row],[SubnetName]]</f>
        <v>NSG_Future_270_dept_CJIS_va</v>
      </c>
      <c r="D9" t="s">
        <v>984</v>
      </c>
      <c r="E9" t="str">
        <f>VLOOKUP(Table8[[#This Row],[SNetID]], Subnets!A2:N109, 4)</f>
        <v>Future_270_dept_CJIS_va</v>
      </c>
    </row>
    <row r="10" spans="1:7" x14ac:dyDescent="0.45">
      <c r="A10" t="s">
        <v>599</v>
      </c>
      <c r="B10" t="s">
        <v>408</v>
      </c>
      <c r="C10" t="str">
        <f>"NSG_"&amp;Table8[[#This Row],[SubnetName]]</f>
        <v>NSG_Future_270_dept_CJIS_va</v>
      </c>
      <c r="D10" t="s">
        <v>984</v>
      </c>
      <c r="E10" t="str">
        <f>VLOOKUP(Table8[[#This Row],[SNetID]], Subnets!A2:N110, 4)</f>
        <v>Future_270_dept_CJIS_va</v>
      </c>
    </row>
    <row r="11" spans="1:7" x14ac:dyDescent="0.45">
      <c r="A11" t="s">
        <v>600</v>
      </c>
      <c r="B11" t="s">
        <v>409</v>
      </c>
      <c r="C11" t="str">
        <f>"NSG_"&amp;Table8[[#This Row],[SubnetName]]</f>
        <v>NSG_Gateway_299_dept_CJIS_va</v>
      </c>
      <c r="D11" t="s">
        <v>984</v>
      </c>
      <c r="E11" t="str">
        <f>VLOOKUP(Table8[[#This Row],[SNetID]], Subnets!A2:N111, 4)</f>
        <v>Gateway_299_dept_CJIS_va</v>
      </c>
    </row>
    <row r="12" spans="1:7" x14ac:dyDescent="0.45">
      <c r="A12" t="s">
        <v>601</v>
      </c>
      <c r="B12" t="s">
        <v>410</v>
      </c>
      <c r="C12" t="str">
        <f>"NSG_"&amp;Table8[[#This Row],[SubnetName]]</f>
        <v>NSG_Web_210_dept_CJIS_ia</v>
      </c>
      <c r="D12" t="s">
        <v>984</v>
      </c>
      <c r="E12" t="str">
        <f>VLOOKUP(Table8[[#This Row],[SNetID]], Subnets!A2:N112, 4)</f>
        <v>Web_210_dept_CJIS_ia</v>
      </c>
    </row>
    <row r="37" spans="1:1" x14ac:dyDescent="0.45">
      <c r="A37" t="s">
        <v>990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Document</p:Name>
  <p:Description/>
  <p:Statement/>
  <p:PolicyItems>
    <p:PolicyItem featureId="Microsoft.Office.RecordsManagement.PolicyFeatures.PolicyAudit" staticId="0x0101000D2BAD2563FE2143841BCE7C674FABCC|-421390505" UniqueId="54686bcb-c9ee-4bc5-aaf3-2fd9e99d5a0e">
      <p:Name>Auditing</p:Name>
      <p:Description>Audits user actions on documents and list items to the Audit Log.</p:Description>
      <p:CustomData>
        <Audit>
          <Update/>
          <DeleteRestore/>
        </Audit>
      </p:CustomData>
    </p:PolicyItem>
  </p:PolicyItems>
</p:Policy>
</file>

<file path=customXml/item2.xml><?xml version="1.0" encoding="utf-8"?>
<p:properties xmlns:p="http://schemas.microsoft.com/office/2006/metadata/properties" xmlns:xsi="http://www.w3.org/2001/XMLSchema-instance" xmlns:pc="http://schemas.microsoft.com/office/infopath/2007/PartnerControls">
  <documentManagement>
    <SharedWithUsers xmlns="c0a86418-2b64-471f-9481-49bf08eb0dd7">
      <UserInfo>
        <DisplayName>Misty Jordan</DisplayName>
        <AccountId>10237</AccountId>
        <AccountType/>
      </UserInfo>
      <UserInfo>
        <DisplayName>Scott Gruenemeier</DisplayName>
        <AccountId>7868</AccountId>
        <AccountType/>
      </UserInfo>
      <UserInfo>
        <DisplayName>Marshall Copeland</DisplayName>
        <AccountId>1493</AccountId>
        <AccountType/>
      </UserInfo>
      <UserInfo>
        <DisplayName>Anthony Puca</DisplayName>
        <AccountId>172</AccountId>
        <AccountType/>
      </UserInfo>
      <UserInfo>
        <DisplayName>Tony DeVolk</DisplayName>
        <AccountId>166</AccountId>
        <AccountType/>
      </UserInfo>
      <UserInfo>
        <DisplayName>Mike Hacker</DisplayName>
        <AccountId>9</AccountId>
        <AccountType/>
      </UserInfo>
      <UserInfo>
        <DisplayName>Javier Vasquez</DisplayName>
        <AccountId>37</AccountId>
        <AccountType/>
      </UserInfo>
      <UserInfo>
        <DisplayName>Keith Olinger</DisplayName>
        <AccountId>225</AccountId>
        <AccountType/>
      </UserInfo>
      <UserInfo>
        <DisplayName>Darren Carlsen</DisplayName>
        <AccountId>38</AccountId>
        <AccountType/>
      </UserInfo>
      <UserInfo>
        <DisplayName>Steve Read</DisplayName>
        <AccountId>28</AccountId>
        <AccountType/>
      </UserInfo>
      <UserInfo>
        <DisplayName>Hailey Fleming</DisplayName>
        <AccountId>7156</AccountId>
        <AccountType/>
      </UserInfo>
      <UserInfo>
        <DisplayName>Scott Wold</DisplayName>
        <AccountId>68</AccountId>
        <AccountType/>
      </UserInfo>
      <UserInfo>
        <DisplayName>Julian Soh</DisplayName>
        <AccountId>39</AccountId>
        <AccountType/>
      </UserInfo>
      <UserInfo>
        <DisplayName>Wade Powell</DisplayName>
        <AccountId>63</AccountId>
        <AccountType/>
      </UserInfo>
      <UserInfo>
        <DisplayName>Ross Sponholtz</DisplayName>
        <AccountId>29</AccountId>
        <AccountType/>
      </UserInfo>
      <UserInfo>
        <DisplayName>Andy Olenik</DisplayName>
        <AccountId>40</AccountId>
        <AccountType/>
      </UserInfo>
      <UserInfo>
        <DisplayName>Dale Michalk</DisplayName>
        <AccountId>93</AccountId>
        <AccountType/>
      </UserInfo>
      <UserInfo>
        <DisplayName>Tev Sanders</DisplayName>
        <AccountId>35</AccountId>
        <AccountType/>
      </UserInfo>
      <UserInfo>
        <DisplayName>Jack Westerlund</DisplayName>
        <AccountId>26</AccountId>
        <AccountType/>
      </UserInfo>
      <UserInfo>
        <DisplayName>Chris Lohret</DisplayName>
        <AccountId>10733</AccountId>
        <AccountType/>
      </UserInfo>
      <UserInfo>
        <DisplayName>Will St. Germain</DisplayName>
        <AccountId>7313</AccountId>
        <AccountType/>
      </UserInfo>
      <UserInfo>
        <DisplayName>Damon Ronco</DisplayName>
        <AccountId>6228</AccountId>
        <AccountType/>
      </UserInfo>
      <UserInfo>
        <DisplayName>Chandra Sekar (CSA)</DisplayName>
        <AccountId>6902</AccountId>
        <AccountType/>
      </UserInfo>
      <UserInfo>
        <DisplayName>Jeff Langford</DisplayName>
        <AccountId>1209</AccountId>
        <AccountType/>
      </UserInfo>
      <UserInfo>
        <DisplayName>Jack Sinclair</DisplayName>
        <AccountId>11617</AccountId>
        <AccountType/>
      </UserInfo>
      <UserInfo>
        <DisplayName>Glenn Martin</DisplayName>
        <AccountId>11921</AccountId>
        <AccountType/>
      </UserInfo>
      <UserInfo>
        <DisplayName>Scott Villinski</DisplayName>
        <AccountId>45</AccountId>
        <AccountType/>
      </UserInfo>
      <UserInfo>
        <DisplayName>Mark Foust</DisplayName>
        <AccountId>158</AccountId>
        <AccountType/>
      </UserInfo>
      <UserInfo>
        <DisplayName>Nick Smith (SLG)</DisplayName>
        <AccountId>36</AccountId>
        <AccountType/>
      </UserInfo>
      <UserInfo>
        <DisplayName>Jason Dinwiddie</DisplayName>
        <AccountId>1360</AccountId>
        <AccountType/>
      </UserInfo>
      <UserInfo>
        <DisplayName>Randy Rands</DisplayName>
        <AccountId>62</AccountId>
        <AccountType/>
      </UserInfo>
      <UserInfo>
        <DisplayName>Mandy Tidwell</DisplayName>
        <AccountId>9069</AccountId>
        <AccountType/>
      </UserInfo>
      <UserInfo>
        <DisplayName>Jon Huber</DisplayName>
        <AccountId>5801</AccountId>
        <AccountType/>
      </UserInfo>
      <UserInfo>
        <DisplayName>Mike Amox</DisplayName>
        <AccountId>61</AccountId>
        <AccountType/>
      </UserInfo>
      <UserInfo>
        <DisplayName>Denise Reilly-Hughes</DisplayName>
        <AccountId>1772</AccountId>
        <AccountType/>
      </UserInfo>
      <UserInfo>
        <DisplayName>Aaron Ward</DisplayName>
        <AccountId>6673</AccountId>
        <AccountType/>
      </UserInfo>
      <UserInfo>
        <DisplayName>Trevor Wagnitz</DisplayName>
        <AccountId>3960</AccountId>
        <AccountType/>
      </UserInfo>
      <UserInfo>
        <DisplayName>Van Balanzat</DisplayName>
        <AccountId>4076</AccountId>
        <AccountType/>
      </UserInfo>
      <UserInfo>
        <DisplayName>Ken Ward</DisplayName>
        <AccountId>10819</AccountId>
        <AccountType/>
      </UserInfo>
    </SharedWithUsers>
    <LastSharedByUser xmlns="1f65bb1f-ea05-496a-8d40-636bcb76c6ea">vabalanz@microsoft.com</LastSharedByUser>
    <LastSharedByTime xmlns="1f65bb1f-ea05-496a-8d40-636bcb76c6ea">2016-05-17T00:10:06+00:00</LastSharedByTim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0D2BAD2563FE2143841BCE7C674FABCC" ma:contentTypeVersion="10" ma:contentTypeDescription="Create a new document." ma:contentTypeScope="" ma:versionID="f6c199588100641d0a672da7e0521458">
  <xsd:schema xmlns:xsd="http://www.w3.org/2001/XMLSchema" xmlns:xs="http://www.w3.org/2001/XMLSchema" xmlns:p="http://schemas.microsoft.com/office/2006/metadata/properties" xmlns:ns1="http://schemas.microsoft.com/sharepoint/v3" xmlns:ns2="c0a86418-2b64-471f-9481-49bf08eb0dd7" xmlns:ns3="1f65bb1f-ea05-496a-8d40-636bcb76c6ea" targetNamespace="http://schemas.microsoft.com/office/2006/metadata/properties" ma:root="true" ma:fieldsID="fb698774a6e0bc2069d4e9384705892f" ns1:_="" ns2:_="" ns3:_="">
    <xsd:import namespace="http://schemas.microsoft.com/sharepoint/v3"/>
    <xsd:import namespace="c0a86418-2b64-471f-9481-49bf08eb0dd7"/>
    <xsd:import namespace="1f65bb1f-ea05-496a-8d40-636bcb76c6ea"/>
    <xsd:element name="properties">
      <xsd:complexType>
        <xsd:sequence>
          <xsd:element name="documentManagement">
            <xsd:complexType>
              <xsd:all>
                <xsd:element ref="ns2:SharedWithUsers" minOccurs="0"/>
                <xsd:element ref="ns3:SharingHintHash" minOccurs="0"/>
                <xsd:element ref="ns2:SharedWithDetails" minOccurs="0"/>
                <xsd:element ref="ns1:_dlc_Exempt"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a86418-2b64-471f-9481-49bf08eb0dd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65bb1f-ea05-496a-8d40-636bcb76c6ea"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LastSharedByUser" ma:index="12" nillable="true" ma:displayName="Last Shared By User" ma:description="" ma:internalName="LastSharedByUser" ma:readOnly="true">
      <xsd:simpleType>
        <xsd:restriction base="dms:Note">
          <xsd:maxLength value="255"/>
        </xsd:restriction>
      </xsd:simpleType>
    </xsd:element>
    <xsd:element name="LastSharedByTime" ma:index="13"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1B83E0-DFB1-4FC6-8541-2A34A5BE841A}">
  <ds:schemaRefs>
    <ds:schemaRef ds:uri="office.server.policy"/>
  </ds:schemaRefs>
</ds:datastoreItem>
</file>

<file path=customXml/itemProps2.xml><?xml version="1.0" encoding="utf-8"?>
<ds:datastoreItem xmlns:ds="http://schemas.openxmlformats.org/officeDocument/2006/customXml" ds:itemID="{7A1B6A7C-A9B4-41B2-BB98-1F6A3236AD19}">
  <ds:schemaRefs>
    <ds:schemaRef ds:uri="c0a86418-2b64-471f-9481-49bf08eb0dd7"/>
    <ds:schemaRef ds:uri="http://schemas.microsoft.com/office/infopath/2007/PartnerControls"/>
    <ds:schemaRef ds:uri="http://purl.org/dc/dcmitype/"/>
    <ds:schemaRef ds:uri="http://schemas.microsoft.com/sharepoint/v3"/>
    <ds:schemaRef ds:uri="http://purl.org/dc/elements/1.1/"/>
    <ds:schemaRef ds:uri="http://purl.org/dc/terms/"/>
    <ds:schemaRef ds:uri="http://schemas.microsoft.com/office/2006/documentManagement/types"/>
    <ds:schemaRef ds:uri="http://schemas.openxmlformats.org/package/2006/metadata/core-properties"/>
    <ds:schemaRef ds:uri="1f65bb1f-ea05-496a-8d40-636bcb76c6ea"/>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2DCB299B-C3C5-4077-A5F8-A52CE2401FE9}">
  <ds:schemaRefs>
    <ds:schemaRef ds:uri="http://schemas.microsoft.com/sharepoint/v3/contenttype/forms"/>
  </ds:schemaRefs>
</ds:datastoreItem>
</file>

<file path=customXml/itemProps4.xml><?xml version="1.0" encoding="utf-8"?>
<ds:datastoreItem xmlns:ds="http://schemas.openxmlformats.org/officeDocument/2006/customXml" ds:itemID="{B43EC082-7A23-4A0F-98DC-01CFC56792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0a86418-2b64-471f-9481-49bf08eb0dd7"/>
    <ds:schemaRef ds:uri="1f65bb1f-ea05-496a-8d40-636bcb76c6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Notes</vt:lpstr>
      <vt:lpstr>Departments</vt:lpstr>
      <vt:lpstr>Subscriptions</vt:lpstr>
      <vt:lpstr>Partner</vt:lpstr>
      <vt:lpstr>Locations</vt:lpstr>
      <vt:lpstr>VNETS</vt:lpstr>
      <vt:lpstr>Subnets</vt:lpstr>
      <vt:lpstr>LclNtwrk</vt:lpstr>
      <vt:lpstr>NSG</vt:lpstr>
      <vt:lpstr>NSGRules</vt:lpstr>
      <vt:lpstr>Storage</vt:lpstr>
      <vt:lpstr>Users</vt:lpstr>
      <vt:lpstr>Role</vt:lpstr>
      <vt:lpstr>RBAC</vt:lpstr>
      <vt:lpstr>Personas</vt:lpstr>
      <vt:lpstr>ServerBuild Sheets</vt:lpstr>
      <vt:lpstr>Sum Azure Services</vt:lpstr>
      <vt:lpstr>Azure Specs</vt:lpstr>
      <vt:lpstr>sub_Forecast</vt:lpstr>
      <vt:lpstr>PowerShell</vt:lpstr>
      <vt:lpstr>PortConfig</vt:lpstr>
      <vt:lpstr>Risks</vt:lpstr>
      <vt:lpstr>AzureID</vt:lpstr>
      <vt:lpstr>SiteID</vt:lpstr>
      <vt:lpstr>VLANID</vt:lpstr>
      <vt:lpstr>VLANs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St Germain IV</dc:creator>
  <cp:lastModifiedBy>WILL ST GERMAIN</cp:lastModifiedBy>
  <dcterms:created xsi:type="dcterms:W3CDTF">2012-02-23T00:55:50Z</dcterms:created>
  <dcterms:modified xsi:type="dcterms:W3CDTF">2016-09-05T14:36:18Z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0x0101000D2BAD2563FE2143841BCE7C674FABCC</vt:lpwstr>
  </property>
  <property fmtid="{D5CDD505-2E9C-101B-9397-08002B2CF9AE}" pid="3" name="IsMyDocuments">
    <vt:bool>true</vt:bool>
  </property>
  <property fmtid="{D5CDD505-2E9C-101B-9397-08002B2CF9AE}" pid="4" name="DocVizMetadataToken">
    <vt:lpwstr>300x521x2</vt:lpwstr>
  </property>
</Properties>
</file>