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9600" windowHeight="3293" tabRatio="784" firstSheet="4" activeTab="9"/>
  </bookViews>
  <sheets>
    <sheet name="Notes" sheetId="39" r:id="rId1"/>
    <sheet name="Departments" sheetId="40" r:id="rId2"/>
    <sheet name="Subscriptions" sheetId="35" r:id="rId3"/>
    <sheet name="Partner" sheetId="53" r:id="rId4"/>
    <sheet name="Locations" sheetId="23" r:id="rId5"/>
    <sheet name="VNETS" sheetId="37" r:id="rId6"/>
    <sheet name="Subnets" sheetId="15" r:id="rId7"/>
    <sheet name="LclNtwrk" sheetId="38" r:id="rId8"/>
    <sheet name="NSGGroups" sheetId="11" r:id="rId9"/>
    <sheet name="NSGRules" sheetId="41" r:id="rId10"/>
    <sheet name="Storage" sheetId="36" r:id="rId11"/>
    <sheet name="Users" sheetId="33" r:id="rId12"/>
    <sheet name="Role" sheetId="45" r:id="rId13"/>
    <sheet name="RBAC" sheetId="46" r:id="rId14"/>
    <sheet name="Personas" sheetId="29" r:id="rId15"/>
    <sheet name="ServerBuild Sheets" sheetId="7" r:id="rId16"/>
    <sheet name="Sum Azure Services" sheetId="28" r:id="rId17"/>
    <sheet name="Azure Specs" sheetId="22" r:id="rId18"/>
    <sheet name="sub_Forecast" sheetId="52" r:id="rId19"/>
    <sheet name="PowerShell" sheetId="19" r:id="rId20"/>
    <sheet name="PortConfig" sheetId="25" r:id="rId21"/>
    <sheet name="Risks" sheetId="4" r:id="rId22"/>
  </sheets>
  <externalReferences>
    <externalReference r:id="rId23"/>
  </externalReferences>
  <definedNames>
    <definedName name="_xlnm._FilterDatabase" localSheetId="20" hidden="1">PortConfig!$A$1:$J$235</definedName>
    <definedName name="_xlnm._FilterDatabase" localSheetId="15" hidden="1">'ServerBuild Sheets'!#REF!</definedName>
    <definedName name="AzureID" localSheetId="2">[1]!Table10[#All]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2">[1]!Table12[#All]</definedName>
    <definedName name="SiteID">Locations[#All]</definedName>
    <definedName name="SoftwareID" localSheetId="2">[1]Software!$A:$U</definedName>
    <definedName name="SoftwareID">#REF!</definedName>
    <definedName name="Transition">#REF!</definedName>
    <definedName name="VLANID" localSheetId="2">[1]VLANs!$D$1:$M$32</definedName>
    <definedName name="VLANID">Subnets!$I$1:$S$207</definedName>
    <definedName name="VLANs">Subnets!$I$1:$O$1</definedName>
  </definedNames>
  <calcPr calcId="171027"/>
  <pivotCaches>
    <pivotCache cacheId="0" r:id="rId24"/>
  </pivotCaches>
</workbook>
</file>

<file path=xl/calcChain.xml><?xml version="1.0" encoding="utf-8"?>
<calcChain xmlns="http://schemas.openxmlformats.org/spreadsheetml/2006/main">
  <c r="C138" i="41" l="1"/>
  <c r="S138" i="41" s="1"/>
  <c r="D138" i="41"/>
  <c r="P138" i="41"/>
  <c r="Q138" i="41"/>
  <c r="R138" i="41"/>
  <c r="R137" i="41"/>
  <c r="N137" i="41"/>
  <c r="D137" i="41"/>
  <c r="R136" i="41"/>
  <c r="D136" i="41"/>
  <c r="R135" i="41"/>
  <c r="D135" i="41"/>
  <c r="R134" i="41"/>
  <c r="N134" i="41"/>
  <c r="D134" i="41"/>
  <c r="R133" i="41"/>
  <c r="D133" i="41"/>
  <c r="R132" i="41"/>
  <c r="D132" i="41"/>
  <c r="R131" i="41"/>
  <c r="D131" i="41"/>
  <c r="R130" i="41"/>
  <c r="N130" i="41"/>
  <c r="D130" i="41"/>
  <c r="R129" i="41"/>
  <c r="N129" i="41"/>
  <c r="D129" i="41"/>
  <c r="R128" i="41"/>
  <c r="D128" i="41"/>
  <c r="R127" i="41"/>
  <c r="D127" i="41"/>
  <c r="R126" i="41"/>
  <c r="D126" i="41"/>
  <c r="R125" i="41"/>
  <c r="N125" i="41"/>
  <c r="D125" i="41"/>
  <c r="R124" i="41"/>
  <c r="D124" i="41"/>
  <c r="R123" i="41"/>
  <c r="N123" i="41"/>
  <c r="D123" i="41"/>
  <c r="R122" i="41"/>
  <c r="N122" i="41"/>
  <c r="D122" i="41"/>
  <c r="R121" i="41"/>
  <c r="D121" i="41"/>
  <c r="R120" i="41"/>
  <c r="N120" i="41"/>
  <c r="D120" i="41"/>
  <c r="R119" i="41"/>
  <c r="D119" i="41"/>
  <c r="R118" i="41"/>
  <c r="N118" i="41"/>
  <c r="D118" i="41"/>
  <c r="R117" i="41"/>
  <c r="N117" i="41"/>
  <c r="D117" i="41"/>
  <c r="R116" i="41"/>
  <c r="N116" i="41"/>
  <c r="D116" i="41"/>
  <c r="R115" i="41"/>
  <c r="N115" i="41"/>
  <c r="D115" i="41"/>
  <c r="R114" i="41"/>
  <c r="D114" i="41"/>
  <c r="R113" i="41"/>
  <c r="N113" i="41"/>
  <c r="D113" i="41"/>
  <c r="R112" i="41"/>
  <c r="D112" i="41"/>
  <c r="R111" i="41"/>
  <c r="N111" i="41"/>
  <c r="D111" i="41"/>
  <c r="R110" i="41"/>
  <c r="N110" i="41"/>
  <c r="D110" i="41"/>
  <c r="R109" i="41"/>
  <c r="N109" i="41"/>
  <c r="D109" i="41"/>
  <c r="R108" i="41"/>
  <c r="N108" i="41"/>
  <c r="D108" i="41"/>
  <c r="R107" i="41"/>
  <c r="N107" i="41"/>
  <c r="D107" i="41"/>
  <c r="R106" i="41"/>
  <c r="N106" i="41"/>
  <c r="D106" i="41"/>
  <c r="R105" i="41"/>
  <c r="N105" i="41"/>
  <c r="D105" i="41"/>
  <c r="R104" i="41"/>
  <c r="N104" i="41"/>
  <c r="D104" i="41"/>
  <c r="R103" i="41"/>
  <c r="D103" i="41"/>
  <c r="R102" i="41"/>
  <c r="N102" i="41"/>
  <c r="D102" i="41"/>
  <c r="R101" i="41"/>
  <c r="N101" i="41"/>
  <c r="D101" i="41"/>
  <c r="R100" i="41"/>
  <c r="D100" i="41"/>
  <c r="R99" i="41"/>
  <c r="N99" i="41"/>
  <c r="D99" i="41"/>
  <c r="R98" i="41"/>
  <c r="N98" i="41"/>
  <c r="D98" i="41"/>
  <c r="R97" i="41"/>
  <c r="N97" i="41"/>
  <c r="D97" i="41"/>
  <c r="R96" i="41"/>
  <c r="N96" i="41"/>
  <c r="D96" i="41"/>
  <c r="R95" i="41"/>
  <c r="N95" i="41"/>
  <c r="D95" i="41"/>
  <c r="R94" i="41"/>
  <c r="N94" i="41"/>
  <c r="D94" i="41"/>
  <c r="R93" i="41"/>
  <c r="N93" i="41"/>
  <c r="D93" i="41"/>
  <c r="R92" i="41"/>
  <c r="N92" i="41"/>
  <c r="D92" i="41"/>
  <c r="R91" i="41"/>
  <c r="N91" i="41"/>
  <c r="D91" i="41"/>
  <c r="R90" i="41"/>
  <c r="N90" i="41"/>
  <c r="D90" i="41"/>
  <c r="R89" i="41"/>
  <c r="D89" i="41"/>
  <c r="R88" i="41"/>
  <c r="N88" i="41"/>
  <c r="D88" i="41"/>
  <c r="R87" i="41"/>
  <c r="N87" i="41"/>
  <c r="D87" i="41"/>
  <c r="R86" i="41"/>
  <c r="D86" i="41"/>
  <c r="R85" i="41"/>
  <c r="N85" i="41"/>
  <c r="D85" i="41"/>
  <c r="R84" i="41"/>
  <c r="N84" i="41"/>
  <c r="D84" i="41"/>
  <c r="R83" i="41"/>
  <c r="N83" i="41"/>
  <c r="D83" i="41"/>
  <c r="R82" i="41"/>
  <c r="N82" i="41"/>
  <c r="D82" i="41"/>
  <c r="R81" i="41"/>
  <c r="N81" i="41"/>
  <c r="D81" i="41"/>
  <c r="R80" i="41"/>
  <c r="D80" i="41"/>
  <c r="R79" i="41"/>
  <c r="N79" i="41"/>
  <c r="D79" i="41"/>
  <c r="R78" i="41"/>
  <c r="N78" i="41"/>
  <c r="D78" i="41"/>
  <c r="R77" i="41"/>
  <c r="N77" i="41"/>
  <c r="D77" i="41"/>
  <c r="R76" i="41"/>
  <c r="N76" i="41"/>
  <c r="D76" i="41"/>
  <c r="R75" i="41"/>
  <c r="N75" i="41"/>
  <c r="D75" i="41"/>
  <c r="R74" i="41"/>
  <c r="D74" i="41"/>
  <c r="R73" i="41"/>
  <c r="N73" i="41"/>
  <c r="D73" i="41"/>
  <c r="R72" i="41"/>
  <c r="N72" i="41"/>
  <c r="D72" i="41"/>
  <c r="R71" i="41"/>
  <c r="N71" i="41"/>
  <c r="D71" i="41"/>
  <c r="R70" i="41"/>
  <c r="N70" i="41"/>
  <c r="D70" i="41"/>
  <c r="L14" i="11"/>
  <c r="Q82" i="41" s="1"/>
  <c r="L15" i="11"/>
  <c r="Q83" i="41" s="1"/>
  <c r="L16" i="11"/>
  <c r="Q84" i="41" s="1"/>
  <c r="L17" i="11"/>
  <c r="Q85" i="41" s="1"/>
  <c r="L18" i="11"/>
  <c r="Q86" i="41" s="1"/>
  <c r="L19" i="11"/>
  <c r="Q87" i="41" s="1"/>
  <c r="L20" i="11"/>
  <c r="Q88" i="41" s="1"/>
  <c r="L21" i="11"/>
  <c r="Q89" i="41" s="1"/>
  <c r="L22" i="11"/>
  <c r="Q90" i="41" s="1"/>
  <c r="L23" i="11"/>
  <c r="Q91" i="41" s="1"/>
  <c r="L24" i="11"/>
  <c r="Q92" i="41" s="1"/>
  <c r="L25" i="11"/>
  <c r="Q93" i="41" s="1"/>
  <c r="L26" i="11"/>
  <c r="Q94" i="41" s="1"/>
  <c r="L27" i="11"/>
  <c r="Q95" i="41" s="1"/>
  <c r="L28" i="11"/>
  <c r="Q96" i="41" s="1"/>
  <c r="L29" i="11"/>
  <c r="Q97" i="41" s="1"/>
  <c r="L30" i="11"/>
  <c r="Q98" i="41" s="1"/>
  <c r="L31" i="11"/>
  <c r="Q99" i="41" s="1"/>
  <c r="L32" i="11"/>
  <c r="Q100" i="41" s="1"/>
  <c r="L33" i="11"/>
  <c r="Q101" i="41" s="1"/>
  <c r="L34" i="11"/>
  <c r="Q102" i="41" s="1"/>
  <c r="L35" i="11"/>
  <c r="Q103" i="41" s="1"/>
  <c r="L36" i="11"/>
  <c r="Q104" i="41" s="1"/>
  <c r="L37" i="11"/>
  <c r="Q105" i="41" s="1"/>
  <c r="L38" i="11"/>
  <c r="Q106" i="41" s="1"/>
  <c r="L39" i="11"/>
  <c r="Q107" i="41" s="1"/>
  <c r="L40" i="11"/>
  <c r="Q108" i="41" s="1"/>
  <c r="L41" i="11"/>
  <c r="Q109" i="41" s="1"/>
  <c r="L42" i="11"/>
  <c r="Q110" i="41" s="1"/>
  <c r="L43" i="11"/>
  <c r="Q111" i="41" s="1"/>
  <c r="L44" i="11"/>
  <c r="Q112" i="41" s="1"/>
  <c r="L45" i="11"/>
  <c r="Q113" i="41" s="1"/>
  <c r="L46" i="11"/>
  <c r="Q114" i="41" s="1"/>
  <c r="L47" i="11"/>
  <c r="Q115" i="41" s="1"/>
  <c r="L48" i="11"/>
  <c r="Q116" i="41" s="1"/>
  <c r="L49" i="11"/>
  <c r="Q117" i="41" s="1"/>
  <c r="L50" i="11"/>
  <c r="Q118" i="41" s="1"/>
  <c r="L51" i="11"/>
  <c r="Q119" i="41" s="1"/>
  <c r="L52" i="11"/>
  <c r="Q120" i="41" s="1"/>
  <c r="L53" i="11"/>
  <c r="Q121" i="41" s="1"/>
  <c r="L54" i="11"/>
  <c r="Q122" i="41" s="1"/>
  <c r="L55" i="11"/>
  <c r="Q123" i="41" s="1"/>
  <c r="L56" i="11"/>
  <c r="Q124" i="41" s="1"/>
  <c r="L57" i="11"/>
  <c r="Q125" i="41" s="1"/>
  <c r="L58" i="11"/>
  <c r="Q126" i="41" s="1"/>
  <c r="L59" i="11"/>
  <c r="Q127" i="41" s="1"/>
  <c r="L60" i="11"/>
  <c r="Q128" i="41" s="1"/>
  <c r="L61" i="11"/>
  <c r="Q129" i="41" s="1"/>
  <c r="L62" i="11"/>
  <c r="Q130" i="41" s="1"/>
  <c r="L63" i="11"/>
  <c r="Q131" i="41" s="1"/>
  <c r="L64" i="11"/>
  <c r="Q132" i="41" s="1"/>
  <c r="L65" i="11"/>
  <c r="Q133" i="41" s="1"/>
  <c r="L66" i="11"/>
  <c r="Q134" i="41" s="1"/>
  <c r="L67" i="11"/>
  <c r="Q135" i="41" s="1"/>
  <c r="L68" i="11"/>
  <c r="Q136" i="41" s="1"/>
  <c r="L69" i="11"/>
  <c r="Q137" i="41" s="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I137" i="11"/>
  <c r="G137" i="11"/>
  <c r="C137" i="11"/>
  <c r="I136" i="11"/>
  <c r="H136" i="11"/>
  <c r="G136" i="11"/>
  <c r="C136" i="11"/>
  <c r="I135" i="11"/>
  <c r="H135" i="11"/>
  <c r="G135" i="11"/>
  <c r="C135" i="11"/>
  <c r="I134" i="11"/>
  <c r="G134" i="11"/>
  <c r="C134" i="11"/>
  <c r="I133" i="11"/>
  <c r="H133" i="11"/>
  <c r="G133" i="11"/>
  <c r="C133" i="11"/>
  <c r="I132" i="11"/>
  <c r="H132" i="11"/>
  <c r="G132" i="11"/>
  <c r="C132" i="11"/>
  <c r="I131" i="11"/>
  <c r="H131" i="11"/>
  <c r="G131" i="11"/>
  <c r="C131" i="11"/>
  <c r="I130" i="11"/>
  <c r="G130" i="11"/>
  <c r="C130" i="11"/>
  <c r="I129" i="11"/>
  <c r="G129" i="11"/>
  <c r="C129" i="11"/>
  <c r="I128" i="11"/>
  <c r="H128" i="11"/>
  <c r="G128" i="11"/>
  <c r="C128" i="11"/>
  <c r="I127" i="11"/>
  <c r="H127" i="11"/>
  <c r="G127" i="11"/>
  <c r="C127" i="11"/>
  <c r="I126" i="11"/>
  <c r="H126" i="11"/>
  <c r="G126" i="11"/>
  <c r="C126" i="11"/>
  <c r="I125" i="11"/>
  <c r="G125" i="11"/>
  <c r="C125" i="11"/>
  <c r="I124" i="11"/>
  <c r="H124" i="11"/>
  <c r="G124" i="11"/>
  <c r="C124" i="11"/>
  <c r="I123" i="11"/>
  <c r="G123" i="11"/>
  <c r="C123" i="11"/>
  <c r="I122" i="11"/>
  <c r="G122" i="11"/>
  <c r="C122" i="11"/>
  <c r="I121" i="11"/>
  <c r="H121" i="11"/>
  <c r="G121" i="11"/>
  <c r="C121" i="11"/>
  <c r="I120" i="11"/>
  <c r="G120" i="11"/>
  <c r="C120" i="11"/>
  <c r="I119" i="11"/>
  <c r="H119" i="11"/>
  <c r="G119" i="11"/>
  <c r="C119" i="11"/>
  <c r="I118" i="11"/>
  <c r="G118" i="11"/>
  <c r="C118" i="11"/>
  <c r="I117" i="11"/>
  <c r="G117" i="11"/>
  <c r="C117" i="11"/>
  <c r="I116" i="11"/>
  <c r="G116" i="11"/>
  <c r="C116" i="11"/>
  <c r="I115" i="11"/>
  <c r="G115" i="11"/>
  <c r="C115" i="11"/>
  <c r="I114" i="11"/>
  <c r="H114" i="11"/>
  <c r="G114" i="11"/>
  <c r="C114" i="11"/>
  <c r="I113" i="11"/>
  <c r="G113" i="11"/>
  <c r="C113" i="11"/>
  <c r="I112" i="11"/>
  <c r="H112" i="11"/>
  <c r="G112" i="11"/>
  <c r="C112" i="11"/>
  <c r="I111" i="11"/>
  <c r="G111" i="11"/>
  <c r="C111" i="11"/>
  <c r="I110" i="11"/>
  <c r="G110" i="11"/>
  <c r="C110" i="11"/>
  <c r="I109" i="11"/>
  <c r="G109" i="11"/>
  <c r="C109" i="11"/>
  <c r="I108" i="11"/>
  <c r="G108" i="11"/>
  <c r="C108" i="11"/>
  <c r="I107" i="11"/>
  <c r="G107" i="11"/>
  <c r="C107" i="11"/>
  <c r="I106" i="11"/>
  <c r="G106" i="11"/>
  <c r="C106" i="11"/>
  <c r="I105" i="11"/>
  <c r="G105" i="11"/>
  <c r="C105" i="11"/>
  <c r="I104" i="11"/>
  <c r="G104" i="11"/>
  <c r="C104" i="11"/>
  <c r="I103" i="11"/>
  <c r="H103" i="11"/>
  <c r="G103" i="11"/>
  <c r="C103" i="11"/>
  <c r="I102" i="11"/>
  <c r="G102" i="11"/>
  <c r="C102" i="11"/>
  <c r="I101" i="11"/>
  <c r="G101" i="11"/>
  <c r="C101" i="11"/>
  <c r="I100" i="11"/>
  <c r="H100" i="11"/>
  <c r="G100" i="11"/>
  <c r="C100" i="11"/>
  <c r="I99" i="11"/>
  <c r="G99" i="11"/>
  <c r="C99" i="11"/>
  <c r="I98" i="11"/>
  <c r="G98" i="11"/>
  <c r="C98" i="11"/>
  <c r="I97" i="11"/>
  <c r="G97" i="11"/>
  <c r="C97" i="11"/>
  <c r="I96" i="11"/>
  <c r="G96" i="11"/>
  <c r="C96" i="11"/>
  <c r="I95" i="11"/>
  <c r="G95" i="11"/>
  <c r="C95" i="11"/>
  <c r="I94" i="11"/>
  <c r="G94" i="11"/>
  <c r="C94" i="11"/>
  <c r="I93" i="11"/>
  <c r="G93" i="11"/>
  <c r="C93" i="11"/>
  <c r="I92" i="11"/>
  <c r="G92" i="11"/>
  <c r="C92" i="11"/>
  <c r="I91" i="11"/>
  <c r="G91" i="11"/>
  <c r="C91" i="11"/>
  <c r="I90" i="11"/>
  <c r="G90" i="11"/>
  <c r="C90" i="11"/>
  <c r="I89" i="11"/>
  <c r="H89" i="11"/>
  <c r="G89" i="11"/>
  <c r="C89" i="11"/>
  <c r="I88" i="11"/>
  <c r="G88" i="11"/>
  <c r="C88" i="11"/>
  <c r="I87" i="11"/>
  <c r="G87" i="11"/>
  <c r="C87" i="11"/>
  <c r="I86" i="11"/>
  <c r="H86" i="11"/>
  <c r="G86" i="11"/>
  <c r="C86" i="11"/>
  <c r="I85" i="11"/>
  <c r="G85" i="11"/>
  <c r="C85" i="11"/>
  <c r="I84" i="11"/>
  <c r="G84" i="11"/>
  <c r="C84" i="11"/>
  <c r="I83" i="11"/>
  <c r="G83" i="11"/>
  <c r="C83" i="11"/>
  <c r="I82" i="11"/>
  <c r="G82" i="11"/>
  <c r="C82" i="11"/>
  <c r="I81" i="11"/>
  <c r="G81" i="11"/>
  <c r="C81" i="11"/>
  <c r="I80" i="11"/>
  <c r="H80" i="11"/>
  <c r="G80" i="11"/>
  <c r="C80" i="11"/>
  <c r="I79" i="11"/>
  <c r="G79" i="11"/>
  <c r="C79" i="11"/>
  <c r="I78" i="11"/>
  <c r="G78" i="11"/>
  <c r="C78" i="11"/>
  <c r="I77" i="11"/>
  <c r="G77" i="11"/>
  <c r="C77" i="11"/>
  <c r="I76" i="11"/>
  <c r="G76" i="11"/>
  <c r="C76" i="11"/>
  <c r="I75" i="11"/>
  <c r="G75" i="11"/>
  <c r="C75" i="11"/>
  <c r="I74" i="11"/>
  <c r="H74" i="11"/>
  <c r="G74" i="11"/>
  <c r="C74" i="11"/>
  <c r="I73" i="11"/>
  <c r="G73" i="11"/>
  <c r="C73" i="11"/>
  <c r="I72" i="11"/>
  <c r="G72" i="11"/>
  <c r="C72" i="11"/>
  <c r="I71" i="11"/>
  <c r="G71" i="11"/>
  <c r="C71" i="11"/>
  <c r="I70" i="11"/>
  <c r="G70" i="11"/>
  <c r="C70" i="11"/>
  <c r="V207" i="15"/>
  <c r="U207" i="15"/>
  <c r="P207" i="15"/>
  <c r="O207" i="15"/>
  <c r="G207" i="15"/>
  <c r="V206" i="15"/>
  <c r="U206" i="15"/>
  <c r="P206" i="15"/>
  <c r="O206" i="15"/>
  <c r="F206" i="15"/>
  <c r="V205" i="15"/>
  <c r="U205" i="15"/>
  <c r="P205" i="15"/>
  <c r="O205" i="15"/>
  <c r="V204" i="15"/>
  <c r="U204" i="15"/>
  <c r="P204" i="15"/>
  <c r="O204" i="15"/>
  <c r="V203" i="15"/>
  <c r="U203" i="15"/>
  <c r="P203" i="15"/>
  <c r="O203" i="15"/>
  <c r="G203" i="15"/>
  <c r="V202" i="15"/>
  <c r="U202" i="15"/>
  <c r="P202" i="15"/>
  <c r="O202" i="15"/>
  <c r="F202" i="15"/>
  <c r="V201" i="15"/>
  <c r="U201" i="15"/>
  <c r="P201" i="15"/>
  <c r="O201" i="15"/>
  <c r="V200" i="15"/>
  <c r="U200" i="15"/>
  <c r="P200" i="15"/>
  <c r="O200" i="15"/>
  <c r="N200" i="15"/>
  <c r="V199" i="15"/>
  <c r="U199" i="15"/>
  <c r="P199" i="15"/>
  <c r="O199" i="15"/>
  <c r="V198" i="15"/>
  <c r="U198" i="15"/>
  <c r="P198" i="15"/>
  <c r="O198" i="15"/>
  <c r="F198" i="15"/>
  <c r="V197" i="15"/>
  <c r="U197" i="15"/>
  <c r="P197" i="15"/>
  <c r="O197" i="15"/>
  <c r="V196" i="15"/>
  <c r="U196" i="15"/>
  <c r="P196" i="15"/>
  <c r="O196" i="15"/>
  <c r="N196" i="15"/>
  <c r="V195" i="15"/>
  <c r="U195" i="15"/>
  <c r="P195" i="15"/>
  <c r="O195" i="15"/>
  <c r="V194" i="15"/>
  <c r="U194" i="15"/>
  <c r="P194" i="15"/>
  <c r="O194" i="15"/>
  <c r="F194" i="15"/>
  <c r="V193" i="15"/>
  <c r="U193" i="15"/>
  <c r="P193" i="15"/>
  <c r="O193" i="15"/>
  <c r="N193" i="15"/>
  <c r="V192" i="15"/>
  <c r="U192" i="15"/>
  <c r="P192" i="15"/>
  <c r="O192" i="15"/>
  <c r="G192" i="15"/>
  <c r="V191" i="15"/>
  <c r="U191" i="15"/>
  <c r="P191" i="15"/>
  <c r="O191" i="15"/>
  <c r="V190" i="15"/>
  <c r="U190" i="15"/>
  <c r="P190" i="15"/>
  <c r="O190" i="15"/>
  <c r="V189" i="15"/>
  <c r="U189" i="15"/>
  <c r="P189" i="15"/>
  <c r="O189" i="15"/>
  <c r="N189" i="15"/>
  <c r="V188" i="15"/>
  <c r="U188" i="15"/>
  <c r="P188" i="15"/>
  <c r="O188" i="15"/>
  <c r="G188" i="15"/>
  <c r="V187" i="15"/>
  <c r="U187" i="15"/>
  <c r="P187" i="15"/>
  <c r="O187" i="15"/>
  <c r="G187" i="15"/>
  <c r="V186" i="15"/>
  <c r="U186" i="15"/>
  <c r="P186" i="15"/>
  <c r="O186" i="15"/>
  <c r="F186" i="15"/>
  <c r="V185" i="15"/>
  <c r="U185" i="15"/>
  <c r="P185" i="15"/>
  <c r="O185" i="15"/>
  <c r="V184" i="15"/>
  <c r="U184" i="15"/>
  <c r="P184" i="15"/>
  <c r="O184" i="15"/>
  <c r="N184" i="15"/>
  <c r="V183" i="15"/>
  <c r="U183" i="15"/>
  <c r="P183" i="15"/>
  <c r="O183" i="15"/>
  <c r="G183" i="15"/>
  <c r="V182" i="15"/>
  <c r="U182" i="15"/>
  <c r="P182" i="15"/>
  <c r="O182" i="15"/>
  <c r="F182" i="15"/>
  <c r="V181" i="15"/>
  <c r="U181" i="15"/>
  <c r="P181" i="15"/>
  <c r="O181" i="15"/>
  <c r="V180" i="15"/>
  <c r="U180" i="15"/>
  <c r="P180" i="15"/>
  <c r="O180" i="15"/>
  <c r="F180" i="15"/>
  <c r="V179" i="15"/>
  <c r="U179" i="15"/>
  <c r="P179" i="15"/>
  <c r="O179" i="15"/>
  <c r="V178" i="15"/>
  <c r="U178" i="15"/>
  <c r="P178" i="15"/>
  <c r="O178" i="15"/>
  <c r="N178" i="15"/>
  <c r="V177" i="15"/>
  <c r="U177" i="15"/>
  <c r="P177" i="15"/>
  <c r="O177" i="15"/>
  <c r="V176" i="15"/>
  <c r="U176" i="15"/>
  <c r="P176" i="15"/>
  <c r="O176" i="15"/>
  <c r="F176" i="15"/>
  <c r="V175" i="15"/>
  <c r="U175" i="15"/>
  <c r="P175" i="15"/>
  <c r="O175" i="15"/>
  <c r="V174" i="15"/>
  <c r="U174" i="15"/>
  <c r="P174" i="15"/>
  <c r="O174" i="15"/>
  <c r="N174" i="15"/>
  <c r="V173" i="15"/>
  <c r="U173" i="15"/>
  <c r="P173" i="15"/>
  <c r="O173" i="15"/>
  <c r="V172" i="15"/>
  <c r="U172" i="15"/>
  <c r="P172" i="15"/>
  <c r="O172" i="15"/>
  <c r="F172" i="15"/>
  <c r="V171" i="15"/>
  <c r="U171" i="15"/>
  <c r="P171" i="15"/>
  <c r="O171" i="15"/>
  <c r="V170" i="15"/>
  <c r="U170" i="15"/>
  <c r="P170" i="15"/>
  <c r="O170" i="15"/>
  <c r="N170" i="15"/>
  <c r="V169" i="15"/>
  <c r="U169" i="15"/>
  <c r="P169" i="15"/>
  <c r="O169" i="15"/>
  <c r="V168" i="15"/>
  <c r="U168" i="15"/>
  <c r="P168" i="15"/>
  <c r="O168" i="15"/>
  <c r="V167" i="15"/>
  <c r="U167" i="15"/>
  <c r="P167" i="15"/>
  <c r="O167" i="15"/>
  <c r="G167" i="15"/>
  <c r="V166" i="15"/>
  <c r="U166" i="15"/>
  <c r="P166" i="15"/>
  <c r="O166" i="15"/>
  <c r="F166" i="15"/>
  <c r="V165" i="15"/>
  <c r="U165" i="15"/>
  <c r="P165" i="15"/>
  <c r="O165" i="15"/>
  <c r="V164" i="15"/>
  <c r="U164" i="15"/>
  <c r="P164" i="15"/>
  <c r="O164" i="15"/>
  <c r="V163" i="15"/>
  <c r="U163" i="15"/>
  <c r="P163" i="15"/>
  <c r="O163" i="15"/>
  <c r="G163" i="15"/>
  <c r="V162" i="15"/>
  <c r="U162" i="15"/>
  <c r="P162" i="15"/>
  <c r="O162" i="15"/>
  <c r="F162" i="15"/>
  <c r="V161" i="15"/>
  <c r="U161" i="15"/>
  <c r="P161" i="15"/>
  <c r="O161" i="15"/>
  <c r="V160" i="15"/>
  <c r="U160" i="15"/>
  <c r="P160" i="15"/>
  <c r="O160" i="15"/>
  <c r="V159" i="15"/>
  <c r="U159" i="15"/>
  <c r="P159" i="15"/>
  <c r="O159" i="15"/>
  <c r="G159" i="15"/>
  <c r="V158" i="15"/>
  <c r="U158" i="15"/>
  <c r="P158" i="15"/>
  <c r="O158" i="15"/>
  <c r="F158" i="15"/>
  <c r="V157" i="15"/>
  <c r="U157" i="15"/>
  <c r="P157" i="15"/>
  <c r="O157" i="15"/>
  <c r="V156" i="15"/>
  <c r="U156" i="15"/>
  <c r="P156" i="15"/>
  <c r="O156" i="15"/>
  <c r="N156" i="15"/>
  <c r="V155" i="15"/>
  <c r="U155" i="15"/>
  <c r="P155" i="15"/>
  <c r="O155" i="15"/>
  <c r="G155" i="15"/>
  <c r="V154" i="15"/>
  <c r="U154" i="15"/>
  <c r="P154" i="15"/>
  <c r="O154" i="15"/>
  <c r="F154" i="15"/>
  <c r="V153" i="15"/>
  <c r="U153" i="15"/>
  <c r="P153" i="15"/>
  <c r="O153" i="15"/>
  <c r="V152" i="15"/>
  <c r="U152" i="15"/>
  <c r="P152" i="15"/>
  <c r="O152" i="15"/>
  <c r="N152" i="15"/>
  <c r="V151" i="15"/>
  <c r="U151" i="15"/>
  <c r="P151" i="15"/>
  <c r="O151" i="15"/>
  <c r="G151" i="15"/>
  <c r="V150" i="15"/>
  <c r="U150" i="15"/>
  <c r="P150" i="15"/>
  <c r="O150" i="15"/>
  <c r="F150" i="15"/>
  <c r="V149" i="15"/>
  <c r="U149" i="15"/>
  <c r="P149" i="15"/>
  <c r="O149" i="15"/>
  <c r="V148" i="15"/>
  <c r="U148" i="15"/>
  <c r="P148" i="15"/>
  <c r="O148" i="15"/>
  <c r="N148" i="15"/>
  <c r="V147" i="15"/>
  <c r="U147" i="15"/>
  <c r="P147" i="15"/>
  <c r="O147" i="15"/>
  <c r="G147" i="15"/>
  <c r="V146" i="15"/>
  <c r="U146" i="15"/>
  <c r="P146" i="15"/>
  <c r="O146" i="15"/>
  <c r="F146" i="15"/>
  <c r="V145" i="15"/>
  <c r="U145" i="15"/>
  <c r="P145" i="15"/>
  <c r="O145" i="15"/>
  <c r="V144" i="15"/>
  <c r="U144" i="15"/>
  <c r="P144" i="15"/>
  <c r="O144" i="15"/>
  <c r="N144" i="15"/>
  <c r="V143" i="15"/>
  <c r="U143" i="15"/>
  <c r="P143" i="15"/>
  <c r="O143" i="15"/>
  <c r="G143" i="15"/>
  <c r="V142" i="15"/>
  <c r="U142" i="15"/>
  <c r="P142" i="15"/>
  <c r="O142" i="15"/>
  <c r="F142" i="15"/>
  <c r="V141" i="15"/>
  <c r="U141" i="15"/>
  <c r="P141" i="15"/>
  <c r="O141" i="15"/>
  <c r="V140" i="15"/>
  <c r="U140" i="15"/>
  <c r="P140" i="15"/>
  <c r="O140" i="15"/>
  <c r="N140" i="15"/>
  <c r="V139" i="15"/>
  <c r="U139" i="15"/>
  <c r="P139" i="15"/>
  <c r="O139" i="15"/>
  <c r="G139" i="15"/>
  <c r="V138" i="15"/>
  <c r="U138" i="15"/>
  <c r="P138" i="15"/>
  <c r="O138" i="15"/>
  <c r="V137" i="15"/>
  <c r="U137" i="15"/>
  <c r="P137" i="15"/>
  <c r="O137" i="15"/>
  <c r="V136" i="15"/>
  <c r="U136" i="15"/>
  <c r="P136" i="15"/>
  <c r="O136" i="15"/>
  <c r="N136" i="15"/>
  <c r="V135" i="15"/>
  <c r="U135" i="15"/>
  <c r="P135" i="15"/>
  <c r="O135" i="15"/>
  <c r="G135" i="15"/>
  <c r="V134" i="15"/>
  <c r="U134" i="15"/>
  <c r="P134" i="15"/>
  <c r="O134" i="15"/>
  <c r="V133" i="15"/>
  <c r="U133" i="15"/>
  <c r="P133" i="15"/>
  <c r="O133" i="15"/>
  <c r="V132" i="15"/>
  <c r="U132" i="15"/>
  <c r="P132" i="15"/>
  <c r="O132" i="15"/>
  <c r="N132" i="15"/>
  <c r="V131" i="15"/>
  <c r="U131" i="15"/>
  <c r="P131" i="15"/>
  <c r="O131" i="15"/>
  <c r="G131" i="15"/>
  <c r="V130" i="15"/>
  <c r="U130" i="15"/>
  <c r="P130" i="15"/>
  <c r="O130" i="15"/>
  <c r="V129" i="15"/>
  <c r="U129" i="15"/>
  <c r="P129" i="15"/>
  <c r="O129" i="15"/>
  <c r="V128" i="15"/>
  <c r="U128" i="15"/>
  <c r="P128" i="15"/>
  <c r="O128" i="15"/>
  <c r="N128" i="15"/>
  <c r="V127" i="15"/>
  <c r="U127" i="15"/>
  <c r="P127" i="15"/>
  <c r="O127" i="15"/>
  <c r="G127" i="15"/>
  <c r="V126" i="15"/>
  <c r="U126" i="15"/>
  <c r="P126" i="15"/>
  <c r="O126" i="15"/>
  <c r="V125" i="15"/>
  <c r="U125" i="15"/>
  <c r="P125" i="15"/>
  <c r="O125" i="15"/>
  <c r="V124" i="15"/>
  <c r="U124" i="15"/>
  <c r="P124" i="15"/>
  <c r="O124" i="15"/>
  <c r="N124" i="15"/>
  <c r="V123" i="15"/>
  <c r="U123" i="15"/>
  <c r="P123" i="15"/>
  <c r="O123" i="15"/>
  <c r="E123" i="15"/>
  <c r="L88" i="11" s="1"/>
  <c r="V122" i="15"/>
  <c r="U122" i="15"/>
  <c r="P122" i="15"/>
  <c r="O122" i="15"/>
  <c r="E122" i="15"/>
  <c r="L87" i="11" s="1"/>
  <c r="V121" i="15"/>
  <c r="U121" i="15"/>
  <c r="P121" i="15"/>
  <c r="O121" i="15"/>
  <c r="E121" i="15"/>
  <c r="L86" i="11" s="1"/>
  <c r="V120" i="15"/>
  <c r="U120" i="15"/>
  <c r="P120" i="15"/>
  <c r="O120" i="15"/>
  <c r="E120" i="15"/>
  <c r="L85" i="11" s="1"/>
  <c r="V119" i="15"/>
  <c r="U119" i="15"/>
  <c r="P119" i="15"/>
  <c r="O119" i="15"/>
  <c r="E119" i="15"/>
  <c r="L84" i="11" s="1"/>
  <c r="V118" i="15"/>
  <c r="U118" i="15"/>
  <c r="P118" i="15"/>
  <c r="O118" i="15"/>
  <c r="E118" i="15"/>
  <c r="L83" i="11" s="1"/>
  <c r="V117" i="15"/>
  <c r="U117" i="15"/>
  <c r="P117" i="15"/>
  <c r="O117" i="15"/>
  <c r="E117" i="15"/>
  <c r="L82" i="11" s="1"/>
  <c r="V116" i="15"/>
  <c r="U116" i="15"/>
  <c r="P116" i="15"/>
  <c r="O116" i="15"/>
  <c r="E116" i="15"/>
  <c r="L81" i="11" s="1"/>
  <c r="V115" i="15"/>
  <c r="U115" i="15"/>
  <c r="P115" i="15"/>
  <c r="O115" i="15"/>
  <c r="E115" i="15"/>
  <c r="L80" i="11" s="1"/>
  <c r="V114" i="15"/>
  <c r="U114" i="15"/>
  <c r="P114" i="15"/>
  <c r="O114" i="15"/>
  <c r="E114" i="15"/>
  <c r="L79" i="11" s="1"/>
  <c r="V113" i="15"/>
  <c r="U113" i="15"/>
  <c r="P113" i="15"/>
  <c r="O113" i="15"/>
  <c r="E113" i="15"/>
  <c r="L78" i="11" s="1"/>
  <c r="V112" i="15"/>
  <c r="U112" i="15"/>
  <c r="P112" i="15"/>
  <c r="O112" i="15"/>
  <c r="E112" i="15"/>
  <c r="L77" i="11" s="1"/>
  <c r="V111" i="15"/>
  <c r="U111" i="15"/>
  <c r="P111" i="15"/>
  <c r="O111" i="15"/>
  <c r="E111" i="15"/>
  <c r="L76" i="11" s="1"/>
  <c r="V110" i="15"/>
  <c r="U110" i="15"/>
  <c r="P110" i="15"/>
  <c r="O110" i="15"/>
  <c r="E110" i="15"/>
  <c r="L75" i="11" s="1"/>
  <c r="V109" i="15"/>
  <c r="U109" i="15"/>
  <c r="P109" i="15"/>
  <c r="O109" i="15"/>
  <c r="G109" i="15"/>
  <c r="E109" i="15"/>
  <c r="L74" i="11" s="1"/>
  <c r="V108" i="15"/>
  <c r="U108" i="15"/>
  <c r="P108" i="15"/>
  <c r="O108" i="15"/>
  <c r="G108" i="15"/>
  <c r="E108" i="15"/>
  <c r="L73" i="11" s="1"/>
  <c r="V107" i="15"/>
  <c r="U107" i="15"/>
  <c r="P107" i="15"/>
  <c r="O107" i="15"/>
  <c r="G107" i="15"/>
  <c r="E107" i="15"/>
  <c r="L72" i="11" s="1"/>
  <c r="V106" i="15"/>
  <c r="U106" i="15"/>
  <c r="P106" i="15"/>
  <c r="O106" i="15"/>
  <c r="G106" i="15"/>
  <c r="E106" i="15"/>
  <c r="L71" i="11" s="1"/>
  <c r="V105" i="15"/>
  <c r="U105" i="15"/>
  <c r="P105" i="15"/>
  <c r="O105" i="15"/>
  <c r="G105" i="15"/>
  <c r="E105" i="15"/>
  <c r="L70" i="11" s="1"/>
  <c r="M21" i="37"/>
  <c r="I21" i="37"/>
  <c r="G204" i="15" s="1"/>
  <c r="H21" i="37"/>
  <c r="F207" i="15" s="1"/>
  <c r="G21" i="37"/>
  <c r="N205" i="15" s="1"/>
  <c r="E21" i="37"/>
  <c r="M20" i="37"/>
  <c r="I20" i="37"/>
  <c r="G193" i="15" s="1"/>
  <c r="H20" i="37"/>
  <c r="F192" i="15" s="1"/>
  <c r="G20" i="37"/>
  <c r="N190" i="15" s="1"/>
  <c r="E20" i="37"/>
  <c r="M19" i="37"/>
  <c r="H174" i="15" s="1"/>
  <c r="I19" i="37"/>
  <c r="G178" i="15" s="1"/>
  <c r="H19" i="37"/>
  <c r="F181" i="15" s="1"/>
  <c r="G19" i="37"/>
  <c r="N179" i="15" s="1"/>
  <c r="E19" i="37"/>
  <c r="M18" i="37"/>
  <c r="H157" i="15" s="1"/>
  <c r="J122" i="11" s="1"/>
  <c r="I18" i="37"/>
  <c r="G156" i="15" s="1"/>
  <c r="H18" i="37"/>
  <c r="F155" i="15" s="1"/>
  <c r="G18" i="37"/>
  <c r="N157" i="15" s="1"/>
  <c r="E18" i="37"/>
  <c r="M17" i="37"/>
  <c r="H122" i="15" s="1"/>
  <c r="J87" i="11" s="1"/>
  <c r="I17" i="37"/>
  <c r="G123" i="15" s="1"/>
  <c r="H17" i="37"/>
  <c r="F123" i="15" s="1"/>
  <c r="G17" i="37"/>
  <c r="N123" i="15" s="1"/>
  <c r="E17" i="37"/>
  <c r="M16" i="37"/>
  <c r="I16" i="37"/>
  <c r="G200" i="15" s="1"/>
  <c r="H16" i="37"/>
  <c r="F199" i="15" s="1"/>
  <c r="G16" i="37"/>
  <c r="N197" i="15" s="1"/>
  <c r="E16" i="37"/>
  <c r="M15" i="37"/>
  <c r="I15" i="37"/>
  <c r="G184" i="15" s="1"/>
  <c r="H15" i="37"/>
  <c r="F187" i="15" s="1"/>
  <c r="G15" i="37"/>
  <c r="N185" i="15" s="1"/>
  <c r="E15" i="37"/>
  <c r="M14" i="37"/>
  <c r="H169" i="15" s="1"/>
  <c r="J134" i="11" s="1"/>
  <c r="I14" i="37"/>
  <c r="G168" i="15" s="1"/>
  <c r="H14" i="37"/>
  <c r="F167" i="15" s="1"/>
  <c r="G14" i="37"/>
  <c r="N169" i="15" s="1"/>
  <c r="E14" i="37"/>
  <c r="M13" i="37"/>
  <c r="H140" i="15" s="1"/>
  <c r="J105" i="11" s="1"/>
  <c r="I13" i="37"/>
  <c r="G140" i="15" s="1"/>
  <c r="H13" i="37"/>
  <c r="F139" i="15" s="1"/>
  <c r="G13" i="37"/>
  <c r="N137" i="15" s="1"/>
  <c r="E13" i="37"/>
  <c r="M12" i="37"/>
  <c r="H114" i="15" s="1"/>
  <c r="J79" i="11" s="1"/>
  <c r="I12" i="37"/>
  <c r="G114" i="15" s="1"/>
  <c r="H12" i="37"/>
  <c r="F114" i="15" s="1"/>
  <c r="G12" i="37"/>
  <c r="N114" i="15" s="1"/>
  <c r="E12" i="37"/>
  <c r="B20" i="35"/>
  <c r="D21" i="35"/>
  <c r="F21" i="35"/>
  <c r="J21" i="35"/>
  <c r="J20" i="35"/>
  <c r="F5" i="40"/>
  <c r="E5" i="40"/>
  <c r="F4" i="40"/>
  <c r="E4" i="40"/>
  <c r="G181" i="15" l="1"/>
  <c r="F141" i="15"/>
  <c r="G142" i="15"/>
  <c r="N143" i="15"/>
  <c r="F145" i="15"/>
  <c r="G146" i="15"/>
  <c r="N147" i="15"/>
  <c r="F149" i="15"/>
  <c r="G150" i="15"/>
  <c r="N151" i="15"/>
  <c r="F153" i="15"/>
  <c r="G154" i="15"/>
  <c r="N155" i="15"/>
  <c r="F157" i="15"/>
  <c r="F171" i="15"/>
  <c r="G172" i="15"/>
  <c r="N173" i="15"/>
  <c r="F175" i="15"/>
  <c r="G176" i="15"/>
  <c r="N177" i="15"/>
  <c r="F179" i="15"/>
  <c r="G180" i="15"/>
  <c r="N181" i="15"/>
  <c r="N188" i="15"/>
  <c r="F190" i="15"/>
  <c r="G191" i="15"/>
  <c r="N192" i="15"/>
  <c r="F201" i="15"/>
  <c r="G202" i="15"/>
  <c r="N203" i="15"/>
  <c r="F205" i="15"/>
  <c r="G206" i="15"/>
  <c r="N207" i="15"/>
  <c r="G173" i="15"/>
  <c r="G177" i="15"/>
  <c r="C20" i="37"/>
  <c r="G141" i="15"/>
  <c r="N142" i="15"/>
  <c r="F144" i="15"/>
  <c r="G145" i="15"/>
  <c r="N146" i="15"/>
  <c r="F148" i="15"/>
  <c r="G149" i="15"/>
  <c r="N150" i="15"/>
  <c r="F152" i="15"/>
  <c r="G153" i="15"/>
  <c r="N154" i="15"/>
  <c r="F156" i="15"/>
  <c r="G157" i="15"/>
  <c r="F170" i="15"/>
  <c r="G171" i="15"/>
  <c r="N172" i="15"/>
  <c r="F174" i="15"/>
  <c r="G175" i="15"/>
  <c r="N176" i="15"/>
  <c r="F178" i="15"/>
  <c r="G179" i="15"/>
  <c r="N180" i="15"/>
  <c r="F189" i="15"/>
  <c r="G190" i="15"/>
  <c r="N191" i="15"/>
  <c r="F193" i="15"/>
  <c r="G201" i="15"/>
  <c r="N202" i="15"/>
  <c r="F204" i="15"/>
  <c r="G205" i="15"/>
  <c r="N206" i="15"/>
  <c r="F191" i="15"/>
  <c r="N204" i="15"/>
  <c r="N141" i="15"/>
  <c r="F143" i="15"/>
  <c r="G144" i="15"/>
  <c r="N145" i="15"/>
  <c r="F147" i="15"/>
  <c r="G148" i="15"/>
  <c r="N149" i="15"/>
  <c r="F151" i="15"/>
  <c r="G152" i="15"/>
  <c r="N153" i="15"/>
  <c r="G170" i="15"/>
  <c r="N171" i="15"/>
  <c r="F173" i="15"/>
  <c r="G174" i="15"/>
  <c r="N175" i="15"/>
  <c r="F177" i="15"/>
  <c r="F188" i="15"/>
  <c r="G189" i="15"/>
  <c r="N201" i="15"/>
  <c r="F203" i="15"/>
  <c r="F115" i="15"/>
  <c r="F116" i="15"/>
  <c r="F117" i="15"/>
  <c r="F118" i="15"/>
  <c r="F119" i="15"/>
  <c r="F120" i="15"/>
  <c r="F121" i="15"/>
  <c r="F122" i="15"/>
  <c r="G115" i="15"/>
  <c r="G116" i="15"/>
  <c r="G117" i="15"/>
  <c r="G118" i="15"/>
  <c r="G119" i="15"/>
  <c r="G120" i="15"/>
  <c r="G121" i="15"/>
  <c r="G122" i="15"/>
  <c r="N115" i="15"/>
  <c r="N116" i="15"/>
  <c r="N117" i="15"/>
  <c r="N118" i="15"/>
  <c r="N119" i="15"/>
  <c r="N120" i="15"/>
  <c r="N121" i="15"/>
  <c r="N122" i="15"/>
  <c r="F138" i="15"/>
  <c r="N168" i="15"/>
  <c r="F130" i="15"/>
  <c r="N164" i="15"/>
  <c r="C16" i="37"/>
  <c r="F125" i="15"/>
  <c r="G126" i="15"/>
  <c r="N127" i="15"/>
  <c r="F129" i="15"/>
  <c r="G130" i="15"/>
  <c r="N131" i="15"/>
  <c r="F133" i="15"/>
  <c r="G134" i="15"/>
  <c r="N135" i="15"/>
  <c r="F137" i="15"/>
  <c r="G138" i="15"/>
  <c r="N139" i="15"/>
  <c r="G158" i="15"/>
  <c r="N159" i="15"/>
  <c r="F161" i="15"/>
  <c r="G162" i="15"/>
  <c r="N163" i="15"/>
  <c r="F165" i="15"/>
  <c r="G166" i="15"/>
  <c r="N167" i="15"/>
  <c r="F169" i="15"/>
  <c r="D169" i="15" s="1"/>
  <c r="F134" i="11" s="1"/>
  <c r="D134" i="11" s="1"/>
  <c r="G182" i="15"/>
  <c r="N183" i="15"/>
  <c r="F185" i="15"/>
  <c r="G186" i="15"/>
  <c r="N187" i="15"/>
  <c r="G194" i="15"/>
  <c r="N195" i="15"/>
  <c r="F197" i="15"/>
  <c r="G198" i="15"/>
  <c r="N199" i="15"/>
  <c r="F126" i="15"/>
  <c r="N160" i="15"/>
  <c r="G195" i="15"/>
  <c r="G199" i="15"/>
  <c r="F124" i="15"/>
  <c r="G125" i="15"/>
  <c r="N126" i="15"/>
  <c r="F128" i="15"/>
  <c r="G129" i="15"/>
  <c r="N130" i="15"/>
  <c r="F132" i="15"/>
  <c r="G133" i="15"/>
  <c r="N134" i="15"/>
  <c r="F136" i="15"/>
  <c r="G137" i="15"/>
  <c r="N138" i="15"/>
  <c r="F140" i="15"/>
  <c r="D140" i="15" s="1"/>
  <c r="F105" i="11" s="1"/>
  <c r="D105" i="11" s="1"/>
  <c r="N158" i="15"/>
  <c r="F160" i="15"/>
  <c r="G161" i="15"/>
  <c r="N162" i="15"/>
  <c r="F164" i="15"/>
  <c r="G165" i="15"/>
  <c r="N166" i="15"/>
  <c r="F168" i="15"/>
  <c r="G169" i="15"/>
  <c r="N182" i="15"/>
  <c r="F184" i="15"/>
  <c r="G185" i="15"/>
  <c r="N186" i="15"/>
  <c r="N194" i="15"/>
  <c r="F196" i="15"/>
  <c r="G197" i="15"/>
  <c r="N198" i="15"/>
  <c r="F200" i="15"/>
  <c r="F134" i="15"/>
  <c r="G124" i="15"/>
  <c r="N125" i="15"/>
  <c r="F127" i="15"/>
  <c r="G128" i="15"/>
  <c r="N129" i="15"/>
  <c r="F131" i="15"/>
  <c r="G132" i="15"/>
  <c r="N133" i="15"/>
  <c r="F135" i="15"/>
  <c r="G136" i="15"/>
  <c r="F159" i="15"/>
  <c r="G160" i="15"/>
  <c r="N161" i="15"/>
  <c r="F163" i="15"/>
  <c r="G164" i="15"/>
  <c r="N165" i="15"/>
  <c r="F183" i="15"/>
  <c r="F195" i="15"/>
  <c r="G196" i="15"/>
  <c r="G110" i="15"/>
  <c r="G111" i="15"/>
  <c r="G112" i="15"/>
  <c r="G113" i="15"/>
  <c r="N105" i="15"/>
  <c r="N106" i="15"/>
  <c r="N107" i="15"/>
  <c r="N108" i="15"/>
  <c r="N109" i="15"/>
  <c r="N110" i="15"/>
  <c r="N111" i="15"/>
  <c r="N112" i="15"/>
  <c r="N113" i="15"/>
  <c r="F105" i="15"/>
  <c r="F106" i="15"/>
  <c r="F107" i="15"/>
  <c r="F108" i="15"/>
  <c r="F109" i="15"/>
  <c r="F110" i="15"/>
  <c r="F111" i="15"/>
  <c r="F112" i="15"/>
  <c r="F113" i="15"/>
  <c r="S201" i="15"/>
  <c r="L205" i="15"/>
  <c r="L203" i="15"/>
  <c r="S207" i="15"/>
  <c r="H113" i="15"/>
  <c r="J78" i="11" s="1"/>
  <c r="L109" i="15"/>
  <c r="M74" i="11" s="1"/>
  <c r="C13" i="37"/>
  <c r="C14" i="37"/>
  <c r="C12" i="37"/>
  <c r="C18" i="37"/>
  <c r="S124" i="15"/>
  <c r="L196" i="15"/>
  <c r="H107" i="15"/>
  <c r="J72" i="11" s="1"/>
  <c r="C15" i="37"/>
  <c r="C21" i="37"/>
  <c r="H110" i="15"/>
  <c r="J75" i="11" s="1"/>
  <c r="S182" i="15"/>
  <c r="L186" i="15"/>
  <c r="S194" i="15"/>
  <c r="L198" i="15"/>
  <c r="H207" i="15"/>
  <c r="D207" i="15" s="1"/>
  <c r="H206" i="15"/>
  <c r="D206" i="15" s="1"/>
  <c r="H205" i="15"/>
  <c r="H204" i="15"/>
  <c r="D204" i="15" s="1"/>
  <c r="H203" i="15"/>
  <c r="D203" i="15" s="1"/>
  <c r="H202" i="15"/>
  <c r="D202" i="15" s="1"/>
  <c r="H201" i="15"/>
  <c r="H105" i="15"/>
  <c r="J70" i="11" s="1"/>
  <c r="H109" i="15"/>
  <c r="J74" i="11" s="1"/>
  <c r="L112" i="15"/>
  <c r="M77" i="11" s="1"/>
  <c r="H115" i="15"/>
  <c r="J80" i="11" s="1"/>
  <c r="H119" i="15"/>
  <c r="J84" i="11" s="1"/>
  <c r="L121" i="15"/>
  <c r="M86" i="11" s="1"/>
  <c r="H123" i="15"/>
  <c r="J88" i="11" s="1"/>
  <c r="H124" i="15"/>
  <c r="J89" i="11" s="1"/>
  <c r="H125" i="15"/>
  <c r="J90" i="11" s="1"/>
  <c r="H126" i="15"/>
  <c r="J91" i="11" s="1"/>
  <c r="H127" i="15"/>
  <c r="J92" i="11" s="1"/>
  <c r="H128" i="15"/>
  <c r="J93" i="11" s="1"/>
  <c r="H129" i="15"/>
  <c r="J94" i="11" s="1"/>
  <c r="H130" i="15"/>
  <c r="J95" i="11" s="1"/>
  <c r="H131" i="15"/>
  <c r="J96" i="11" s="1"/>
  <c r="H132" i="15"/>
  <c r="J97" i="11" s="1"/>
  <c r="H133" i="15"/>
  <c r="J98" i="11" s="1"/>
  <c r="H134" i="15"/>
  <c r="J99" i="11" s="1"/>
  <c r="H135" i="15"/>
  <c r="J100" i="11" s="1"/>
  <c r="H136" i="15"/>
  <c r="J101" i="11" s="1"/>
  <c r="H137" i="15"/>
  <c r="J102" i="11" s="1"/>
  <c r="H138" i="15"/>
  <c r="J103" i="11" s="1"/>
  <c r="H139" i="15"/>
  <c r="J104" i="11" s="1"/>
  <c r="L142" i="15"/>
  <c r="M107" i="11" s="1"/>
  <c r="L144" i="15"/>
  <c r="M109" i="11" s="1"/>
  <c r="L146" i="15"/>
  <c r="M111" i="11" s="1"/>
  <c r="L148" i="15"/>
  <c r="M113" i="11" s="1"/>
  <c r="L150" i="15"/>
  <c r="M115" i="11" s="1"/>
  <c r="L152" i="15"/>
  <c r="M117" i="11" s="1"/>
  <c r="L154" i="15"/>
  <c r="M119" i="11" s="1"/>
  <c r="L156" i="15"/>
  <c r="M121" i="11" s="1"/>
  <c r="H106" i="15"/>
  <c r="J71" i="11" s="1"/>
  <c r="L111" i="15"/>
  <c r="M76" i="11" s="1"/>
  <c r="H112" i="15"/>
  <c r="J77" i="11" s="1"/>
  <c r="H116" i="15"/>
  <c r="J81" i="11" s="1"/>
  <c r="H120" i="15"/>
  <c r="J85" i="11" s="1"/>
  <c r="L122" i="15"/>
  <c r="M87" i="11" s="1"/>
  <c r="H141" i="15"/>
  <c r="H142" i="15"/>
  <c r="J107" i="11" s="1"/>
  <c r="H143" i="15"/>
  <c r="J108" i="11" s="1"/>
  <c r="H144" i="15"/>
  <c r="J109" i="11" s="1"/>
  <c r="H145" i="15"/>
  <c r="J110" i="11" s="1"/>
  <c r="H146" i="15"/>
  <c r="J111" i="11" s="1"/>
  <c r="H147" i="15"/>
  <c r="J112" i="11" s="1"/>
  <c r="H148" i="15"/>
  <c r="J113" i="11" s="1"/>
  <c r="H149" i="15"/>
  <c r="J114" i="11" s="1"/>
  <c r="H150" i="15"/>
  <c r="J115" i="11" s="1"/>
  <c r="H151" i="15"/>
  <c r="J116" i="11" s="1"/>
  <c r="H152" i="15"/>
  <c r="J117" i="11" s="1"/>
  <c r="H153" i="15"/>
  <c r="J118" i="11" s="1"/>
  <c r="H154" i="15"/>
  <c r="J119" i="11" s="1"/>
  <c r="H155" i="15"/>
  <c r="J120" i="11" s="1"/>
  <c r="H156" i="15"/>
  <c r="J121" i="11" s="1"/>
  <c r="H158" i="15"/>
  <c r="J123" i="11" s="1"/>
  <c r="H159" i="15"/>
  <c r="J124" i="11" s="1"/>
  <c r="H160" i="15"/>
  <c r="J125" i="11" s="1"/>
  <c r="H161" i="15"/>
  <c r="J126" i="11" s="1"/>
  <c r="H162" i="15"/>
  <c r="J127" i="11" s="1"/>
  <c r="H163" i="15"/>
  <c r="J128" i="11" s="1"/>
  <c r="H164" i="15"/>
  <c r="J129" i="11" s="1"/>
  <c r="H165" i="15"/>
  <c r="J130" i="11" s="1"/>
  <c r="H166" i="15"/>
  <c r="J131" i="11" s="1"/>
  <c r="H167" i="15"/>
  <c r="J132" i="11" s="1"/>
  <c r="H168" i="15"/>
  <c r="J133" i="11" s="1"/>
  <c r="H170" i="15"/>
  <c r="J135" i="11" s="1"/>
  <c r="H171" i="15"/>
  <c r="J136" i="11" s="1"/>
  <c r="H172" i="15"/>
  <c r="J137" i="11" s="1"/>
  <c r="H173" i="15"/>
  <c r="L184" i="15"/>
  <c r="H200" i="15"/>
  <c r="H199" i="15"/>
  <c r="D199" i="15" s="1"/>
  <c r="H198" i="15"/>
  <c r="D198" i="15" s="1"/>
  <c r="H197" i="15"/>
  <c r="H196" i="15"/>
  <c r="D196" i="15" s="1"/>
  <c r="H195" i="15"/>
  <c r="D195" i="15" s="1"/>
  <c r="H194" i="15"/>
  <c r="D194" i="15" s="1"/>
  <c r="H117" i="15"/>
  <c r="J82" i="11" s="1"/>
  <c r="H121" i="15"/>
  <c r="J86" i="11" s="1"/>
  <c r="H181" i="15"/>
  <c r="D181" i="15" s="1"/>
  <c r="H180" i="15"/>
  <c r="D180" i="15" s="1"/>
  <c r="H179" i="15"/>
  <c r="D179" i="15" s="1"/>
  <c r="H178" i="15"/>
  <c r="H177" i="15"/>
  <c r="D177" i="15" s="1"/>
  <c r="H176" i="15"/>
  <c r="D176" i="15" s="1"/>
  <c r="H175" i="15"/>
  <c r="C19" i="37"/>
  <c r="H187" i="15"/>
  <c r="D187" i="15" s="1"/>
  <c r="H186" i="15"/>
  <c r="D186" i="15" s="1"/>
  <c r="H185" i="15"/>
  <c r="D185" i="15" s="1"/>
  <c r="H184" i="15"/>
  <c r="D184" i="15" s="1"/>
  <c r="H183" i="15"/>
  <c r="H182" i="15"/>
  <c r="D182" i="15" s="1"/>
  <c r="C17" i="37"/>
  <c r="H193" i="15"/>
  <c r="H192" i="15"/>
  <c r="D192" i="15" s="1"/>
  <c r="H191" i="15"/>
  <c r="H190" i="15"/>
  <c r="D190" i="15" s="1"/>
  <c r="H189" i="15"/>
  <c r="H188" i="15"/>
  <c r="H108" i="15"/>
  <c r="J73" i="11" s="1"/>
  <c r="H111" i="15"/>
  <c r="J76" i="11" s="1"/>
  <c r="H118" i="15"/>
  <c r="J83" i="11" s="1"/>
  <c r="D158" i="15"/>
  <c r="F123" i="11" s="1"/>
  <c r="D123" i="11" s="1"/>
  <c r="L199" i="15"/>
  <c r="E72" i="11"/>
  <c r="E92" i="11"/>
  <c r="E102" i="11"/>
  <c r="E74" i="11"/>
  <c r="E90" i="11"/>
  <c r="E120" i="11"/>
  <c r="E70" i="11"/>
  <c r="T138" i="41"/>
  <c r="E83" i="11"/>
  <c r="E135" i="11"/>
  <c r="E82" i="11"/>
  <c r="E86" i="11"/>
  <c r="E87" i="11"/>
  <c r="E131" i="11"/>
  <c r="E132" i="11"/>
  <c r="E75" i="11"/>
  <c r="E103" i="11"/>
  <c r="E125" i="11"/>
  <c r="E78" i="11"/>
  <c r="E79" i="11"/>
  <c r="E80" i="11"/>
  <c r="E81" i="11"/>
  <c r="E85" i="11"/>
  <c r="E95" i="11"/>
  <c r="E100" i="11"/>
  <c r="E101" i="11"/>
  <c r="E107" i="11"/>
  <c r="E114" i="11"/>
  <c r="E127" i="11"/>
  <c r="E134" i="11"/>
  <c r="E137" i="11"/>
  <c r="E76" i="11"/>
  <c r="E77" i="11"/>
  <c r="E84" i="11"/>
  <c r="E89" i="11"/>
  <c r="E99" i="11"/>
  <c r="E113" i="11"/>
  <c r="E121" i="11"/>
  <c r="E130" i="11"/>
  <c r="E97" i="11"/>
  <c r="E98" i="11"/>
  <c r="E104" i="11"/>
  <c r="E105" i="11"/>
  <c r="E112" i="11"/>
  <c r="E119" i="11"/>
  <c r="E128" i="11"/>
  <c r="E129" i="11"/>
  <c r="E133" i="11"/>
  <c r="E88" i="11"/>
  <c r="E96" i="11"/>
  <c r="E110" i="11"/>
  <c r="E111" i="11"/>
  <c r="E117" i="11"/>
  <c r="E118" i="11"/>
  <c r="E124" i="11"/>
  <c r="E106" i="11"/>
  <c r="E71" i="11"/>
  <c r="E73" i="11"/>
  <c r="E91" i="11"/>
  <c r="E93" i="11"/>
  <c r="E94" i="11"/>
  <c r="E108" i="11"/>
  <c r="E109" i="11"/>
  <c r="E115" i="11"/>
  <c r="E116" i="11"/>
  <c r="E122" i="11"/>
  <c r="E123" i="11"/>
  <c r="E126" i="11"/>
  <c r="E136" i="11"/>
  <c r="L190" i="15"/>
  <c r="L192" i="15"/>
  <c r="L172" i="15"/>
  <c r="M137" i="11" s="1"/>
  <c r="L174" i="15"/>
  <c r="L176" i="15"/>
  <c r="L178" i="15"/>
  <c r="L180" i="15"/>
  <c r="L160" i="15"/>
  <c r="M125" i="11" s="1"/>
  <c r="L162" i="15"/>
  <c r="M127" i="11" s="1"/>
  <c r="L164" i="15"/>
  <c r="M129" i="11" s="1"/>
  <c r="L166" i="15"/>
  <c r="M131" i="11" s="1"/>
  <c r="L168" i="15"/>
  <c r="M133" i="11" s="1"/>
  <c r="S158" i="15"/>
  <c r="L119" i="15"/>
  <c r="M84" i="11" s="1"/>
  <c r="L117" i="15"/>
  <c r="M82" i="11" s="1"/>
  <c r="L108" i="15"/>
  <c r="M73" i="11" s="1"/>
  <c r="L113" i="15"/>
  <c r="M78" i="11" s="1"/>
  <c r="L106" i="15"/>
  <c r="M71" i="11" s="1"/>
  <c r="L116" i="15"/>
  <c r="M81" i="11" s="1"/>
  <c r="L118" i="15"/>
  <c r="M83" i="11" s="1"/>
  <c r="S200" i="15"/>
  <c r="L201" i="15"/>
  <c r="L202" i="15"/>
  <c r="L204" i="15"/>
  <c r="L206" i="15"/>
  <c r="L107" i="15"/>
  <c r="M72" i="11" s="1"/>
  <c r="D114" i="15"/>
  <c r="F79" i="11" s="1"/>
  <c r="D79" i="11" s="1"/>
  <c r="S114" i="15"/>
  <c r="L120" i="15"/>
  <c r="M85" i="11" s="1"/>
  <c r="S123" i="15"/>
  <c r="L124" i="15"/>
  <c r="M89" i="11" s="1"/>
  <c r="L125" i="15"/>
  <c r="M90" i="11" s="1"/>
  <c r="L127" i="15"/>
  <c r="M92" i="11" s="1"/>
  <c r="L129" i="15"/>
  <c r="M94" i="11" s="1"/>
  <c r="L131" i="15"/>
  <c r="M96" i="11" s="1"/>
  <c r="L133" i="15"/>
  <c r="M98" i="11" s="1"/>
  <c r="L135" i="15"/>
  <c r="M100" i="11" s="1"/>
  <c r="L137" i="15"/>
  <c r="M102" i="11" s="1"/>
  <c r="L139" i="15"/>
  <c r="M104" i="11" s="1"/>
  <c r="S141" i="15"/>
  <c r="L143" i="15"/>
  <c r="M108" i="11" s="1"/>
  <c r="L145" i="15"/>
  <c r="M110" i="11" s="1"/>
  <c r="L147" i="15"/>
  <c r="M112" i="11" s="1"/>
  <c r="L149" i="15"/>
  <c r="M114" i="11" s="1"/>
  <c r="L151" i="15"/>
  <c r="M116" i="11" s="1"/>
  <c r="L153" i="15"/>
  <c r="M118" i="11" s="1"/>
  <c r="L155" i="15"/>
  <c r="M120" i="11" s="1"/>
  <c r="S157" i="15"/>
  <c r="L158" i="15"/>
  <c r="M123" i="11" s="1"/>
  <c r="L159" i="15"/>
  <c r="M124" i="11" s="1"/>
  <c r="L161" i="15"/>
  <c r="M126" i="11" s="1"/>
  <c r="L163" i="15"/>
  <c r="M128" i="11" s="1"/>
  <c r="L165" i="15"/>
  <c r="M130" i="11" s="1"/>
  <c r="L167" i="15"/>
  <c r="M132" i="11" s="1"/>
  <c r="S169" i="15"/>
  <c r="L171" i="15"/>
  <c r="M136" i="11" s="1"/>
  <c r="L173" i="15"/>
  <c r="D174" i="15"/>
  <c r="L175" i="15"/>
  <c r="L177" i="15"/>
  <c r="L179" i="15"/>
  <c r="S181" i="15"/>
  <c r="L182" i="15"/>
  <c r="L183" i="15"/>
  <c r="L185" i="15"/>
  <c r="S187" i="15"/>
  <c r="L189" i="15"/>
  <c r="L191" i="15"/>
  <c r="S193" i="15"/>
  <c r="L194" i="15"/>
  <c r="L195" i="15"/>
  <c r="L197" i="15"/>
  <c r="S105" i="15"/>
  <c r="L110" i="15"/>
  <c r="M75" i="11" s="1"/>
  <c r="S115" i="15"/>
  <c r="D122" i="15"/>
  <c r="F87" i="11" s="1"/>
  <c r="D87" i="11" s="1"/>
  <c r="D151" i="15"/>
  <c r="F116" i="11" s="1"/>
  <c r="D116" i="11" s="1"/>
  <c r="D155" i="15"/>
  <c r="F120" i="11" s="1"/>
  <c r="D120" i="11" s="1"/>
  <c r="D157" i="15"/>
  <c r="F122" i="11" s="1"/>
  <c r="D122" i="11" s="1"/>
  <c r="S170" i="15"/>
  <c r="L170" i="15"/>
  <c r="M135" i="11" s="1"/>
  <c r="D175" i="15"/>
  <c r="S188" i="15"/>
  <c r="L188" i="15"/>
  <c r="D189" i="15"/>
  <c r="L105" i="15"/>
  <c r="M70" i="11" s="1"/>
  <c r="L114" i="15"/>
  <c r="M79" i="11" s="1"/>
  <c r="L115" i="15"/>
  <c r="M80" i="11" s="1"/>
  <c r="L126" i="15"/>
  <c r="M91" i="11" s="1"/>
  <c r="D128" i="15"/>
  <c r="F93" i="11" s="1"/>
  <c r="D93" i="11" s="1"/>
  <c r="L128" i="15"/>
  <c r="M93" i="11" s="1"/>
  <c r="L130" i="15"/>
  <c r="M95" i="11" s="1"/>
  <c r="L132" i="15"/>
  <c r="M97" i="11" s="1"/>
  <c r="L134" i="15"/>
  <c r="M99" i="11" s="1"/>
  <c r="L136" i="15"/>
  <c r="M101" i="11" s="1"/>
  <c r="L138" i="15"/>
  <c r="M103" i="11" s="1"/>
  <c r="S140" i="15"/>
  <c r="L141" i="15"/>
  <c r="M106" i="11" s="1"/>
  <c r="L123" i="15"/>
  <c r="M88" i="11" s="1"/>
  <c r="L140" i="15"/>
  <c r="M105" i="11" s="1"/>
  <c r="L157" i="15"/>
  <c r="M122" i="11" s="1"/>
  <c r="L181" i="15"/>
  <c r="L193" i="15"/>
  <c r="L200" i="15"/>
  <c r="L207" i="15"/>
  <c r="L169" i="15"/>
  <c r="M134" i="11" s="1"/>
  <c r="L187" i="15"/>
  <c r="B21" i="35"/>
  <c r="N3" i="41"/>
  <c r="N4" i="41"/>
  <c r="N5" i="41"/>
  <c r="N7" i="41"/>
  <c r="N8" i="41"/>
  <c r="N9" i="41"/>
  <c r="N10" i="41"/>
  <c r="N11" i="41"/>
  <c r="N13" i="41"/>
  <c r="N14" i="41"/>
  <c r="N15" i="41"/>
  <c r="N16" i="41"/>
  <c r="N17" i="41"/>
  <c r="N19" i="41"/>
  <c r="N20" i="41"/>
  <c r="N22" i="41"/>
  <c r="N23" i="41"/>
  <c r="N24" i="41"/>
  <c r="N25" i="41"/>
  <c r="N26" i="41"/>
  <c r="N27" i="41"/>
  <c r="N28" i="41"/>
  <c r="N29" i="41"/>
  <c r="N30" i="41"/>
  <c r="N31" i="41"/>
  <c r="N33" i="41"/>
  <c r="N34" i="41"/>
  <c r="N36" i="41"/>
  <c r="N37" i="41"/>
  <c r="N38" i="41"/>
  <c r="N39" i="41"/>
  <c r="N40" i="41"/>
  <c r="N41" i="41"/>
  <c r="N42" i="41"/>
  <c r="N43" i="41"/>
  <c r="N45" i="41"/>
  <c r="N47" i="41"/>
  <c r="N48" i="41"/>
  <c r="N49" i="41"/>
  <c r="N50" i="41"/>
  <c r="N52" i="41"/>
  <c r="N54" i="41"/>
  <c r="N55" i="41"/>
  <c r="N62" i="41"/>
  <c r="N57" i="41"/>
  <c r="N61" i="41"/>
  <c r="N66" i="41"/>
  <c r="N69" i="41"/>
  <c r="N2" i="41"/>
  <c r="D107" i="15" l="1"/>
  <c r="F72" i="11" s="1"/>
  <c r="D72" i="11" s="1"/>
  <c r="D132" i="15"/>
  <c r="F97" i="11" s="1"/>
  <c r="D97" i="11" s="1"/>
  <c r="D201" i="15"/>
  <c r="D106" i="15"/>
  <c r="F71" i="11" s="1"/>
  <c r="D71" i="11" s="1"/>
  <c r="D136" i="15"/>
  <c r="F101" i="11" s="1"/>
  <c r="D101" i="11" s="1"/>
  <c r="D200" i="15"/>
  <c r="D130" i="15"/>
  <c r="F95" i="11" s="1"/>
  <c r="D95" i="11" s="1"/>
  <c r="D121" i="15"/>
  <c r="F86" i="11" s="1"/>
  <c r="D86" i="11" s="1"/>
  <c r="D178" i="15"/>
  <c r="D149" i="15"/>
  <c r="F114" i="11" s="1"/>
  <c r="D114" i="11" s="1"/>
  <c r="D164" i="15"/>
  <c r="F129" i="11" s="1"/>
  <c r="D129" i="11" s="1"/>
  <c r="D120" i="15"/>
  <c r="F85" i="11" s="1"/>
  <c r="D85" i="11" s="1"/>
  <c r="D143" i="15"/>
  <c r="F108" i="11" s="1"/>
  <c r="D108" i="11" s="1"/>
  <c r="N108" i="11" s="1"/>
  <c r="D127" i="15"/>
  <c r="F92" i="11" s="1"/>
  <c r="D92" i="11" s="1"/>
  <c r="N92" i="11" s="1"/>
  <c r="D131" i="15"/>
  <c r="F96" i="11" s="1"/>
  <c r="D96" i="11" s="1"/>
  <c r="D153" i="15"/>
  <c r="F118" i="11" s="1"/>
  <c r="D118" i="11" s="1"/>
  <c r="N118" i="11" s="1"/>
  <c r="D142" i="15"/>
  <c r="F107" i="11" s="1"/>
  <c r="D107" i="11" s="1"/>
  <c r="N107" i="11" s="1"/>
  <c r="D168" i="15"/>
  <c r="F133" i="11" s="1"/>
  <c r="D133" i="11" s="1"/>
  <c r="D124" i="15"/>
  <c r="F89" i="11" s="1"/>
  <c r="D89" i="11" s="1"/>
  <c r="D138" i="15"/>
  <c r="F103" i="11" s="1"/>
  <c r="D103" i="11" s="1"/>
  <c r="N103" i="11" s="1"/>
  <c r="D115" i="15"/>
  <c r="F80" i="11" s="1"/>
  <c r="D80" i="11" s="1"/>
  <c r="N80" i="11" s="1"/>
  <c r="D173" i="15"/>
  <c r="D147" i="15"/>
  <c r="F112" i="11" s="1"/>
  <c r="D112" i="11" s="1"/>
  <c r="N112" i="11" s="1"/>
  <c r="D159" i="15"/>
  <c r="F124" i="11" s="1"/>
  <c r="D124" i="11" s="1"/>
  <c r="N124" i="11" s="1"/>
  <c r="D171" i="15"/>
  <c r="F136" i="11" s="1"/>
  <c r="D136" i="11" s="1"/>
  <c r="N136" i="11" s="1"/>
  <c r="D172" i="15"/>
  <c r="F137" i="11" s="1"/>
  <c r="D137" i="11" s="1"/>
  <c r="D139" i="15"/>
  <c r="F104" i="11" s="1"/>
  <c r="D104" i="11" s="1"/>
  <c r="N104" i="11" s="1"/>
  <c r="D116" i="15"/>
  <c r="F81" i="11" s="1"/>
  <c r="D81" i="11" s="1"/>
  <c r="N81" i="11" s="1"/>
  <c r="N87" i="11"/>
  <c r="D146" i="15"/>
  <c r="F111" i="11" s="1"/>
  <c r="D111" i="11" s="1"/>
  <c r="N111" i="11" s="1"/>
  <c r="D163" i="15"/>
  <c r="F128" i="11" s="1"/>
  <c r="D128" i="11" s="1"/>
  <c r="N128" i="11" s="1"/>
  <c r="D145" i="15"/>
  <c r="F110" i="11" s="1"/>
  <c r="D110" i="11" s="1"/>
  <c r="N110" i="11" s="1"/>
  <c r="D150" i="15"/>
  <c r="F115" i="11" s="1"/>
  <c r="D115" i="11" s="1"/>
  <c r="D162" i="15"/>
  <c r="F127" i="11" s="1"/>
  <c r="D127" i="11" s="1"/>
  <c r="N127" i="11" s="1"/>
  <c r="D197" i="15"/>
  <c r="D113" i="15"/>
  <c r="F78" i="11" s="1"/>
  <c r="D78" i="11" s="1"/>
  <c r="N78" i="11" s="1"/>
  <c r="D109" i="15"/>
  <c r="F74" i="11" s="1"/>
  <c r="D74" i="11" s="1"/>
  <c r="N74" i="11" s="1"/>
  <c r="D135" i="15"/>
  <c r="F100" i="11" s="1"/>
  <c r="D100" i="11" s="1"/>
  <c r="N100" i="11" s="1"/>
  <c r="N89" i="11"/>
  <c r="D126" i="15"/>
  <c r="F91" i="11" s="1"/>
  <c r="D91" i="11" s="1"/>
  <c r="N91" i="11" s="1"/>
  <c r="D193" i="15"/>
  <c r="D134" i="15"/>
  <c r="F99" i="11" s="1"/>
  <c r="D99" i="11" s="1"/>
  <c r="N99" i="11" s="1"/>
  <c r="D154" i="15"/>
  <c r="F119" i="11" s="1"/>
  <c r="D119" i="11" s="1"/>
  <c r="N119" i="11" s="1"/>
  <c r="D123" i="15"/>
  <c r="F88" i="11" s="1"/>
  <c r="D88" i="11" s="1"/>
  <c r="N88" i="11" s="1"/>
  <c r="D191" i="15"/>
  <c r="D205" i="15"/>
  <c r="N120" i="11"/>
  <c r="D188" i="15"/>
  <c r="D183" i="15"/>
  <c r="D137" i="15"/>
  <c r="F102" i="11" s="1"/>
  <c r="D102" i="11" s="1"/>
  <c r="N102" i="11" s="1"/>
  <c r="N96" i="11"/>
  <c r="N101" i="11"/>
  <c r="N122" i="11"/>
  <c r="N85" i="11"/>
  <c r="D166" i="15"/>
  <c r="F131" i="11" s="1"/>
  <c r="D131" i="11" s="1"/>
  <c r="D133" i="15"/>
  <c r="F98" i="11" s="1"/>
  <c r="D98" i="11" s="1"/>
  <c r="N98" i="11" s="1"/>
  <c r="D110" i="15"/>
  <c r="F75" i="11" s="1"/>
  <c r="D75" i="11" s="1"/>
  <c r="N75" i="11" s="1"/>
  <c r="N95" i="11"/>
  <c r="D167" i="15"/>
  <c r="F132" i="11" s="1"/>
  <c r="D132" i="11" s="1"/>
  <c r="N132" i="11" s="1"/>
  <c r="N131" i="11"/>
  <c r="D117" i="15"/>
  <c r="F82" i="11" s="1"/>
  <c r="D82" i="11" s="1"/>
  <c r="N82" i="11" s="1"/>
  <c r="N72" i="11"/>
  <c r="N123" i="11"/>
  <c r="D125" i="15"/>
  <c r="F90" i="11" s="1"/>
  <c r="D90" i="11" s="1"/>
  <c r="N90" i="11" s="1"/>
  <c r="N114" i="11"/>
  <c r="N134" i="11"/>
  <c r="D160" i="15"/>
  <c r="F125" i="11" s="1"/>
  <c r="D125" i="11" s="1"/>
  <c r="N125" i="11" s="1"/>
  <c r="N105" i="11"/>
  <c r="N133" i="11"/>
  <c r="D108" i="15"/>
  <c r="F73" i="11" s="1"/>
  <c r="D73" i="11" s="1"/>
  <c r="N73" i="11" s="1"/>
  <c r="D105" i="15"/>
  <c r="F70" i="11" s="1"/>
  <c r="D70" i="11" s="1"/>
  <c r="N70" i="11" s="1"/>
  <c r="D156" i="15"/>
  <c r="F121" i="11" s="1"/>
  <c r="D121" i="11" s="1"/>
  <c r="N121" i="11" s="1"/>
  <c r="D152" i="15"/>
  <c r="F117" i="11" s="1"/>
  <c r="D117" i="11" s="1"/>
  <c r="N117" i="11" s="1"/>
  <c r="D148" i="15"/>
  <c r="F113" i="11" s="1"/>
  <c r="D113" i="11" s="1"/>
  <c r="N113" i="11" s="1"/>
  <c r="D144" i="15"/>
  <c r="F109" i="11" s="1"/>
  <c r="D109" i="11" s="1"/>
  <c r="N109" i="11" s="1"/>
  <c r="N116" i="11"/>
  <c r="N71" i="11"/>
  <c r="D112" i="15"/>
  <c r="F77" i="11" s="1"/>
  <c r="D77" i="11" s="1"/>
  <c r="N77" i="11" s="1"/>
  <c r="D129" i="15"/>
  <c r="F94" i="11" s="1"/>
  <c r="D94" i="11" s="1"/>
  <c r="N94" i="11" s="1"/>
  <c r="N115" i="11"/>
  <c r="N93" i="11"/>
  <c r="D170" i="15"/>
  <c r="F135" i="11" s="1"/>
  <c r="D135" i="11" s="1"/>
  <c r="N135" i="11" s="1"/>
  <c r="D118" i="15"/>
  <c r="F83" i="11" s="1"/>
  <c r="D83" i="11" s="1"/>
  <c r="N83" i="11" s="1"/>
  <c r="D119" i="15"/>
  <c r="F84" i="11" s="1"/>
  <c r="D84" i="11" s="1"/>
  <c r="N84" i="11" s="1"/>
  <c r="N129" i="11"/>
  <c r="N97" i="11"/>
  <c r="N137" i="11"/>
  <c r="N79" i="11"/>
  <c r="N86" i="11"/>
  <c r="D165" i="15"/>
  <c r="F130" i="11" s="1"/>
  <c r="D130" i="11" s="1"/>
  <c r="N130" i="11" s="1"/>
  <c r="D161" i="15"/>
  <c r="F126" i="11" s="1"/>
  <c r="D126" i="11" s="1"/>
  <c r="N126" i="11" s="1"/>
  <c r="J106" i="11"/>
  <c r="D141" i="15"/>
  <c r="F106" i="11" s="1"/>
  <c r="D106" i="11" s="1"/>
  <c r="N106" i="11" s="1"/>
  <c r="D111" i="15"/>
  <c r="F76" i="11" s="1"/>
  <c r="D76" i="11" s="1"/>
  <c r="N76" i="11" s="1"/>
  <c r="D3" i="41"/>
  <c r="R3" i="41"/>
  <c r="D4" i="41"/>
  <c r="R4" i="41"/>
  <c r="D5" i="41"/>
  <c r="R5" i="41"/>
  <c r="D6" i="41"/>
  <c r="R6" i="41"/>
  <c r="D7" i="41"/>
  <c r="R7" i="41"/>
  <c r="D8" i="41"/>
  <c r="R8" i="41"/>
  <c r="D9" i="41"/>
  <c r="R9" i="41"/>
  <c r="D10" i="41"/>
  <c r="R10" i="41"/>
  <c r="D11" i="41"/>
  <c r="R11" i="41"/>
  <c r="D12" i="41"/>
  <c r="R12" i="41"/>
  <c r="D13" i="41"/>
  <c r="R13" i="41"/>
  <c r="D14" i="41"/>
  <c r="R14" i="41"/>
  <c r="D15" i="41"/>
  <c r="R15" i="41"/>
  <c r="D16" i="41"/>
  <c r="R16" i="41"/>
  <c r="D17" i="41"/>
  <c r="R17" i="41"/>
  <c r="D18" i="41"/>
  <c r="R18" i="41"/>
  <c r="D19" i="41"/>
  <c r="R19" i="41"/>
  <c r="D20" i="41"/>
  <c r="R20" i="41"/>
  <c r="D21" i="41"/>
  <c r="R21" i="41"/>
  <c r="D22" i="41"/>
  <c r="R22" i="41"/>
  <c r="D23" i="41"/>
  <c r="R23" i="41"/>
  <c r="D24" i="41"/>
  <c r="R24" i="41"/>
  <c r="D25" i="41"/>
  <c r="R25" i="41"/>
  <c r="D26" i="41"/>
  <c r="R26" i="41"/>
  <c r="D27" i="41"/>
  <c r="R27" i="41"/>
  <c r="D28" i="41"/>
  <c r="R28" i="41"/>
  <c r="D29" i="41"/>
  <c r="R29" i="41"/>
  <c r="D30" i="41"/>
  <c r="R30" i="41"/>
  <c r="D31" i="41"/>
  <c r="R31" i="41"/>
  <c r="D32" i="41"/>
  <c r="R32" i="41"/>
  <c r="D33" i="41"/>
  <c r="R33" i="41"/>
  <c r="D34" i="41"/>
  <c r="R34" i="41"/>
  <c r="D35" i="41"/>
  <c r="R35" i="41"/>
  <c r="D36" i="41"/>
  <c r="R36" i="41"/>
  <c r="D37" i="41"/>
  <c r="R37" i="41"/>
  <c r="D38" i="41"/>
  <c r="R38" i="41"/>
  <c r="D39" i="41"/>
  <c r="R39" i="41"/>
  <c r="D40" i="41"/>
  <c r="R40" i="41"/>
  <c r="D41" i="41"/>
  <c r="R41" i="41"/>
  <c r="D42" i="41"/>
  <c r="R42" i="41"/>
  <c r="D43" i="41"/>
  <c r="R43" i="41"/>
  <c r="D44" i="41"/>
  <c r="R44" i="41"/>
  <c r="D45" i="41"/>
  <c r="R45" i="41"/>
  <c r="D46" i="41"/>
  <c r="R46" i="41"/>
  <c r="D47" i="41"/>
  <c r="R47" i="41"/>
  <c r="D48" i="41"/>
  <c r="R48" i="41"/>
  <c r="D49" i="41"/>
  <c r="R49" i="41"/>
  <c r="D50" i="41"/>
  <c r="R50" i="41"/>
  <c r="D51" i="41"/>
  <c r="R51" i="41"/>
  <c r="D52" i="41"/>
  <c r="R52" i="41"/>
  <c r="D53" i="41"/>
  <c r="R53" i="41"/>
  <c r="D54" i="41"/>
  <c r="R54" i="41"/>
  <c r="D55" i="41"/>
  <c r="R55" i="41"/>
  <c r="D62" i="41"/>
  <c r="R62" i="41"/>
  <c r="D56" i="41"/>
  <c r="R56" i="41"/>
  <c r="D57" i="41"/>
  <c r="R57" i="41"/>
  <c r="D58" i="41"/>
  <c r="R58" i="41"/>
  <c r="D59" i="41"/>
  <c r="R59" i="41"/>
  <c r="D60" i="41"/>
  <c r="R60" i="41"/>
  <c r="D61" i="41"/>
  <c r="R61" i="41"/>
  <c r="D63" i="41"/>
  <c r="R63" i="41"/>
  <c r="D64" i="41"/>
  <c r="R64" i="41"/>
  <c r="D65" i="41"/>
  <c r="R65" i="41"/>
  <c r="D66" i="41"/>
  <c r="R66" i="41"/>
  <c r="D67" i="41"/>
  <c r="R67" i="41"/>
  <c r="D68" i="41"/>
  <c r="R68" i="41"/>
  <c r="D69" i="41"/>
  <c r="R69" i="41"/>
  <c r="D2" i="41" l="1"/>
  <c r="C2" i="11"/>
  <c r="O70" i="41" s="1"/>
  <c r="G2" i="11"/>
  <c r="I2" i="11"/>
  <c r="C3" i="11"/>
  <c r="G3" i="11"/>
  <c r="I3" i="11"/>
  <c r="C4" i="11"/>
  <c r="G4" i="11"/>
  <c r="I4" i="11"/>
  <c r="C5" i="11"/>
  <c r="G5" i="11"/>
  <c r="I5" i="11"/>
  <c r="C6" i="11"/>
  <c r="G6" i="11"/>
  <c r="H6" i="11"/>
  <c r="I6" i="11"/>
  <c r="C7" i="11"/>
  <c r="G7" i="11"/>
  <c r="I7" i="11"/>
  <c r="C8" i="11"/>
  <c r="G8" i="11"/>
  <c r="I8" i="11"/>
  <c r="C9" i="11"/>
  <c r="O77" i="41" s="1"/>
  <c r="G9" i="11"/>
  <c r="I9" i="11"/>
  <c r="C10" i="11"/>
  <c r="G10" i="11"/>
  <c r="I10" i="11"/>
  <c r="C11" i="11"/>
  <c r="G11" i="11"/>
  <c r="I11" i="11"/>
  <c r="C12" i="11"/>
  <c r="G12" i="11"/>
  <c r="H12" i="11"/>
  <c r="I12" i="11"/>
  <c r="C13" i="11"/>
  <c r="O81" i="41" s="1"/>
  <c r="G13" i="11"/>
  <c r="I13" i="11"/>
  <c r="C14" i="11"/>
  <c r="G14" i="11"/>
  <c r="I14" i="11"/>
  <c r="C15" i="11"/>
  <c r="O83" i="41" s="1"/>
  <c r="G15" i="11"/>
  <c r="I15" i="11"/>
  <c r="C16" i="11"/>
  <c r="O84" i="41" s="1"/>
  <c r="G16" i="11"/>
  <c r="I16" i="11"/>
  <c r="C17" i="11"/>
  <c r="O85" i="41" s="1"/>
  <c r="G17" i="11"/>
  <c r="I17" i="11"/>
  <c r="C18" i="11"/>
  <c r="G18" i="11"/>
  <c r="H18" i="11"/>
  <c r="I18" i="11"/>
  <c r="C19" i="11"/>
  <c r="O87" i="41" s="1"/>
  <c r="G19" i="11"/>
  <c r="I19" i="11"/>
  <c r="C20" i="11"/>
  <c r="O88" i="41" s="1"/>
  <c r="G20" i="11"/>
  <c r="I20" i="11"/>
  <c r="C21" i="11"/>
  <c r="O89" i="41" s="1"/>
  <c r="G21" i="11"/>
  <c r="H21" i="11"/>
  <c r="I21" i="11"/>
  <c r="C22" i="11"/>
  <c r="O90" i="41" s="1"/>
  <c r="G22" i="11"/>
  <c r="I22" i="11"/>
  <c r="C23" i="11"/>
  <c r="G23" i="11"/>
  <c r="I23" i="11"/>
  <c r="C24" i="11"/>
  <c r="G24" i="11"/>
  <c r="I24" i="11"/>
  <c r="C25" i="11"/>
  <c r="G25" i="11"/>
  <c r="I25" i="11"/>
  <c r="C26" i="11"/>
  <c r="O94" i="41" s="1"/>
  <c r="G26" i="11"/>
  <c r="I26" i="11"/>
  <c r="C27" i="11"/>
  <c r="G27" i="11"/>
  <c r="I27" i="11"/>
  <c r="C28" i="11"/>
  <c r="G28" i="11"/>
  <c r="I28" i="11"/>
  <c r="C29" i="11"/>
  <c r="G29" i="11"/>
  <c r="I29" i="11"/>
  <c r="C30" i="11"/>
  <c r="O98" i="41" s="1"/>
  <c r="G30" i="11"/>
  <c r="I30" i="11"/>
  <c r="C31" i="11"/>
  <c r="G31" i="11"/>
  <c r="I31" i="11"/>
  <c r="C32" i="11"/>
  <c r="G32" i="11"/>
  <c r="H32" i="11"/>
  <c r="I32" i="11"/>
  <c r="C33" i="11"/>
  <c r="G33" i="11"/>
  <c r="I33" i="11"/>
  <c r="C34" i="11"/>
  <c r="G34" i="11"/>
  <c r="I34" i="11"/>
  <c r="C35" i="11"/>
  <c r="G35" i="11"/>
  <c r="H35" i="11"/>
  <c r="I35" i="11"/>
  <c r="C36" i="11"/>
  <c r="O104" i="41" s="1"/>
  <c r="G36" i="11"/>
  <c r="I36" i="11"/>
  <c r="C37" i="11"/>
  <c r="O105" i="41" s="1"/>
  <c r="G37" i="11"/>
  <c r="I37" i="11"/>
  <c r="C38" i="11"/>
  <c r="G38" i="11"/>
  <c r="I38" i="11"/>
  <c r="C39" i="11"/>
  <c r="O107" i="41" s="1"/>
  <c r="G39" i="11"/>
  <c r="I39" i="11"/>
  <c r="C40" i="11"/>
  <c r="O108" i="41" s="1"/>
  <c r="G40" i="11"/>
  <c r="I40" i="11"/>
  <c r="C41" i="11"/>
  <c r="O109" i="41" s="1"/>
  <c r="G41" i="11"/>
  <c r="I41" i="11"/>
  <c r="C42" i="11"/>
  <c r="G42" i="11"/>
  <c r="I42" i="11"/>
  <c r="C43" i="11"/>
  <c r="O111" i="41" s="1"/>
  <c r="G43" i="11"/>
  <c r="I43" i="11"/>
  <c r="C44" i="11"/>
  <c r="G44" i="11"/>
  <c r="H44" i="11"/>
  <c r="I44" i="11"/>
  <c r="C45" i="11"/>
  <c r="G45" i="11"/>
  <c r="I45" i="11"/>
  <c r="C46" i="11"/>
  <c r="G46" i="11"/>
  <c r="H46" i="11"/>
  <c r="I46" i="11"/>
  <c r="C47" i="11"/>
  <c r="G47" i="11"/>
  <c r="I47" i="11"/>
  <c r="C48" i="11"/>
  <c r="G48" i="11"/>
  <c r="I48" i="11"/>
  <c r="C49" i="11"/>
  <c r="G49" i="11"/>
  <c r="I49" i="11"/>
  <c r="C50" i="11"/>
  <c r="O118" i="41" s="1"/>
  <c r="G50" i="11"/>
  <c r="I50" i="11"/>
  <c r="C51" i="11"/>
  <c r="G51" i="11"/>
  <c r="H51" i="11"/>
  <c r="I51" i="11"/>
  <c r="C52" i="11"/>
  <c r="G52" i="11"/>
  <c r="I52" i="11"/>
  <c r="C53" i="11"/>
  <c r="G53" i="11"/>
  <c r="H53" i="11"/>
  <c r="I53" i="11"/>
  <c r="C54" i="11"/>
  <c r="G54" i="11"/>
  <c r="I54" i="11"/>
  <c r="C55" i="11"/>
  <c r="G55" i="11"/>
  <c r="I55" i="11"/>
  <c r="C62" i="11"/>
  <c r="O130" i="41" s="1"/>
  <c r="G62" i="11"/>
  <c r="I62" i="11"/>
  <c r="C56" i="11"/>
  <c r="G56" i="11"/>
  <c r="H56" i="11"/>
  <c r="I56" i="11"/>
  <c r="C57" i="11"/>
  <c r="O125" i="41" s="1"/>
  <c r="G57" i="11"/>
  <c r="I57" i="11"/>
  <c r="C58" i="11"/>
  <c r="G58" i="11"/>
  <c r="H58" i="11"/>
  <c r="I58" i="11"/>
  <c r="C59" i="11"/>
  <c r="G59" i="11"/>
  <c r="H59" i="11"/>
  <c r="I59" i="11"/>
  <c r="C60" i="11"/>
  <c r="G60" i="11"/>
  <c r="H60" i="11"/>
  <c r="I60" i="11"/>
  <c r="C61" i="11"/>
  <c r="G61" i="11"/>
  <c r="I61" i="11"/>
  <c r="C63" i="11"/>
  <c r="G63" i="11"/>
  <c r="H63" i="11"/>
  <c r="I63" i="11"/>
  <c r="C64" i="11"/>
  <c r="G64" i="11"/>
  <c r="H64" i="11"/>
  <c r="I64" i="11"/>
  <c r="C65" i="11"/>
  <c r="G65" i="11"/>
  <c r="H65" i="11"/>
  <c r="I65" i="11"/>
  <c r="C66" i="11"/>
  <c r="O134" i="41" s="1"/>
  <c r="G66" i="11"/>
  <c r="I66" i="11"/>
  <c r="C67" i="11"/>
  <c r="G67" i="11"/>
  <c r="H67" i="11"/>
  <c r="I67" i="11"/>
  <c r="C68" i="11"/>
  <c r="G68" i="11"/>
  <c r="H68" i="11"/>
  <c r="I68" i="11"/>
  <c r="C69" i="11"/>
  <c r="G69" i="11"/>
  <c r="I69" i="11"/>
  <c r="N68" i="41" l="1"/>
  <c r="N136" i="41"/>
  <c r="N67" i="41"/>
  <c r="N135" i="41"/>
  <c r="O61" i="41"/>
  <c r="O129" i="41"/>
  <c r="O60" i="41"/>
  <c r="O128" i="41"/>
  <c r="O59" i="41"/>
  <c r="O127" i="41"/>
  <c r="O58" i="41"/>
  <c r="O126" i="41"/>
  <c r="O54" i="41"/>
  <c r="O122" i="41"/>
  <c r="O53" i="41"/>
  <c r="O121" i="41"/>
  <c r="O48" i="41"/>
  <c r="O116" i="41"/>
  <c r="N44" i="41"/>
  <c r="N112" i="41"/>
  <c r="O42" i="41"/>
  <c r="O110" i="41"/>
  <c r="O38" i="41"/>
  <c r="O106" i="41"/>
  <c r="N35" i="41"/>
  <c r="N103" i="41"/>
  <c r="O33" i="41"/>
  <c r="O101" i="41"/>
  <c r="O32" i="41"/>
  <c r="O100" i="41"/>
  <c r="O28" i="41"/>
  <c r="O96" i="41"/>
  <c r="O24" i="41"/>
  <c r="O92" i="41"/>
  <c r="N21" i="41"/>
  <c r="N89" i="41"/>
  <c r="O18" i="41"/>
  <c r="O86" i="41"/>
  <c r="O14" i="41"/>
  <c r="O82" i="41"/>
  <c r="N6" i="41"/>
  <c r="N74" i="41"/>
  <c r="O4" i="41"/>
  <c r="O72" i="41"/>
  <c r="O65" i="41"/>
  <c r="O133" i="41"/>
  <c r="O64" i="41"/>
  <c r="O132" i="41"/>
  <c r="O63" i="41"/>
  <c r="O131" i="41"/>
  <c r="N56" i="41"/>
  <c r="N124" i="41"/>
  <c r="O55" i="41"/>
  <c r="O123" i="41"/>
  <c r="N51" i="41"/>
  <c r="N119" i="41"/>
  <c r="O49" i="41"/>
  <c r="O117" i="41"/>
  <c r="N46" i="41"/>
  <c r="N114" i="41"/>
  <c r="O34" i="41"/>
  <c r="O102" i="41"/>
  <c r="O29" i="41"/>
  <c r="O97" i="41"/>
  <c r="O25" i="41"/>
  <c r="O93" i="41"/>
  <c r="N12" i="41"/>
  <c r="N80" i="41"/>
  <c r="O10" i="41"/>
  <c r="O78" i="41"/>
  <c r="O5" i="41"/>
  <c r="O73" i="41"/>
  <c r="O69" i="41"/>
  <c r="O137" i="41"/>
  <c r="O67" i="41"/>
  <c r="O135" i="41"/>
  <c r="N60" i="41"/>
  <c r="N128" i="41"/>
  <c r="N59" i="41"/>
  <c r="N127" i="41"/>
  <c r="N58" i="41"/>
  <c r="N126" i="41"/>
  <c r="N53" i="41"/>
  <c r="N121" i="41"/>
  <c r="O45" i="41"/>
  <c r="O113" i="41"/>
  <c r="O44" i="41"/>
  <c r="O112" i="41"/>
  <c r="O35" i="41"/>
  <c r="O103" i="41"/>
  <c r="N32" i="41"/>
  <c r="N100" i="41"/>
  <c r="N18" i="41"/>
  <c r="N86" i="41"/>
  <c r="O11" i="41"/>
  <c r="O79" i="41"/>
  <c r="O7" i="41"/>
  <c r="O75" i="41"/>
  <c r="O6" i="41"/>
  <c r="O74" i="41"/>
  <c r="O68" i="41"/>
  <c r="O136" i="41"/>
  <c r="N65" i="41"/>
  <c r="N133" i="41"/>
  <c r="N64" i="41"/>
  <c r="N132" i="41"/>
  <c r="N63" i="41"/>
  <c r="N131" i="41"/>
  <c r="O56" i="41"/>
  <c r="O124" i="41"/>
  <c r="O52" i="41"/>
  <c r="O120" i="41"/>
  <c r="O51" i="41"/>
  <c r="O119" i="41"/>
  <c r="O47" i="41"/>
  <c r="O115" i="41"/>
  <c r="O46" i="41"/>
  <c r="O114" i="41"/>
  <c r="O31" i="41"/>
  <c r="O99" i="41"/>
  <c r="O27" i="41"/>
  <c r="O95" i="41"/>
  <c r="O23" i="41"/>
  <c r="O91" i="41"/>
  <c r="O12" i="41"/>
  <c r="O80" i="41"/>
  <c r="O8" i="41"/>
  <c r="O76" i="41"/>
  <c r="O3" i="41"/>
  <c r="O71" i="41"/>
  <c r="E6" i="11"/>
  <c r="E47" i="11"/>
  <c r="E27" i="11"/>
  <c r="E3" i="11"/>
  <c r="E34" i="11"/>
  <c r="E41" i="11"/>
  <c r="O41" i="41"/>
  <c r="E20" i="11"/>
  <c r="O20" i="41"/>
  <c r="E17" i="11"/>
  <c r="O17" i="41"/>
  <c r="E15" i="11"/>
  <c r="O15" i="41"/>
  <c r="E9" i="11"/>
  <c r="O9" i="41"/>
  <c r="E56" i="11"/>
  <c r="E51" i="11"/>
  <c r="E37" i="11"/>
  <c r="O37" i="41"/>
  <c r="E30" i="11"/>
  <c r="O30" i="41"/>
  <c r="E22" i="11"/>
  <c r="O22" i="41"/>
  <c r="E21" i="11"/>
  <c r="O21" i="41"/>
  <c r="E13" i="11"/>
  <c r="O13" i="41"/>
  <c r="E68" i="11"/>
  <c r="E60" i="11"/>
  <c r="E57" i="11"/>
  <c r="O57" i="41"/>
  <c r="E40" i="11"/>
  <c r="O40" i="41"/>
  <c r="E19" i="11"/>
  <c r="O19" i="41"/>
  <c r="E16" i="11"/>
  <c r="O16" i="41"/>
  <c r="E10" i="11"/>
  <c r="E2" i="11"/>
  <c r="O2" i="41"/>
  <c r="E62" i="11"/>
  <c r="O62" i="41"/>
  <c r="E50" i="11"/>
  <c r="O50" i="41"/>
  <c r="E39" i="11"/>
  <c r="O39" i="41"/>
  <c r="E66" i="11"/>
  <c r="O66" i="41"/>
  <c r="E43" i="11"/>
  <c r="O43" i="41"/>
  <c r="E36" i="11"/>
  <c r="O36" i="41"/>
  <c r="E33" i="11"/>
  <c r="E31" i="11"/>
  <c r="E26" i="11"/>
  <c r="O26" i="41"/>
  <c r="E23" i="11"/>
  <c r="E69" i="11"/>
  <c r="E64" i="11"/>
  <c r="E63" i="11"/>
  <c r="E55" i="11"/>
  <c r="E52" i="11"/>
  <c r="E48" i="11"/>
  <c r="E32" i="11"/>
  <c r="E28" i="11"/>
  <c r="E24" i="11"/>
  <c r="E11" i="11"/>
  <c r="E7" i="11"/>
  <c r="E4" i="11"/>
  <c r="E67" i="11"/>
  <c r="E61" i="11"/>
  <c r="E54" i="11"/>
  <c r="E46" i="11"/>
  <c r="E65" i="11"/>
  <c r="E58" i="11"/>
  <c r="E49" i="11"/>
  <c r="E44" i="11"/>
  <c r="E35" i="11"/>
  <c r="E29" i="11"/>
  <c r="E25" i="11"/>
  <c r="E12" i="11"/>
  <c r="E8" i="11"/>
  <c r="E5" i="11"/>
  <c r="E59" i="11"/>
  <c r="E53" i="11"/>
  <c r="E45" i="11"/>
  <c r="E42" i="11"/>
  <c r="E38" i="11"/>
  <c r="E18" i="11"/>
  <c r="E14" i="11"/>
  <c r="R2" i="41"/>
  <c r="O21" i="15" l="1"/>
  <c r="P21" i="15"/>
  <c r="O22" i="15"/>
  <c r="P22" i="15"/>
  <c r="O23" i="15"/>
  <c r="P23" i="15"/>
  <c r="O24" i="15"/>
  <c r="P24" i="15"/>
  <c r="O25" i="15"/>
  <c r="P25" i="15"/>
  <c r="O26" i="15"/>
  <c r="P26" i="15"/>
  <c r="O27" i="15"/>
  <c r="P27" i="15"/>
  <c r="O28" i="15"/>
  <c r="P28" i="15"/>
  <c r="O29" i="15"/>
  <c r="P29" i="15"/>
  <c r="O30" i="15"/>
  <c r="P30" i="15"/>
  <c r="O31" i="15"/>
  <c r="P31" i="15"/>
  <c r="O32" i="15"/>
  <c r="P32" i="15"/>
  <c r="O33" i="15"/>
  <c r="P33" i="15"/>
  <c r="O34" i="15"/>
  <c r="P34" i="15"/>
  <c r="O35" i="15"/>
  <c r="P35" i="15"/>
  <c r="O36" i="15"/>
  <c r="P36" i="15"/>
  <c r="O37" i="15"/>
  <c r="P37" i="15"/>
  <c r="O38" i="15"/>
  <c r="P38" i="15"/>
  <c r="O39" i="15"/>
  <c r="P39" i="15"/>
  <c r="O40" i="15"/>
  <c r="P40" i="15"/>
  <c r="O41" i="15"/>
  <c r="P41" i="15"/>
  <c r="O42" i="15"/>
  <c r="P42" i="15"/>
  <c r="O43" i="15"/>
  <c r="P43" i="15"/>
  <c r="O44" i="15"/>
  <c r="P44" i="15"/>
  <c r="O45" i="15"/>
  <c r="P45" i="15"/>
  <c r="O46" i="15"/>
  <c r="P46" i="15"/>
  <c r="O47" i="15"/>
  <c r="P47" i="15"/>
  <c r="O48" i="15"/>
  <c r="P48" i="15"/>
  <c r="O49" i="15"/>
  <c r="P49" i="15"/>
  <c r="O50" i="15"/>
  <c r="P50" i="15"/>
  <c r="O51" i="15"/>
  <c r="P51" i="15"/>
  <c r="O52" i="15"/>
  <c r="P52" i="15"/>
  <c r="O53" i="15"/>
  <c r="P53" i="15"/>
  <c r="O54" i="15"/>
  <c r="P54" i="15"/>
  <c r="O55" i="15"/>
  <c r="P55" i="15"/>
  <c r="O56" i="15"/>
  <c r="P56" i="15"/>
  <c r="O57" i="15"/>
  <c r="P57" i="15"/>
  <c r="O58" i="15"/>
  <c r="P58" i="15"/>
  <c r="O59" i="15"/>
  <c r="P59" i="15"/>
  <c r="O60" i="15"/>
  <c r="P60" i="15"/>
  <c r="O61" i="15"/>
  <c r="P61" i="15"/>
  <c r="O62" i="15"/>
  <c r="P62" i="15"/>
  <c r="O63" i="15"/>
  <c r="P63" i="15"/>
  <c r="O64" i="15"/>
  <c r="P64" i="15"/>
  <c r="O65" i="15"/>
  <c r="P65" i="15"/>
  <c r="O66" i="15"/>
  <c r="P66" i="15"/>
  <c r="O67" i="15"/>
  <c r="P67" i="15"/>
  <c r="O68" i="15"/>
  <c r="P68" i="15"/>
  <c r="O69" i="15"/>
  <c r="P69" i="15"/>
  <c r="O70" i="15"/>
  <c r="P70" i="15"/>
  <c r="O71" i="15"/>
  <c r="P71" i="15"/>
  <c r="O72" i="15"/>
  <c r="P72" i="15"/>
  <c r="O73" i="15"/>
  <c r="P73" i="15"/>
  <c r="O74" i="15"/>
  <c r="P74" i="15"/>
  <c r="O75" i="15"/>
  <c r="P75" i="15"/>
  <c r="O76" i="15"/>
  <c r="P76" i="15"/>
  <c r="O77" i="15"/>
  <c r="P77" i="15"/>
  <c r="O78" i="15"/>
  <c r="P78" i="15"/>
  <c r="O79" i="15"/>
  <c r="P79" i="15"/>
  <c r="O80" i="15"/>
  <c r="P80" i="15"/>
  <c r="O81" i="15"/>
  <c r="P81" i="15"/>
  <c r="O82" i="15"/>
  <c r="P82" i="15"/>
  <c r="O83" i="15"/>
  <c r="P83" i="15"/>
  <c r="O84" i="15"/>
  <c r="P84" i="15"/>
  <c r="O85" i="15"/>
  <c r="P85" i="15"/>
  <c r="O86" i="15"/>
  <c r="P86" i="15"/>
  <c r="O87" i="15"/>
  <c r="P87" i="15"/>
  <c r="O88" i="15"/>
  <c r="P88" i="15"/>
  <c r="O89" i="15"/>
  <c r="P89" i="15"/>
  <c r="O90" i="15"/>
  <c r="P90" i="15"/>
  <c r="O91" i="15"/>
  <c r="P91" i="15"/>
  <c r="O92" i="15"/>
  <c r="P92" i="15"/>
  <c r="O93" i="15"/>
  <c r="P93" i="15"/>
  <c r="O94" i="15"/>
  <c r="P94" i="15"/>
  <c r="O95" i="15"/>
  <c r="P95" i="15"/>
  <c r="O96" i="15"/>
  <c r="P96" i="15"/>
  <c r="O97" i="15"/>
  <c r="P97" i="15"/>
  <c r="O98" i="15"/>
  <c r="P98" i="15"/>
  <c r="O99" i="15"/>
  <c r="P99" i="15"/>
  <c r="O100" i="15"/>
  <c r="P100" i="15"/>
  <c r="O101" i="15"/>
  <c r="P101" i="15"/>
  <c r="O102" i="15"/>
  <c r="P102" i="15"/>
  <c r="O103" i="15"/>
  <c r="P103" i="15"/>
  <c r="O104" i="15"/>
  <c r="P104" i="15"/>
  <c r="O2" i="15"/>
  <c r="P2" i="15"/>
  <c r="O3" i="15"/>
  <c r="P3" i="15"/>
  <c r="O4" i="15"/>
  <c r="P4" i="15"/>
  <c r="O5" i="15"/>
  <c r="P5" i="15"/>
  <c r="O6" i="15"/>
  <c r="P6" i="15"/>
  <c r="O7" i="15"/>
  <c r="P7" i="15"/>
  <c r="O8" i="15"/>
  <c r="P8" i="15"/>
  <c r="O9" i="15"/>
  <c r="P9" i="15"/>
  <c r="O10" i="15"/>
  <c r="P10" i="15"/>
  <c r="O11" i="15"/>
  <c r="P11" i="15"/>
  <c r="L2" i="15" l="1"/>
  <c r="M2" i="11" s="1"/>
  <c r="L10" i="15"/>
  <c r="L8" i="15"/>
  <c r="L6" i="15"/>
  <c r="M6" i="11" s="1"/>
  <c r="L4" i="15"/>
  <c r="M4" i="11" s="1"/>
  <c r="L9" i="15"/>
  <c r="L5" i="15"/>
  <c r="M5" i="11" s="1"/>
  <c r="L11" i="15"/>
  <c r="L7" i="15"/>
  <c r="M7" i="11" s="1"/>
  <c r="L3" i="15"/>
  <c r="M3" i="11" s="1"/>
  <c r="K5" i="41" l="1"/>
  <c r="K73" i="41"/>
  <c r="I2" i="22"/>
  <c r="I3" i="22"/>
  <c r="I4" i="22"/>
  <c r="I5" i="22"/>
  <c r="I6" i="22"/>
  <c r="I7" i="22"/>
  <c r="I8" i="22"/>
  <c r="I9" i="22"/>
  <c r="I10" i="22"/>
  <c r="I11" i="22"/>
  <c r="O13" i="15" l="1"/>
  <c r="P13" i="15"/>
  <c r="O14" i="15"/>
  <c r="P14" i="15"/>
  <c r="O15" i="15"/>
  <c r="P15" i="15"/>
  <c r="O16" i="15"/>
  <c r="P16" i="15"/>
  <c r="O17" i="15"/>
  <c r="P17" i="15"/>
  <c r="O18" i="15"/>
  <c r="P18" i="15"/>
  <c r="O19" i="15"/>
  <c r="P19" i="15"/>
  <c r="O20" i="15"/>
  <c r="P20" i="15"/>
  <c r="P12" i="15"/>
  <c r="O12" i="15"/>
  <c r="E3" i="15"/>
  <c r="L3" i="11" s="1"/>
  <c r="Q71" i="41" s="1"/>
  <c r="E4" i="15"/>
  <c r="L4" i="11" s="1"/>
  <c r="Q72" i="41" s="1"/>
  <c r="E5" i="15"/>
  <c r="L5" i="11" s="1"/>
  <c r="Q73" i="41" s="1"/>
  <c r="E6" i="15"/>
  <c r="L6" i="11" s="1"/>
  <c r="Q74" i="41" s="1"/>
  <c r="E7" i="15"/>
  <c r="L7" i="11" s="1"/>
  <c r="Q75" i="41" s="1"/>
  <c r="E8" i="15"/>
  <c r="E9" i="15"/>
  <c r="E10" i="15"/>
  <c r="E11" i="15"/>
  <c r="E12" i="15"/>
  <c r="L8" i="11" s="1"/>
  <c r="Q76" i="41" s="1"/>
  <c r="E13" i="15"/>
  <c r="L9" i="11" s="1"/>
  <c r="Q77" i="41" s="1"/>
  <c r="E14" i="15"/>
  <c r="L10" i="11" s="1"/>
  <c r="Q78" i="41" s="1"/>
  <c r="E15" i="15"/>
  <c r="L11" i="11" s="1"/>
  <c r="Q79" i="41" s="1"/>
  <c r="E16" i="15"/>
  <c r="L12" i="11" s="1"/>
  <c r="Q80" i="41" s="1"/>
  <c r="E17" i="15"/>
  <c r="L13" i="11" s="1"/>
  <c r="Q81" i="41" s="1"/>
  <c r="E18" i="15"/>
  <c r="E19" i="15"/>
  <c r="E20" i="15"/>
  <c r="E2" i="15"/>
  <c r="L2" i="11" s="1"/>
  <c r="Q70" i="41" s="1"/>
  <c r="V100" i="15" l="1"/>
  <c r="U100" i="15"/>
  <c r="V99" i="15"/>
  <c r="U99" i="15"/>
  <c r="V88" i="15"/>
  <c r="U88" i="15"/>
  <c r="V87" i="15"/>
  <c r="U87" i="15"/>
  <c r="V82" i="15"/>
  <c r="U82" i="15"/>
  <c r="V81" i="15"/>
  <c r="U81" i="15"/>
  <c r="U92" i="15"/>
  <c r="U93" i="15"/>
  <c r="V92" i="15"/>
  <c r="V93" i="15"/>
  <c r="U47" i="15"/>
  <c r="V47" i="15"/>
  <c r="U30" i="15"/>
  <c r="V30" i="15"/>
  <c r="L18" i="7" l="1"/>
  <c r="P18" i="7"/>
  <c r="Q18" i="7"/>
  <c r="C18" i="7" s="1"/>
  <c r="S18" i="7"/>
  <c r="T18" i="7"/>
  <c r="U18" i="7"/>
  <c r="V18" i="7"/>
  <c r="AD18" i="7"/>
  <c r="AE18" i="7"/>
  <c r="AD17" i="7"/>
  <c r="T17" i="7"/>
  <c r="AE17" i="7"/>
  <c r="AA18" i="7" l="1"/>
  <c r="F19" i="35"/>
  <c r="D19" i="35"/>
  <c r="F18" i="35"/>
  <c r="D18" i="35"/>
  <c r="F17" i="35"/>
  <c r="D17" i="35"/>
  <c r="F16" i="35"/>
  <c r="D16" i="35"/>
  <c r="F15" i="35"/>
  <c r="D15" i="35"/>
  <c r="F14" i="35"/>
  <c r="D14" i="35"/>
  <c r="F13" i="35"/>
  <c r="D13" i="35"/>
  <c r="F12" i="35"/>
  <c r="D12" i="35"/>
  <c r="F11" i="35"/>
  <c r="D11" i="35"/>
  <c r="B11" i="35" l="1"/>
  <c r="B15" i="35"/>
  <c r="B19" i="35"/>
  <c r="B13" i="35"/>
  <c r="B17" i="35"/>
  <c r="B12" i="35"/>
  <c r="B16" i="35"/>
  <c r="B14" i="35"/>
  <c r="B18" i="35"/>
  <c r="AB14" i="52" l="1"/>
  <c r="AA10" i="52"/>
  <c r="AA7" i="52"/>
  <c r="J14" i="52"/>
  <c r="K14" i="52"/>
  <c r="L14" i="52"/>
  <c r="M14" i="52"/>
  <c r="N14" i="52"/>
  <c r="O14" i="52"/>
  <c r="P14" i="52"/>
  <c r="Q14" i="52"/>
  <c r="R14" i="52"/>
  <c r="S14" i="52"/>
  <c r="T14" i="52"/>
  <c r="U14" i="52"/>
  <c r="V14" i="52"/>
  <c r="W14" i="52"/>
  <c r="X14" i="52"/>
  <c r="Y14" i="52"/>
  <c r="Z14" i="52"/>
  <c r="AA13" i="52"/>
  <c r="AA12" i="52"/>
  <c r="AA11" i="52"/>
  <c r="AA9" i="52"/>
  <c r="AA8" i="52"/>
  <c r="AA4" i="52" l="1"/>
  <c r="AA6" i="52" l="1"/>
  <c r="AA2" i="52"/>
  <c r="AA5" i="52"/>
  <c r="AA3" i="52"/>
  <c r="AA14" i="52" l="1"/>
  <c r="I65" i="22" l="1"/>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l="1"/>
  <c r="I68" i="22"/>
  <c r="I15" i="22" l="1"/>
  <c r="I21" i="22"/>
  <c r="I18" i="22"/>
  <c r="I132" i="22"/>
  <c r="I133" i="22"/>
  <c r="I134" i="22"/>
  <c r="I135" i="22"/>
  <c r="I136" i="22"/>
  <c r="I43" i="22" l="1"/>
  <c r="I45" i="22"/>
  <c r="I48" i="22"/>
  <c r="I40" i="22"/>
  <c r="I137" i="22"/>
  <c r="I85" i="22" l="1"/>
  <c r="I86" i="22"/>
  <c r="AD11" i="7" l="1"/>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l="1"/>
  <c r="H7" i="33"/>
  <c r="K7" i="33"/>
  <c r="G6" i="33"/>
  <c r="L6" i="33" s="1"/>
  <c r="H6" i="33"/>
  <c r="K6" i="33"/>
  <c r="C7" i="33" l="1"/>
  <c r="M7" i="33" s="1"/>
  <c r="C6" i="33"/>
  <c r="M6" i="33" s="1"/>
  <c r="L7" i="33"/>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U24" i="15"/>
  <c r="V24" i="15"/>
  <c r="U25" i="15"/>
  <c r="V25" i="15"/>
  <c r="U26" i="15"/>
  <c r="V26" i="15"/>
  <c r="U27" i="15"/>
  <c r="V27" i="15"/>
  <c r="U28" i="15"/>
  <c r="V28" i="15"/>
  <c r="U29" i="15"/>
  <c r="V29" i="15"/>
  <c r="U31" i="15"/>
  <c r="V31" i="15"/>
  <c r="U32" i="15"/>
  <c r="V32" i="15"/>
  <c r="U33" i="15"/>
  <c r="V33" i="15"/>
  <c r="U34" i="15"/>
  <c r="V34" i="15"/>
  <c r="U35" i="15"/>
  <c r="V35" i="15"/>
  <c r="U36" i="15"/>
  <c r="V36" i="15"/>
  <c r="U37" i="15"/>
  <c r="V37" i="15"/>
  <c r="U38" i="15"/>
  <c r="V38" i="15"/>
  <c r="U39" i="15"/>
  <c r="V39" i="15"/>
  <c r="U40" i="15"/>
  <c r="V40" i="15"/>
  <c r="U41" i="15"/>
  <c r="V41" i="15"/>
  <c r="U42" i="15"/>
  <c r="V42" i="15"/>
  <c r="U43" i="15"/>
  <c r="V43" i="15"/>
  <c r="U44" i="15"/>
  <c r="V44" i="15"/>
  <c r="U45" i="15"/>
  <c r="V45" i="15"/>
  <c r="U46" i="15"/>
  <c r="V46" i="15"/>
  <c r="U48" i="15"/>
  <c r="V48" i="15"/>
  <c r="U49" i="15"/>
  <c r="V49" i="15"/>
  <c r="U50" i="15"/>
  <c r="V50" i="15"/>
  <c r="U51" i="15"/>
  <c r="V51" i="15"/>
  <c r="U52" i="15"/>
  <c r="V52" i="15"/>
  <c r="U53" i="15"/>
  <c r="V53" i="15"/>
  <c r="U54" i="15"/>
  <c r="V54" i="15"/>
  <c r="U55" i="15"/>
  <c r="V55" i="15"/>
  <c r="U56" i="15"/>
  <c r="V56" i="15"/>
  <c r="U57" i="15"/>
  <c r="V57" i="15"/>
  <c r="U58" i="15"/>
  <c r="V58" i="15"/>
  <c r="U59" i="15"/>
  <c r="V59" i="15"/>
  <c r="U60" i="15"/>
  <c r="V60" i="15"/>
  <c r="U61" i="15"/>
  <c r="V61" i="15"/>
  <c r="U62" i="15"/>
  <c r="V62" i="15"/>
  <c r="U63" i="15"/>
  <c r="V63" i="15"/>
  <c r="U64" i="15"/>
  <c r="V64" i="15"/>
  <c r="U65" i="15"/>
  <c r="V65" i="15"/>
  <c r="U66" i="15"/>
  <c r="V66" i="15"/>
  <c r="U67" i="15"/>
  <c r="V67" i="15"/>
  <c r="U68" i="15"/>
  <c r="V68" i="15"/>
  <c r="U69" i="15"/>
  <c r="V69" i="15"/>
  <c r="U70" i="15"/>
  <c r="V70" i="15"/>
  <c r="U71" i="15"/>
  <c r="V71" i="15"/>
  <c r="U72" i="15"/>
  <c r="V72" i="15"/>
  <c r="U73" i="15"/>
  <c r="V73" i="15"/>
  <c r="U74" i="15"/>
  <c r="V74" i="15"/>
  <c r="U75" i="15"/>
  <c r="V75" i="15"/>
  <c r="U76" i="15"/>
  <c r="V76" i="15"/>
  <c r="U77" i="15"/>
  <c r="V77" i="15"/>
  <c r="U78" i="15"/>
  <c r="V78" i="15"/>
  <c r="U79" i="15"/>
  <c r="V79" i="15"/>
  <c r="U80" i="15"/>
  <c r="Q7" i="7" s="1"/>
  <c r="AA7" i="7" s="1"/>
  <c r="V80" i="15"/>
  <c r="U83" i="15"/>
  <c r="V83" i="15"/>
  <c r="U84" i="15"/>
  <c r="V84" i="15"/>
  <c r="U85" i="15"/>
  <c r="V85" i="15"/>
  <c r="U86" i="15"/>
  <c r="V86" i="15"/>
  <c r="U89" i="15"/>
  <c r="V89" i="15"/>
  <c r="U90" i="15"/>
  <c r="V90" i="15"/>
  <c r="U91" i="15"/>
  <c r="V91" i="15"/>
  <c r="U94" i="15"/>
  <c r="V94" i="15"/>
  <c r="U95" i="15"/>
  <c r="V95" i="15"/>
  <c r="U96" i="15"/>
  <c r="V96" i="15"/>
  <c r="U97" i="15"/>
  <c r="V97" i="15"/>
  <c r="U98" i="15"/>
  <c r="V98" i="15"/>
  <c r="U101" i="15"/>
  <c r="V101" i="15"/>
  <c r="U102" i="15"/>
  <c r="V102" i="15"/>
  <c r="U103" i="15"/>
  <c r="V103" i="15"/>
  <c r="U104" i="15"/>
  <c r="V104" i="15"/>
  <c r="V2" i="15"/>
  <c r="U2" i="15"/>
  <c r="Q5" i="7" l="1"/>
  <c r="AA5" i="7" s="1"/>
  <c r="Q17" i="7"/>
  <c r="R2" i="7"/>
  <c r="R17" i="7"/>
  <c r="Q8" i="7"/>
  <c r="AA8" i="7" s="1"/>
  <c r="Q10" i="7"/>
  <c r="Q9" i="7"/>
  <c r="Q11" i="7"/>
  <c r="Q12" i="7"/>
  <c r="R7" i="7"/>
  <c r="R8" i="7"/>
  <c r="R11" i="7"/>
  <c r="R12" i="7"/>
  <c r="R3" i="7"/>
  <c r="R6" i="7"/>
  <c r="R4" i="7"/>
  <c r="R5" i="7"/>
  <c r="R13" i="7"/>
  <c r="R14" i="7"/>
  <c r="R15" i="7"/>
  <c r="R16" i="7"/>
  <c r="R10" i="7"/>
  <c r="R9" i="7"/>
  <c r="Q13" i="7"/>
  <c r="Q14" i="7"/>
  <c r="Q16" i="7"/>
  <c r="Q15" i="7"/>
  <c r="Q3" i="7"/>
  <c r="AA3" i="7" s="1"/>
  <c r="Q4" i="7"/>
  <c r="AA4" i="7" s="1"/>
  <c r="Q6" i="7"/>
  <c r="AA6" i="7" s="1"/>
  <c r="Q2" i="7"/>
  <c r="C17" i="7" l="1"/>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E3" i="40"/>
  <c r="E2" i="40"/>
  <c r="F3" i="40"/>
  <c r="F2" i="40"/>
  <c r="J7" i="35" l="1"/>
  <c r="J19" i="35"/>
  <c r="J17" i="35"/>
  <c r="J18" i="35"/>
  <c r="J16" i="35"/>
  <c r="J2" i="35"/>
  <c r="J15" i="35"/>
  <c r="J11" i="35"/>
  <c r="J13" i="35"/>
  <c r="J12" i="35"/>
  <c r="J14" i="35"/>
  <c r="J6" i="35"/>
  <c r="J4" i="35"/>
  <c r="J10" i="35"/>
  <c r="J9" i="35"/>
  <c r="J5" i="35"/>
  <c r="J8" i="35"/>
  <c r="J3" i="35"/>
  <c r="I34" i="22" l="1"/>
  <c r="O138" i="22" l="1"/>
  <c r="O137" i="22"/>
  <c r="O136" i="22"/>
  <c r="I26" i="22"/>
  <c r="I27" i="22"/>
  <c r="I28" i="22"/>
  <c r="O139" i="22" l="1"/>
  <c r="I32" i="22"/>
  <c r="I29" i="22" l="1"/>
  <c r="I124" i="22" l="1"/>
  <c r="I123" i="22"/>
  <c r="I115" i="22"/>
  <c r="I114" i="22"/>
  <c r="I31" i="22" l="1"/>
  <c r="I25" i="22"/>
  <c r="I104" i="22"/>
  <c r="I105" i="22"/>
  <c r="I97" i="22"/>
  <c r="I99" i="22"/>
  <c r="I118" i="22" l="1"/>
  <c r="I119" i="22"/>
  <c r="I120" i="22"/>
  <c r="I41" i="22"/>
  <c r="I138" i="22"/>
  <c r="I121" i="22" l="1"/>
  <c r="I70" i="22" l="1"/>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l="1"/>
  <c r="I107" i="22"/>
  <c r="I109" i="22"/>
  <c r="F3" i="35"/>
  <c r="I3" i="37" s="1"/>
  <c r="G30" i="15" s="1"/>
  <c r="F4" i="35"/>
  <c r="I4" i="37" s="1"/>
  <c r="F5" i="35"/>
  <c r="I5" i="37" s="1"/>
  <c r="F6" i="35"/>
  <c r="I6" i="37" s="1"/>
  <c r="G82" i="15" l="1"/>
  <c r="G81" i="15"/>
  <c r="G92" i="15"/>
  <c r="G93" i="15"/>
  <c r="I8" i="37"/>
  <c r="G47" i="15" s="1"/>
  <c r="H2" i="33"/>
  <c r="H3" i="33"/>
  <c r="H4" i="33"/>
  <c r="H5" i="33"/>
  <c r="G3" i="33"/>
  <c r="G4" i="33"/>
  <c r="G5" i="33"/>
  <c r="G2" i="33"/>
  <c r="C2" i="33" l="1"/>
  <c r="C4" i="33"/>
  <c r="C5" i="33"/>
  <c r="C3" i="33"/>
  <c r="G80" i="15"/>
  <c r="I9" i="37"/>
  <c r="I10" i="37"/>
  <c r="F7" i="35"/>
  <c r="F8" i="35"/>
  <c r="F9" i="35"/>
  <c r="F10" i="35"/>
  <c r="F2" i="35"/>
  <c r="D3" i="35"/>
  <c r="D4" i="35"/>
  <c r="D5" i="35"/>
  <c r="D6" i="35"/>
  <c r="D7" i="35"/>
  <c r="D8" i="35"/>
  <c r="D9" i="35"/>
  <c r="D10" i="35"/>
  <c r="D2" i="35"/>
  <c r="G87" i="15" l="1"/>
  <c r="G88" i="15"/>
  <c r="B7" i="35"/>
  <c r="I2" i="37"/>
  <c r="G3" i="15" s="1"/>
  <c r="I7" i="37"/>
  <c r="G79" i="15"/>
  <c r="G23" i="15"/>
  <c r="G27" i="15"/>
  <c r="G32" i="15"/>
  <c r="G36" i="15"/>
  <c r="G22" i="15"/>
  <c r="G35" i="15"/>
  <c r="G24" i="15"/>
  <c r="G28" i="15"/>
  <c r="G33" i="15"/>
  <c r="G37" i="15"/>
  <c r="G26" i="15"/>
  <c r="G21" i="15"/>
  <c r="G25" i="15"/>
  <c r="G29" i="15"/>
  <c r="G34" i="15"/>
  <c r="G31" i="15"/>
  <c r="G95" i="15"/>
  <c r="G96" i="15"/>
  <c r="G94" i="15"/>
  <c r="G91" i="15"/>
  <c r="G97" i="15"/>
  <c r="G67" i="15"/>
  <c r="G71" i="15"/>
  <c r="G75" i="15"/>
  <c r="G70" i="15"/>
  <c r="G68" i="15"/>
  <c r="G72" i="15"/>
  <c r="G76" i="15"/>
  <c r="G74" i="15"/>
  <c r="G69" i="15"/>
  <c r="G73" i="15"/>
  <c r="G77" i="15"/>
  <c r="G78" i="15"/>
  <c r="G61" i="15"/>
  <c r="I11" i="37"/>
  <c r="G89" i="15"/>
  <c r="G62" i="15"/>
  <c r="G86" i="15"/>
  <c r="G84" i="15"/>
  <c r="G85" i="15"/>
  <c r="G83" i="15"/>
  <c r="G56" i="15"/>
  <c r="G90" i="15"/>
  <c r="G100" i="15" l="1"/>
  <c r="G99" i="15"/>
  <c r="G4" i="15"/>
  <c r="G10" i="15"/>
  <c r="G9" i="15"/>
  <c r="G11" i="15"/>
  <c r="G6" i="15"/>
  <c r="G5" i="15"/>
  <c r="G7" i="15"/>
  <c r="G2" i="15"/>
  <c r="G8" i="15"/>
  <c r="G59" i="15"/>
  <c r="G60" i="15"/>
  <c r="G64" i="15"/>
  <c r="G63" i="15"/>
  <c r="G12" i="15"/>
  <c r="G16" i="15"/>
  <c r="G20" i="15"/>
  <c r="G15" i="15"/>
  <c r="G13" i="15"/>
  <c r="G17" i="15"/>
  <c r="G19" i="15"/>
  <c r="G14" i="15"/>
  <c r="G18" i="15"/>
  <c r="G103" i="15"/>
  <c r="G98" i="15"/>
  <c r="G104" i="15"/>
  <c r="G102" i="15"/>
  <c r="G101" i="15"/>
  <c r="G55" i="15"/>
  <c r="G57" i="15"/>
  <c r="G66" i="15"/>
  <c r="G58" i="15"/>
  <c r="G65" i="15"/>
  <c r="G41" i="15"/>
  <c r="G45" i="15"/>
  <c r="G50" i="15"/>
  <c r="G54" i="15"/>
  <c r="G44" i="15"/>
  <c r="G38" i="15"/>
  <c r="G42" i="15"/>
  <c r="G46" i="15"/>
  <c r="G51" i="15"/>
  <c r="G49" i="15"/>
  <c r="G39" i="15"/>
  <c r="G43" i="15"/>
  <c r="G48" i="15"/>
  <c r="G52" i="15"/>
  <c r="G40" i="15"/>
  <c r="G53" i="15"/>
  <c r="M41" i="36" l="1"/>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l="1"/>
  <c r="E37" i="36"/>
  <c r="E33" i="36"/>
  <c r="E29" i="36"/>
  <c r="E25" i="36"/>
  <c r="E21" i="36"/>
  <c r="E16" i="36"/>
  <c r="E12" i="36"/>
  <c r="E8" i="36"/>
  <c r="E4" i="36"/>
  <c r="E41" i="36"/>
  <c r="E43" i="36"/>
  <c r="E38" i="36"/>
  <c r="E34" i="36"/>
  <c r="E30" i="36"/>
  <c r="E26" i="36"/>
  <c r="E22" i="36"/>
  <c r="E17" i="36"/>
  <c r="E13" i="36"/>
  <c r="E9" i="36"/>
  <c r="E5" i="36"/>
  <c r="C41" i="36"/>
  <c r="C19" i="36"/>
  <c r="D19" i="36" s="1"/>
  <c r="E44" i="36"/>
  <c r="E39" i="36"/>
  <c r="E35" i="36"/>
  <c r="E31" i="36"/>
  <c r="E27" i="36"/>
  <c r="E23" i="36"/>
  <c r="E18" i="36"/>
  <c r="E14" i="36"/>
  <c r="E10" i="36"/>
  <c r="E6" i="36"/>
  <c r="E2" i="36"/>
  <c r="E19" i="36"/>
  <c r="E45" i="36"/>
  <c r="E40" i="36"/>
  <c r="E36" i="36"/>
  <c r="E32" i="36"/>
  <c r="E28" i="36"/>
  <c r="E24" i="36"/>
  <c r="E20" i="36"/>
  <c r="E15" i="36"/>
  <c r="E11" i="36"/>
  <c r="E7" i="36"/>
  <c r="E3" i="36"/>
  <c r="O41" i="36" l="1"/>
  <c r="D41" i="36"/>
  <c r="O19" i="36"/>
  <c r="M2" i="36" l="1"/>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s="1"/>
  <c r="O2" i="36" s="1"/>
  <c r="L3" i="36"/>
  <c r="C3" i="36" s="1"/>
  <c r="L4" i="36"/>
  <c r="C4" i="36" s="1"/>
  <c r="L5" i="36"/>
  <c r="C5" i="36" s="1"/>
  <c r="L6" i="36"/>
  <c r="C6" i="36" s="1"/>
  <c r="O6" i="36" s="1"/>
  <c r="L7" i="36"/>
  <c r="C7" i="36" s="1"/>
  <c r="L8" i="36"/>
  <c r="C8" i="36" s="1"/>
  <c r="L9" i="36"/>
  <c r="C9" i="36" s="1"/>
  <c r="L10" i="36"/>
  <c r="C10" i="36" s="1"/>
  <c r="O10" i="36" s="1"/>
  <c r="L11" i="36"/>
  <c r="C11" i="36" s="1"/>
  <c r="L12" i="36"/>
  <c r="C12" i="36" s="1"/>
  <c r="L13" i="36"/>
  <c r="C13" i="36" s="1"/>
  <c r="L14" i="36"/>
  <c r="C14" i="36" s="1"/>
  <c r="O14" i="36" s="1"/>
  <c r="L15" i="36"/>
  <c r="C15" i="36" s="1"/>
  <c r="L16" i="36"/>
  <c r="C16" i="36" s="1"/>
  <c r="L17" i="36"/>
  <c r="C17" i="36" s="1"/>
  <c r="L18" i="36"/>
  <c r="C18" i="36" s="1"/>
  <c r="O18" i="36" s="1"/>
  <c r="L20" i="36"/>
  <c r="C20" i="36" s="1"/>
  <c r="L21" i="36"/>
  <c r="C21" i="36" s="1"/>
  <c r="L22" i="36"/>
  <c r="C22" i="36" s="1"/>
  <c r="L23" i="36"/>
  <c r="C23" i="36" s="1"/>
  <c r="O23" i="36" s="1"/>
  <c r="L24" i="36"/>
  <c r="C24" i="36" s="1"/>
  <c r="L25" i="36"/>
  <c r="C25" i="36" s="1"/>
  <c r="L26" i="36"/>
  <c r="C26" i="36" s="1"/>
  <c r="L27" i="36"/>
  <c r="C27" i="36" s="1"/>
  <c r="O27" i="36" s="1"/>
  <c r="L28" i="36"/>
  <c r="C28" i="36" s="1"/>
  <c r="L29" i="36"/>
  <c r="C29" i="36" s="1"/>
  <c r="L30" i="36"/>
  <c r="C30" i="36" s="1"/>
  <c r="L31" i="36"/>
  <c r="C31" i="36" s="1"/>
  <c r="O31" i="36" s="1"/>
  <c r="L32" i="36"/>
  <c r="C32" i="36" s="1"/>
  <c r="L33" i="36"/>
  <c r="C33" i="36" s="1"/>
  <c r="L34" i="36"/>
  <c r="C34" i="36" s="1"/>
  <c r="L35" i="36"/>
  <c r="C35" i="36" s="1"/>
  <c r="O35" i="36" s="1"/>
  <c r="L36" i="36"/>
  <c r="C36" i="36" s="1"/>
  <c r="L37" i="36"/>
  <c r="C37" i="36" s="1"/>
  <c r="L38" i="36"/>
  <c r="C38" i="36" s="1"/>
  <c r="L39" i="36"/>
  <c r="C39" i="36" s="1"/>
  <c r="O39" i="36" s="1"/>
  <c r="L40" i="36"/>
  <c r="C40" i="36" s="1"/>
  <c r="L42" i="36"/>
  <c r="C42" i="36" s="1"/>
  <c r="L43" i="36"/>
  <c r="C43" i="36" s="1"/>
  <c r="L44" i="36"/>
  <c r="C44" i="36" s="1"/>
  <c r="O44" i="36" s="1"/>
  <c r="L45" i="36"/>
  <c r="C45" i="36" s="1"/>
  <c r="L46" i="36"/>
  <c r="C46" i="36" s="1"/>
  <c r="L47" i="36"/>
  <c r="C47" i="36" s="1"/>
  <c r="L48" i="36"/>
  <c r="C48" i="36" s="1"/>
  <c r="O48" i="36" s="1"/>
  <c r="L49" i="36"/>
  <c r="C49" i="36" s="1"/>
  <c r="L50" i="36"/>
  <c r="C50" i="36" s="1"/>
  <c r="L51" i="36"/>
  <c r="C51" i="36" s="1"/>
  <c r="L52" i="36"/>
  <c r="C52" i="36" s="1"/>
  <c r="O52" i="36" s="1"/>
  <c r="L53" i="36"/>
  <c r="C53" i="36" s="1"/>
  <c r="L54" i="36"/>
  <c r="C54" i="36" s="1"/>
  <c r="L55" i="36"/>
  <c r="C55" i="36" s="1"/>
  <c r="L56" i="36"/>
  <c r="C56" i="36" s="1"/>
  <c r="O56" i="36" s="1"/>
  <c r="L57" i="36"/>
  <c r="C57" i="36" s="1"/>
  <c r="O54" i="36" l="1"/>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9" i="37"/>
  <c r="M2" i="37"/>
  <c r="M3" i="37"/>
  <c r="M4" i="37"/>
  <c r="M5" i="37"/>
  <c r="M6" i="37"/>
  <c r="M7" i="37"/>
  <c r="M8" i="37"/>
  <c r="M9" i="37"/>
  <c r="M10" i="37"/>
  <c r="M11" i="37"/>
  <c r="E11" i="37"/>
  <c r="H11" i="37"/>
  <c r="E10" i="37"/>
  <c r="H10" i="37"/>
  <c r="H9" i="37"/>
  <c r="E8" i="37"/>
  <c r="H8" i="37"/>
  <c r="F47" i="15" s="1"/>
  <c r="E7" i="37"/>
  <c r="H7" i="37"/>
  <c r="H38" i="15" l="1"/>
  <c r="J28" i="11" s="1"/>
  <c r="H42" i="15"/>
  <c r="J32" i="11" s="1"/>
  <c r="H46" i="15"/>
  <c r="J36" i="11" s="1"/>
  <c r="H50" i="15"/>
  <c r="J40" i="11" s="1"/>
  <c r="H54" i="15"/>
  <c r="H41" i="15"/>
  <c r="J31" i="11" s="1"/>
  <c r="H53" i="15"/>
  <c r="H39" i="15"/>
  <c r="J29" i="11" s="1"/>
  <c r="H43" i="15"/>
  <c r="J33" i="11" s="1"/>
  <c r="H47" i="15"/>
  <c r="J37" i="11" s="1"/>
  <c r="H51" i="15"/>
  <c r="J41" i="11" s="1"/>
  <c r="H49" i="15"/>
  <c r="J39" i="11" s="1"/>
  <c r="H40" i="15"/>
  <c r="J30" i="11" s="1"/>
  <c r="H44" i="15"/>
  <c r="J34" i="11" s="1"/>
  <c r="H48" i="15"/>
  <c r="J38" i="11" s="1"/>
  <c r="H52" i="15"/>
  <c r="H45" i="15"/>
  <c r="J35" i="11" s="1"/>
  <c r="H58" i="15"/>
  <c r="J45" i="11" s="1"/>
  <c r="H62" i="15"/>
  <c r="H66" i="15"/>
  <c r="H65" i="15"/>
  <c r="H55" i="15"/>
  <c r="J42" i="11" s="1"/>
  <c r="H59" i="15"/>
  <c r="J46" i="11" s="1"/>
  <c r="H63" i="15"/>
  <c r="H61" i="15"/>
  <c r="J48" i="11" s="1"/>
  <c r="H56" i="15"/>
  <c r="J43" i="11" s="1"/>
  <c r="H60" i="15"/>
  <c r="J47" i="11" s="1"/>
  <c r="H64" i="15"/>
  <c r="H57" i="15"/>
  <c r="J44" i="11" s="1"/>
  <c r="H99" i="15"/>
  <c r="J68" i="11" s="1"/>
  <c r="H103" i="15"/>
  <c r="H100" i="15"/>
  <c r="J69" i="11" s="1"/>
  <c r="H104" i="15"/>
  <c r="H98" i="15"/>
  <c r="J67" i="11" s="1"/>
  <c r="H101" i="15"/>
  <c r="H102" i="15"/>
  <c r="H14" i="15"/>
  <c r="J10" i="11" s="1"/>
  <c r="H18" i="15"/>
  <c r="H17" i="15"/>
  <c r="J13" i="11" s="1"/>
  <c r="H15" i="15"/>
  <c r="J11" i="11" s="1"/>
  <c r="H19" i="15"/>
  <c r="H13" i="15"/>
  <c r="J9" i="11" s="1"/>
  <c r="H12" i="15"/>
  <c r="J8" i="11" s="1"/>
  <c r="H16" i="15"/>
  <c r="J12" i="11" s="1"/>
  <c r="H20" i="15"/>
  <c r="H22" i="15"/>
  <c r="J15" i="11" s="1"/>
  <c r="H26" i="15"/>
  <c r="J19" i="11" s="1"/>
  <c r="H30" i="15"/>
  <c r="J23" i="11" s="1"/>
  <c r="H34" i="15"/>
  <c r="J27" i="11" s="1"/>
  <c r="H29" i="15"/>
  <c r="J22" i="11" s="1"/>
  <c r="H23" i="15"/>
  <c r="J16" i="11" s="1"/>
  <c r="H27" i="15"/>
  <c r="J20" i="11" s="1"/>
  <c r="H31" i="15"/>
  <c r="J24" i="11" s="1"/>
  <c r="H35" i="15"/>
  <c r="H25" i="15"/>
  <c r="J18" i="11" s="1"/>
  <c r="H37" i="15"/>
  <c r="H24" i="15"/>
  <c r="J17" i="11" s="1"/>
  <c r="H28" i="15"/>
  <c r="J21" i="11" s="1"/>
  <c r="H32" i="15"/>
  <c r="J25" i="11" s="1"/>
  <c r="H36" i="15"/>
  <c r="H21" i="15"/>
  <c r="J14" i="11" s="1"/>
  <c r="H33" i="15"/>
  <c r="J26" i="11" s="1"/>
  <c r="H87" i="15"/>
  <c r="J62" i="11" s="1"/>
  <c r="H90" i="15"/>
  <c r="H88" i="15"/>
  <c r="J63" i="11" s="1"/>
  <c r="H86" i="15"/>
  <c r="J61" i="11" s="1"/>
  <c r="H85" i="15"/>
  <c r="J60" i="11" s="1"/>
  <c r="H89" i="15"/>
  <c r="H91" i="15"/>
  <c r="J64" i="11" s="1"/>
  <c r="H95" i="15"/>
  <c r="H92" i="15"/>
  <c r="J65" i="11" s="1"/>
  <c r="H96" i="15"/>
  <c r="H93" i="15"/>
  <c r="J66" i="11" s="1"/>
  <c r="H97" i="15"/>
  <c r="H94" i="15"/>
  <c r="H2" i="15"/>
  <c r="J2" i="11" s="1"/>
  <c r="H6" i="15"/>
  <c r="J6" i="11" s="1"/>
  <c r="H10" i="15"/>
  <c r="H5" i="15"/>
  <c r="J5" i="11" s="1"/>
  <c r="H3" i="15"/>
  <c r="J3" i="11" s="1"/>
  <c r="H7" i="15"/>
  <c r="J7" i="11" s="1"/>
  <c r="H11" i="15"/>
  <c r="H4" i="15"/>
  <c r="J4" i="11" s="1"/>
  <c r="H8" i="15"/>
  <c r="H9" i="15"/>
  <c r="H70" i="15"/>
  <c r="J52" i="11" s="1"/>
  <c r="H74" i="15"/>
  <c r="H78" i="15"/>
  <c r="H77" i="15"/>
  <c r="H67" i="15"/>
  <c r="J49" i="11" s="1"/>
  <c r="H71" i="15"/>
  <c r="J53" i="11" s="1"/>
  <c r="H75" i="15"/>
  <c r="H73" i="15"/>
  <c r="J55" i="11" s="1"/>
  <c r="H68" i="15"/>
  <c r="J50" i="11" s="1"/>
  <c r="H72" i="15"/>
  <c r="J54" i="11" s="1"/>
  <c r="H76" i="15"/>
  <c r="H69" i="15"/>
  <c r="J51" i="11" s="1"/>
  <c r="H83" i="15"/>
  <c r="J59" i="11" s="1"/>
  <c r="H79" i="15"/>
  <c r="J56" i="11" s="1"/>
  <c r="H84" i="15"/>
  <c r="H81" i="15"/>
  <c r="H82" i="15"/>
  <c r="J58" i="11" s="1"/>
  <c r="H80" i="15"/>
  <c r="J57" i="11" s="1"/>
  <c r="L47" i="15"/>
  <c r="M37" i="11" s="1"/>
  <c r="L100" i="15"/>
  <c r="M69" i="11" s="1"/>
  <c r="L99" i="15"/>
  <c r="M68" i="11" s="1"/>
  <c r="L30" i="15"/>
  <c r="M23" i="11" s="1"/>
  <c r="L88" i="15"/>
  <c r="M63" i="11" s="1"/>
  <c r="L87" i="15"/>
  <c r="M62" i="11" s="1"/>
  <c r="L92" i="15"/>
  <c r="M65" i="11" s="1"/>
  <c r="L93" i="15"/>
  <c r="M66" i="11" s="1"/>
  <c r="L82" i="15"/>
  <c r="M58" i="11" s="1"/>
  <c r="L81" i="15"/>
  <c r="D47" i="15"/>
  <c r="F37" i="11" s="1"/>
  <c r="P105" i="41" s="1"/>
  <c r="F88" i="15"/>
  <c r="F87" i="15"/>
  <c r="D87" i="15" s="1"/>
  <c r="F62" i="11" s="1"/>
  <c r="P130" i="41" s="1"/>
  <c r="F100" i="15"/>
  <c r="F99" i="15"/>
  <c r="P17" i="7"/>
  <c r="D18" i="36"/>
  <c r="D28" i="36"/>
  <c r="D25" i="36"/>
  <c r="D44" i="36"/>
  <c r="D32" i="36"/>
  <c r="D5" i="36"/>
  <c r="D29" i="36"/>
  <c r="D9" i="36"/>
  <c r="D45" i="36"/>
  <c r="D27" i="36"/>
  <c r="D31" i="36"/>
  <c r="D34" i="36"/>
  <c r="D36" i="36"/>
  <c r="D30" i="36"/>
  <c r="D33" i="36"/>
  <c r="D26" i="36"/>
  <c r="D39" i="36"/>
  <c r="D42" i="36"/>
  <c r="D35" i="36"/>
  <c r="D24" i="36"/>
  <c r="D40" i="36"/>
  <c r="D43" i="36"/>
  <c r="D37" i="36"/>
  <c r="D38" i="36"/>
  <c r="D62" i="11" l="1"/>
  <c r="C130" i="41" s="1"/>
  <c r="P62" i="41"/>
  <c r="D37" i="11"/>
  <c r="C105" i="41" s="1"/>
  <c r="P37" i="41"/>
  <c r="D99" i="15"/>
  <c r="F68" i="11" s="1"/>
  <c r="P136" i="41" s="1"/>
  <c r="D100" i="15"/>
  <c r="F69" i="11" s="1"/>
  <c r="P137" i="41" s="1"/>
  <c r="D88" i="15"/>
  <c r="F63" i="11" s="1"/>
  <c r="P131" i="41" s="1"/>
  <c r="P14" i="7"/>
  <c r="P13" i="7"/>
  <c r="P11" i="7"/>
  <c r="P12" i="7"/>
  <c r="P9" i="7"/>
  <c r="P10" i="7"/>
  <c r="P15" i="7"/>
  <c r="P16" i="7"/>
  <c r="P8" i="7"/>
  <c r="P7" i="7"/>
  <c r="P5" i="7"/>
  <c r="P6" i="7"/>
  <c r="P2" i="7"/>
  <c r="P3" i="7"/>
  <c r="P4" i="7"/>
  <c r="I2" i="39"/>
  <c r="K2" i="39" s="1"/>
  <c r="S104" i="15"/>
  <c r="S66" i="15"/>
  <c r="S11" i="15"/>
  <c r="S37" i="15"/>
  <c r="S97" i="15"/>
  <c r="S84" i="15"/>
  <c r="S78" i="15"/>
  <c r="S20" i="15"/>
  <c r="S90" i="15"/>
  <c r="S54" i="15"/>
  <c r="S67" i="15"/>
  <c r="S105" i="41" l="1"/>
  <c r="T105" i="41"/>
  <c r="T130" i="41"/>
  <c r="S130" i="41"/>
  <c r="D63" i="11"/>
  <c r="C131" i="41" s="1"/>
  <c r="P63" i="41"/>
  <c r="N37" i="11"/>
  <c r="C37" i="41"/>
  <c r="P69" i="41"/>
  <c r="D69" i="11"/>
  <c r="C137" i="41" s="1"/>
  <c r="D68" i="11"/>
  <c r="C136" i="41" s="1"/>
  <c r="P68" i="41"/>
  <c r="C62" i="41"/>
  <c r="N62" i="11"/>
  <c r="S98" i="15"/>
  <c r="S85" i="15"/>
  <c r="S38" i="15"/>
  <c r="S12" i="15"/>
  <c r="S79" i="15"/>
  <c r="S91" i="15"/>
  <c r="S21" i="15"/>
  <c r="S2" i="15"/>
  <c r="S55" i="15"/>
  <c r="L56" i="15"/>
  <c r="M43" i="11" s="1"/>
  <c r="L57" i="15"/>
  <c r="M44" i="11" s="1"/>
  <c r="L58" i="15"/>
  <c r="M45" i="11" s="1"/>
  <c r="L59" i="15"/>
  <c r="M46" i="11" s="1"/>
  <c r="L60" i="15"/>
  <c r="M47" i="11" s="1"/>
  <c r="L61" i="15"/>
  <c r="M48" i="11" s="1"/>
  <c r="L62" i="15"/>
  <c r="L63" i="15"/>
  <c r="L64" i="15"/>
  <c r="L65" i="15"/>
  <c r="L66" i="15"/>
  <c r="L21" i="15"/>
  <c r="M14" i="11" s="1"/>
  <c r="L22" i="15"/>
  <c r="M15" i="11" s="1"/>
  <c r="L23" i="15"/>
  <c r="M16" i="11" s="1"/>
  <c r="L24" i="15"/>
  <c r="M17" i="11" s="1"/>
  <c r="L25" i="15"/>
  <c r="M18" i="11" s="1"/>
  <c r="L26" i="15"/>
  <c r="M19" i="11" s="1"/>
  <c r="L27" i="15"/>
  <c r="M20" i="11" s="1"/>
  <c r="L28" i="15"/>
  <c r="M21" i="11" s="1"/>
  <c r="L29" i="15"/>
  <c r="M22" i="11" s="1"/>
  <c r="L31" i="15"/>
  <c r="M24" i="11" s="1"/>
  <c r="L32" i="15"/>
  <c r="M25" i="11" s="1"/>
  <c r="L33" i="15"/>
  <c r="M26" i="11" s="1"/>
  <c r="L34" i="15"/>
  <c r="M27" i="11" s="1"/>
  <c r="L35" i="15"/>
  <c r="L36" i="15"/>
  <c r="L37" i="15"/>
  <c r="L91" i="15"/>
  <c r="M64" i="11" s="1"/>
  <c r="L94" i="15"/>
  <c r="L95" i="15"/>
  <c r="L96" i="15"/>
  <c r="L97" i="15"/>
  <c r="L79" i="15"/>
  <c r="L80" i="15"/>
  <c r="M57" i="11" s="1"/>
  <c r="L83" i="15"/>
  <c r="M59" i="11" s="1"/>
  <c r="L84" i="15"/>
  <c r="L67" i="15"/>
  <c r="M49" i="11" s="1"/>
  <c r="L68" i="15"/>
  <c r="M50" i="11" s="1"/>
  <c r="L69" i="15"/>
  <c r="M51" i="11" s="1"/>
  <c r="L70" i="15"/>
  <c r="M52" i="11" s="1"/>
  <c r="L71" i="15"/>
  <c r="M53" i="11" s="1"/>
  <c r="L72" i="15"/>
  <c r="M54" i="11" s="1"/>
  <c r="L73" i="15"/>
  <c r="M55" i="11" s="1"/>
  <c r="L74" i="15"/>
  <c r="L75" i="15"/>
  <c r="L76" i="15"/>
  <c r="L77" i="15"/>
  <c r="L78" i="15"/>
  <c r="L12" i="15"/>
  <c r="M8" i="11" s="1"/>
  <c r="L13" i="15"/>
  <c r="M9" i="11" s="1"/>
  <c r="L14" i="15"/>
  <c r="M10" i="11" s="1"/>
  <c r="L15" i="15"/>
  <c r="M11" i="11" s="1"/>
  <c r="L16" i="15"/>
  <c r="M12" i="11" s="1"/>
  <c r="L17" i="15"/>
  <c r="M13" i="11" s="1"/>
  <c r="L18" i="15"/>
  <c r="L19" i="15"/>
  <c r="L20" i="15"/>
  <c r="L38" i="15"/>
  <c r="M28" i="11" s="1"/>
  <c r="L39" i="15"/>
  <c r="M29" i="11" s="1"/>
  <c r="L40" i="15"/>
  <c r="M30" i="11" s="1"/>
  <c r="L41" i="15"/>
  <c r="M31" i="11" s="1"/>
  <c r="L42" i="15"/>
  <c r="M32" i="11" s="1"/>
  <c r="L43" i="15"/>
  <c r="M33" i="11" s="1"/>
  <c r="L44" i="15"/>
  <c r="M34" i="11" s="1"/>
  <c r="L45" i="15"/>
  <c r="M35" i="11" s="1"/>
  <c r="L46" i="15"/>
  <c r="M36" i="11" s="1"/>
  <c r="L48" i="15"/>
  <c r="M38" i="11" s="1"/>
  <c r="L49" i="15"/>
  <c r="M39" i="11" s="1"/>
  <c r="L50" i="15"/>
  <c r="M40" i="11" s="1"/>
  <c r="L51" i="15"/>
  <c r="M41" i="11" s="1"/>
  <c r="L52" i="15"/>
  <c r="L53" i="15"/>
  <c r="L54" i="15"/>
  <c r="L98" i="15"/>
  <c r="M67" i="11" s="1"/>
  <c r="L101" i="15"/>
  <c r="L102" i="15"/>
  <c r="L103" i="15"/>
  <c r="L104" i="15"/>
  <c r="L85" i="15"/>
  <c r="M60" i="11" s="1"/>
  <c r="L86" i="15"/>
  <c r="M61" i="11" s="1"/>
  <c r="L89" i="15"/>
  <c r="L90" i="15"/>
  <c r="L55" i="15"/>
  <c r="M42" i="11" s="1"/>
  <c r="H3" i="37"/>
  <c r="F30" i="15" s="1"/>
  <c r="D30" i="15" s="1"/>
  <c r="F23" i="11" s="1"/>
  <c r="P91" i="41" s="1"/>
  <c r="H4" i="37"/>
  <c r="H5" i="37"/>
  <c r="H6" i="37"/>
  <c r="H2" i="37"/>
  <c r="K41" i="41" l="1"/>
  <c r="K109" i="41"/>
  <c r="K31" i="41"/>
  <c r="K99" i="41"/>
  <c r="K61" i="41"/>
  <c r="K129" i="41"/>
  <c r="K11" i="41"/>
  <c r="K79" i="41"/>
  <c r="K52" i="41"/>
  <c r="K120" i="41"/>
  <c r="K27" i="41"/>
  <c r="K95" i="41"/>
  <c r="T136" i="41"/>
  <c r="S136" i="41"/>
  <c r="K17" i="41"/>
  <c r="K85" i="41"/>
  <c r="K45" i="41"/>
  <c r="K113" i="41"/>
  <c r="T137" i="41"/>
  <c r="S137" i="41"/>
  <c r="K57" i="41"/>
  <c r="K125" i="41"/>
  <c r="S131" i="41"/>
  <c r="T131" i="41"/>
  <c r="V17" i="7"/>
  <c r="M56" i="11"/>
  <c r="T37" i="41"/>
  <c r="S37" i="41"/>
  <c r="C68" i="41"/>
  <c r="N68" i="11"/>
  <c r="D23" i="11"/>
  <c r="C91" i="41" s="1"/>
  <c r="P23" i="41"/>
  <c r="C69" i="41"/>
  <c r="N69" i="11"/>
  <c r="T62" i="41"/>
  <c r="S62" i="41"/>
  <c r="C63" i="41"/>
  <c r="N63" i="11"/>
  <c r="F92" i="15"/>
  <c r="D92" i="15" s="1"/>
  <c r="F65" i="11" s="1"/>
  <c r="P133" i="41" s="1"/>
  <c r="F93" i="15"/>
  <c r="D93" i="15" s="1"/>
  <c r="F66" i="11" s="1"/>
  <c r="P134" i="41" s="1"/>
  <c r="F82" i="15"/>
  <c r="D82" i="15" s="1"/>
  <c r="F58" i="11" s="1"/>
  <c r="P126" i="41" s="1"/>
  <c r="F81" i="15"/>
  <c r="D81" i="15" s="1"/>
  <c r="V9" i="7"/>
  <c r="V10" i="7"/>
  <c r="V13" i="7"/>
  <c r="V14" i="7"/>
  <c r="V15" i="7"/>
  <c r="V16" i="7"/>
  <c r="V11" i="7"/>
  <c r="V12" i="7"/>
  <c r="V5" i="7"/>
  <c r="V2" i="7"/>
  <c r="V6" i="7"/>
  <c r="V3" i="7"/>
  <c r="V4" i="7"/>
  <c r="V7" i="7"/>
  <c r="V8" i="7"/>
  <c r="F23" i="15"/>
  <c r="F27" i="15"/>
  <c r="F32" i="15"/>
  <c r="F36" i="15"/>
  <c r="F38" i="15"/>
  <c r="F42" i="15"/>
  <c r="F46" i="15"/>
  <c r="F51" i="15"/>
  <c r="F24" i="15"/>
  <c r="F28" i="15"/>
  <c r="F33" i="15"/>
  <c r="F37" i="15"/>
  <c r="F29" i="15"/>
  <c r="F49" i="15"/>
  <c r="F26" i="15"/>
  <c r="F41" i="15"/>
  <c r="F50" i="15"/>
  <c r="F39" i="15"/>
  <c r="F43" i="15"/>
  <c r="F48" i="15"/>
  <c r="F52" i="15"/>
  <c r="F21" i="15"/>
  <c r="F34" i="15"/>
  <c r="F40" i="15"/>
  <c r="F53" i="15"/>
  <c r="F22" i="15"/>
  <c r="F35" i="15"/>
  <c r="F45" i="15"/>
  <c r="F54" i="15"/>
  <c r="F25" i="15"/>
  <c r="F44" i="15"/>
  <c r="F31" i="15"/>
  <c r="F80" i="15"/>
  <c r="F90" i="15"/>
  <c r="F86" i="15"/>
  <c r="F83" i="15"/>
  <c r="F85" i="15"/>
  <c r="F84" i="15"/>
  <c r="F89" i="15"/>
  <c r="F79" i="15"/>
  <c r="F2" i="15"/>
  <c r="F6" i="15"/>
  <c r="F10" i="15"/>
  <c r="F13" i="15"/>
  <c r="F17" i="15"/>
  <c r="F3" i="15"/>
  <c r="F7" i="15"/>
  <c r="F11" i="15"/>
  <c r="F8" i="15"/>
  <c r="F19" i="15"/>
  <c r="F12" i="15"/>
  <c r="F16" i="15"/>
  <c r="F14" i="15"/>
  <c r="F18" i="15"/>
  <c r="F20" i="15"/>
  <c r="F4" i="15"/>
  <c r="F15" i="15"/>
  <c r="F5" i="15"/>
  <c r="F9" i="15"/>
  <c r="F95" i="15"/>
  <c r="F98" i="15"/>
  <c r="F104" i="15"/>
  <c r="F96" i="15"/>
  <c r="F97" i="15"/>
  <c r="F94" i="15"/>
  <c r="F103" i="15"/>
  <c r="F101" i="15"/>
  <c r="F91" i="15"/>
  <c r="F102" i="15"/>
  <c r="F59" i="15"/>
  <c r="F63" i="15"/>
  <c r="F68" i="15"/>
  <c r="F72" i="15"/>
  <c r="F76" i="15"/>
  <c r="F56" i="15"/>
  <c r="F60" i="15"/>
  <c r="F64" i="15"/>
  <c r="F57" i="15"/>
  <c r="F65" i="15"/>
  <c r="F74" i="15"/>
  <c r="F71" i="15"/>
  <c r="F69" i="15"/>
  <c r="F73" i="15"/>
  <c r="F77" i="15"/>
  <c r="F55" i="15"/>
  <c r="F61" i="15"/>
  <c r="F78" i="15"/>
  <c r="F62" i="15"/>
  <c r="F66" i="15"/>
  <c r="F67" i="15"/>
  <c r="F75" i="15"/>
  <c r="F70" i="15"/>
  <c r="F58" i="15"/>
  <c r="L2" i="33"/>
  <c r="L3" i="33"/>
  <c r="L4" i="33"/>
  <c r="L5" i="33"/>
  <c r="T91" i="41" l="1"/>
  <c r="S91" i="41"/>
  <c r="D66" i="11"/>
  <c r="C134" i="41" s="1"/>
  <c r="P66" i="41"/>
  <c r="D65" i="11"/>
  <c r="C133" i="41" s="1"/>
  <c r="P65" i="41"/>
  <c r="N23" i="11"/>
  <c r="C23" i="41"/>
  <c r="D58" i="11"/>
  <c r="C126" i="41" s="1"/>
  <c r="P58" i="41"/>
  <c r="T63" i="41"/>
  <c r="S63" i="41"/>
  <c r="T69" i="41"/>
  <c r="S69" i="41"/>
  <c r="T68" i="41"/>
  <c r="S68" i="41"/>
  <c r="E8" i="7"/>
  <c r="E7" i="7"/>
  <c r="E6" i="7"/>
  <c r="E5" i="7"/>
  <c r="E4" i="7"/>
  <c r="E3" i="7"/>
  <c r="E2" i="7"/>
  <c r="D24" i="38"/>
  <c r="B8" i="35"/>
  <c r="B9" i="35"/>
  <c r="B10" i="35"/>
  <c r="S134" i="41" l="1"/>
  <c r="T134" i="41"/>
  <c r="S126" i="41"/>
  <c r="T126" i="41"/>
  <c r="T133" i="41"/>
  <c r="S133" i="41"/>
  <c r="C58" i="41"/>
  <c r="N58" i="11"/>
  <c r="C65" i="41"/>
  <c r="N65" i="11"/>
  <c r="T23" i="41"/>
  <c r="S23" i="41"/>
  <c r="N66" i="11"/>
  <c r="C66" i="41"/>
  <c r="G19" i="7"/>
  <c r="B3" i="35"/>
  <c r="G8" i="37" s="1"/>
  <c r="N47" i="15" s="1"/>
  <c r="Q37" i="41" s="1"/>
  <c r="B4" i="35"/>
  <c r="G9" i="37" s="1"/>
  <c r="B5" i="35"/>
  <c r="G10" i="37" s="1"/>
  <c r="B6" i="35"/>
  <c r="G11" i="37" s="1"/>
  <c r="B2" i="35"/>
  <c r="G7" i="37" s="1"/>
  <c r="T66" i="41" l="1"/>
  <c r="S66" i="41"/>
  <c r="T65" i="41"/>
  <c r="S65" i="41"/>
  <c r="T58" i="41"/>
  <c r="S58" i="41"/>
  <c r="N88" i="15"/>
  <c r="Q63" i="41" s="1"/>
  <c r="N87" i="15"/>
  <c r="Q62" i="41" s="1"/>
  <c r="N100" i="15"/>
  <c r="Q69" i="41" s="1"/>
  <c r="N99" i="15"/>
  <c r="Q68" i="41" s="1"/>
  <c r="C10" i="37"/>
  <c r="N85" i="15"/>
  <c r="Q60" i="41" s="1"/>
  <c r="N86" i="15"/>
  <c r="Q61" i="41" s="1"/>
  <c r="N90" i="15"/>
  <c r="N89" i="15"/>
  <c r="C7" i="37"/>
  <c r="N15" i="15"/>
  <c r="Q11" i="41" s="1"/>
  <c r="N19" i="15"/>
  <c r="N12" i="15"/>
  <c r="Q8" i="41" s="1"/>
  <c r="N16" i="15"/>
  <c r="Q12" i="41" s="1"/>
  <c r="N20" i="15"/>
  <c r="N14" i="15"/>
  <c r="Q10" i="41" s="1"/>
  <c r="N13" i="15"/>
  <c r="Q9" i="41" s="1"/>
  <c r="N17" i="15"/>
  <c r="Q13" i="41" s="1"/>
  <c r="N18" i="15"/>
  <c r="C8" i="37"/>
  <c r="N40" i="15"/>
  <c r="Q30" i="41" s="1"/>
  <c r="N44" i="15"/>
  <c r="Q34" i="41" s="1"/>
  <c r="N49" i="15"/>
  <c r="Q39" i="41" s="1"/>
  <c r="N53" i="15"/>
  <c r="N48" i="15"/>
  <c r="Q38" i="41" s="1"/>
  <c r="N52" i="15"/>
  <c r="N41" i="15"/>
  <c r="Q31" i="41" s="1"/>
  <c r="N45" i="15"/>
  <c r="Q35" i="41" s="1"/>
  <c r="N50" i="15"/>
  <c r="Q40" i="41" s="1"/>
  <c r="N54" i="15"/>
  <c r="N43" i="15"/>
  <c r="Q33" i="41" s="1"/>
  <c r="N38" i="15"/>
  <c r="Q28" i="41" s="1"/>
  <c r="N42" i="15"/>
  <c r="Q32" i="41" s="1"/>
  <c r="N46" i="15"/>
  <c r="Q36" i="41" s="1"/>
  <c r="N51" i="15"/>
  <c r="Q41" i="41" s="1"/>
  <c r="N39" i="15"/>
  <c r="Q29" i="41" s="1"/>
  <c r="C11" i="37"/>
  <c r="N103" i="15"/>
  <c r="N102" i="15"/>
  <c r="N98" i="15"/>
  <c r="Q67" i="41" s="1"/>
  <c r="N104" i="15"/>
  <c r="N101" i="15"/>
  <c r="C9" i="37"/>
  <c r="N67" i="15"/>
  <c r="Q49" i="41" s="1"/>
  <c r="N71" i="15"/>
  <c r="Q53" i="41" s="1"/>
  <c r="N75" i="15"/>
  <c r="N72" i="15"/>
  <c r="Q54" i="41" s="1"/>
  <c r="N68" i="15"/>
  <c r="Q50" i="41" s="1"/>
  <c r="N76" i="15"/>
  <c r="N74" i="15"/>
  <c r="N77" i="15"/>
  <c r="N78" i="15"/>
  <c r="N69" i="15"/>
  <c r="Q51" i="41" s="1"/>
  <c r="N70" i="15"/>
  <c r="Q52" i="41" s="1"/>
  <c r="N73" i="15"/>
  <c r="Q55" i="41" s="1"/>
  <c r="M2" i="33"/>
  <c r="M3" i="33"/>
  <c r="M4" i="33"/>
  <c r="M5" i="33"/>
  <c r="G5" i="37" l="1"/>
  <c r="G6" i="37"/>
  <c r="G4" i="37"/>
  <c r="E2" i="37"/>
  <c r="E3" i="37"/>
  <c r="E4" i="37"/>
  <c r="E5" i="37"/>
  <c r="E6" i="37"/>
  <c r="N93" i="15" l="1"/>
  <c r="Q66" i="41" s="1"/>
  <c r="N92" i="15"/>
  <c r="Q65" i="41" s="1"/>
  <c r="N82" i="15"/>
  <c r="Q58" i="41" s="1"/>
  <c r="N81" i="15"/>
  <c r="C5" i="37"/>
  <c r="N79" i="15"/>
  <c r="Q56" i="41" s="1"/>
  <c r="N84" i="15"/>
  <c r="N80" i="15"/>
  <c r="Q57" i="41" s="1"/>
  <c r="N83" i="15"/>
  <c r="Q59" i="41" s="1"/>
  <c r="N57" i="15"/>
  <c r="Q44" i="41" s="1"/>
  <c r="N58" i="15"/>
  <c r="Q45" i="41" s="1"/>
  <c r="N60" i="15"/>
  <c r="Q47" i="41" s="1"/>
  <c r="N55" i="15"/>
  <c r="Q42" i="41" s="1"/>
  <c r="N59" i="15"/>
  <c r="Q46" i="41" s="1"/>
  <c r="N56" i="15"/>
  <c r="Q43" i="41" s="1"/>
  <c r="C6" i="37"/>
  <c r="N91" i="15"/>
  <c r="Q64" i="41" s="1"/>
  <c r="N97" i="15"/>
  <c r="N94" i="15"/>
  <c r="N95" i="15"/>
  <c r="N96" i="15"/>
  <c r="C4" i="37"/>
  <c r="N63" i="15"/>
  <c r="N61" i="15"/>
  <c r="Q48" i="41" s="1"/>
  <c r="N64" i="15"/>
  <c r="N66" i="15"/>
  <c r="N62" i="15"/>
  <c r="N65" i="15"/>
  <c r="D98" i="15"/>
  <c r="F67" i="11" s="1"/>
  <c r="P135" i="41" s="1"/>
  <c r="D95" i="15"/>
  <c r="D97" i="15"/>
  <c r="D96" i="15"/>
  <c r="D102" i="15"/>
  <c r="D101" i="15"/>
  <c r="D94" i="15"/>
  <c r="D91" i="15"/>
  <c r="F64" i="11" s="1"/>
  <c r="P132" i="41" s="1"/>
  <c r="D103" i="15"/>
  <c r="D104" i="15"/>
  <c r="D4" i="15"/>
  <c r="F4" i="11" s="1"/>
  <c r="P72" i="41" s="1"/>
  <c r="D16" i="15"/>
  <c r="F12" i="11" s="1"/>
  <c r="P80" i="41" s="1"/>
  <c r="D5" i="15"/>
  <c r="F5" i="11" s="1"/>
  <c r="P73" i="41" s="1"/>
  <c r="D17" i="15"/>
  <c r="F13" i="11" s="1"/>
  <c r="P81" i="41" s="1"/>
  <c r="D12" i="15"/>
  <c r="F8" i="11" s="1"/>
  <c r="P76" i="41" s="1"/>
  <c r="D10" i="15"/>
  <c r="D9" i="15"/>
  <c r="D7" i="15"/>
  <c r="F7" i="11" s="1"/>
  <c r="P75" i="41" s="1"/>
  <c r="D15" i="15"/>
  <c r="F11" i="11" s="1"/>
  <c r="P79" i="41" s="1"/>
  <c r="D14" i="15"/>
  <c r="F10" i="11" s="1"/>
  <c r="P78" i="41" s="1"/>
  <c r="D3" i="15"/>
  <c r="F3" i="11" s="1"/>
  <c r="P71" i="41" s="1"/>
  <c r="D13" i="15"/>
  <c r="F9" i="11" s="1"/>
  <c r="P77" i="41" s="1"/>
  <c r="D2" i="15"/>
  <c r="F2" i="11" s="1"/>
  <c r="P70" i="41" s="1"/>
  <c r="D11" i="15"/>
  <c r="D19" i="15"/>
  <c r="D6" i="15"/>
  <c r="F6" i="11" s="1"/>
  <c r="P74" i="41" s="1"/>
  <c r="D18" i="15"/>
  <c r="D8" i="15"/>
  <c r="D20" i="15"/>
  <c r="D83" i="15"/>
  <c r="F59" i="11" s="1"/>
  <c r="P127" i="41" s="1"/>
  <c r="D86" i="15"/>
  <c r="F61" i="11" s="1"/>
  <c r="P129" i="41" s="1"/>
  <c r="D85" i="15"/>
  <c r="F60" i="11" s="1"/>
  <c r="P128" i="41" s="1"/>
  <c r="D89" i="15"/>
  <c r="D79" i="15"/>
  <c r="F56" i="11" s="1"/>
  <c r="P124" i="41" s="1"/>
  <c r="D80" i="15"/>
  <c r="F57" i="11" s="1"/>
  <c r="P125" i="41" s="1"/>
  <c r="D90" i="15"/>
  <c r="D84" i="15"/>
  <c r="D72" i="15"/>
  <c r="F54" i="11" s="1"/>
  <c r="P122" i="41" s="1"/>
  <c r="D59" i="15"/>
  <c r="F46" i="11" s="1"/>
  <c r="P114" i="41" s="1"/>
  <c r="D67" i="15"/>
  <c r="F49" i="11" s="1"/>
  <c r="P117" i="41" s="1"/>
  <c r="D78" i="15"/>
  <c r="D65" i="15"/>
  <c r="D77" i="15"/>
  <c r="D64" i="15"/>
  <c r="D56" i="15"/>
  <c r="F43" i="11" s="1"/>
  <c r="P111" i="41" s="1"/>
  <c r="D68" i="15"/>
  <c r="F50" i="11" s="1"/>
  <c r="P118" i="41" s="1"/>
  <c r="D66" i="15"/>
  <c r="D74" i="15"/>
  <c r="D61" i="15"/>
  <c r="F48" i="11" s="1"/>
  <c r="P116" i="41" s="1"/>
  <c r="D73" i="15"/>
  <c r="F55" i="11" s="1"/>
  <c r="P123" i="41" s="1"/>
  <c r="D60" i="15"/>
  <c r="F47" i="11" s="1"/>
  <c r="P115" i="41" s="1"/>
  <c r="D76" i="15"/>
  <c r="D71" i="15"/>
  <c r="F53" i="11" s="1"/>
  <c r="P121" i="41" s="1"/>
  <c r="D58" i="15"/>
  <c r="F45" i="11" s="1"/>
  <c r="P113" i="41" s="1"/>
  <c r="D55" i="15"/>
  <c r="F42" i="11" s="1"/>
  <c r="P110" i="41" s="1"/>
  <c r="D75" i="15"/>
  <c r="D62" i="15"/>
  <c r="D70" i="15"/>
  <c r="F52" i="11" s="1"/>
  <c r="P120" i="41" s="1"/>
  <c r="D57" i="15"/>
  <c r="F44" i="11" s="1"/>
  <c r="P112" i="41" s="1"/>
  <c r="D69" i="15"/>
  <c r="F51" i="11" s="1"/>
  <c r="P119" i="41" s="1"/>
  <c r="D63" i="15"/>
  <c r="D22" i="15"/>
  <c r="F15" i="11" s="1"/>
  <c r="P83" i="41" s="1"/>
  <c r="D38" i="15"/>
  <c r="F28" i="11" s="1"/>
  <c r="P96" i="41" s="1"/>
  <c r="D29" i="15"/>
  <c r="F22" i="11" s="1"/>
  <c r="P90" i="41" s="1"/>
  <c r="D50" i="15"/>
  <c r="F40" i="11" s="1"/>
  <c r="P108" i="41" s="1"/>
  <c r="D28" i="15"/>
  <c r="F21" i="11" s="1"/>
  <c r="P89" i="41" s="1"/>
  <c r="D44" i="15"/>
  <c r="F34" i="11" s="1"/>
  <c r="P102" i="41" s="1"/>
  <c r="D23" i="15"/>
  <c r="F16" i="11" s="1"/>
  <c r="P84" i="41" s="1"/>
  <c r="D43" i="15"/>
  <c r="F33" i="11" s="1"/>
  <c r="P101" i="41" s="1"/>
  <c r="D26" i="15"/>
  <c r="F19" i="11" s="1"/>
  <c r="P87" i="41" s="1"/>
  <c r="D51" i="15"/>
  <c r="F41" i="11" s="1"/>
  <c r="P109" i="41" s="1"/>
  <c r="D25" i="15"/>
  <c r="F18" i="11" s="1"/>
  <c r="P86" i="41" s="1"/>
  <c r="D45" i="15"/>
  <c r="F35" i="11" s="1"/>
  <c r="P103" i="41" s="1"/>
  <c r="D24" i="15"/>
  <c r="F17" i="11" s="1"/>
  <c r="P85" i="41" s="1"/>
  <c r="D40" i="15"/>
  <c r="F30" i="11" s="1"/>
  <c r="P98" i="41" s="1"/>
  <c r="D36" i="15"/>
  <c r="D39" i="15"/>
  <c r="F29" i="11" s="1"/>
  <c r="P97" i="41" s="1"/>
  <c r="D34" i="15"/>
  <c r="F27" i="11" s="1"/>
  <c r="P95" i="41" s="1"/>
  <c r="D54" i="15"/>
  <c r="D33" i="15"/>
  <c r="F26" i="11" s="1"/>
  <c r="P94" i="41" s="1"/>
  <c r="D46" i="15"/>
  <c r="F36" i="11" s="1"/>
  <c r="P104" i="41" s="1"/>
  <c r="D21" i="15"/>
  <c r="F14" i="11" s="1"/>
  <c r="P82" i="41" s="1"/>
  <c r="D41" i="15"/>
  <c r="F31" i="11" s="1"/>
  <c r="P99" i="41" s="1"/>
  <c r="D37" i="15"/>
  <c r="D53" i="15"/>
  <c r="D32" i="15"/>
  <c r="F25" i="11" s="1"/>
  <c r="P93" i="41" s="1"/>
  <c r="D52" i="15"/>
  <c r="D35" i="15"/>
  <c r="D42" i="15"/>
  <c r="F32" i="11" s="1"/>
  <c r="P100" i="41" s="1"/>
  <c r="D49" i="15"/>
  <c r="F39" i="11" s="1"/>
  <c r="P107" i="41" s="1"/>
  <c r="D27" i="15"/>
  <c r="F20" i="11" s="1"/>
  <c r="P88" i="41" s="1"/>
  <c r="D48" i="15"/>
  <c r="F38" i="11" s="1"/>
  <c r="P106" i="41" s="1"/>
  <c r="D31" i="15"/>
  <c r="F24" i="11" s="1"/>
  <c r="P92" i="41" s="1"/>
  <c r="D14" i="38"/>
  <c r="D18" i="38"/>
  <c r="D22" i="38"/>
  <c r="D5" i="38"/>
  <c r="D9" i="38"/>
  <c r="D17" i="38"/>
  <c r="D4" i="38"/>
  <c r="D11" i="38"/>
  <c r="D15" i="38"/>
  <c r="D19" i="38"/>
  <c r="D23" i="38"/>
  <c r="D6" i="38"/>
  <c r="D10" i="38"/>
  <c r="D13" i="38"/>
  <c r="D21" i="38"/>
  <c r="D8" i="38"/>
  <c r="D12" i="38"/>
  <c r="D16" i="38"/>
  <c r="D20" i="38"/>
  <c r="D3" i="38"/>
  <c r="D7" i="38"/>
  <c r="D2" i="38"/>
  <c r="G2" i="37"/>
  <c r="G3" i="37"/>
  <c r="N30" i="15" s="1"/>
  <c r="Q23" i="41" s="1"/>
  <c r="D32" i="11" l="1"/>
  <c r="C100" i="41" s="1"/>
  <c r="P32" i="41"/>
  <c r="D36" i="11"/>
  <c r="C104" i="41" s="1"/>
  <c r="P36" i="41"/>
  <c r="D35" i="11"/>
  <c r="C103" i="41" s="1"/>
  <c r="P35" i="41"/>
  <c r="P38" i="41"/>
  <c r="D38" i="11"/>
  <c r="C106" i="41" s="1"/>
  <c r="D26" i="11"/>
  <c r="C94" i="41" s="1"/>
  <c r="P26" i="41"/>
  <c r="D18" i="11"/>
  <c r="C86" i="41" s="1"/>
  <c r="P18" i="41"/>
  <c r="D16" i="11"/>
  <c r="C84" i="41" s="1"/>
  <c r="P16" i="41"/>
  <c r="D22" i="11"/>
  <c r="C90" i="41" s="1"/>
  <c r="P22" i="41"/>
  <c r="D51" i="11"/>
  <c r="C119" i="41" s="1"/>
  <c r="P51" i="41"/>
  <c r="D49" i="11"/>
  <c r="C117" i="41" s="1"/>
  <c r="P49" i="41"/>
  <c r="D60" i="11"/>
  <c r="C128" i="41" s="1"/>
  <c r="P60" i="41"/>
  <c r="D10" i="11"/>
  <c r="C78" i="41" s="1"/>
  <c r="P10" i="41"/>
  <c r="D12" i="11"/>
  <c r="C80" i="41" s="1"/>
  <c r="P12" i="41"/>
  <c r="D64" i="11"/>
  <c r="C132" i="41" s="1"/>
  <c r="P64" i="41"/>
  <c r="P20" i="41"/>
  <c r="D20" i="11"/>
  <c r="C88" i="41" s="1"/>
  <c r="D31" i="11"/>
  <c r="C99" i="41" s="1"/>
  <c r="P31" i="41"/>
  <c r="D30" i="11"/>
  <c r="C98" i="41" s="1"/>
  <c r="P30" i="41"/>
  <c r="D41" i="11"/>
  <c r="C109" i="41" s="1"/>
  <c r="P41" i="41"/>
  <c r="D34" i="11"/>
  <c r="C102" i="41" s="1"/>
  <c r="P34" i="41"/>
  <c r="D28" i="11"/>
  <c r="C96" i="41" s="1"/>
  <c r="P28" i="41"/>
  <c r="D44" i="11"/>
  <c r="C112" i="41" s="1"/>
  <c r="P44" i="41"/>
  <c r="D42" i="11"/>
  <c r="C110" i="41" s="1"/>
  <c r="P42" i="41"/>
  <c r="D47" i="11"/>
  <c r="C115" i="41" s="1"/>
  <c r="P47" i="41"/>
  <c r="D46" i="11"/>
  <c r="C114" i="41" s="1"/>
  <c r="P46" i="41"/>
  <c r="D57" i="11"/>
  <c r="C125" i="41" s="1"/>
  <c r="P57" i="41"/>
  <c r="P61" i="41"/>
  <c r="D61" i="11"/>
  <c r="C129" i="41" s="1"/>
  <c r="D2" i="11"/>
  <c r="P2" i="41"/>
  <c r="D11" i="11"/>
  <c r="C79" i="41" s="1"/>
  <c r="P11" i="41"/>
  <c r="D8" i="11"/>
  <c r="C76" i="41" s="1"/>
  <c r="P8" i="41"/>
  <c r="P4" i="41"/>
  <c r="D4" i="11"/>
  <c r="C72" i="41" s="1"/>
  <c r="D39" i="11"/>
  <c r="C107" i="41" s="1"/>
  <c r="P39" i="41"/>
  <c r="D25" i="11"/>
  <c r="C93" i="41" s="1"/>
  <c r="P25" i="41"/>
  <c r="D14" i="11"/>
  <c r="C82" i="41" s="1"/>
  <c r="P14" i="41"/>
  <c r="P27" i="41"/>
  <c r="D27" i="11"/>
  <c r="C95" i="41" s="1"/>
  <c r="D17" i="11"/>
  <c r="C85" i="41" s="1"/>
  <c r="P17" i="41"/>
  <c r="D19" i="11"/>
  <c r="C87" i="41" s="1"/>
  <c r="P19" i="41"/>
  <c r="P21" i="41"/>
  <c r="D21" i="11"/>
  <c r="C89" i="41" s="1"/>
  <c r="D15" i="11"/>
  <c r="C83" i="41" s="1"/>
  <c r="P15" i="41"/>
  <c r="D52" i="11"/>
  <c r="C120" i="41" s="1"/>
  <c r="P52" i="41"/>
  <c r="D45" i="11"/>
  <c r="C113" i="41" s="1"/>
  <c r="P45" i="41"/>
  <c r="D55" i="11"/>
  <c r="C123" i="41" s="1"/>
  <c r="P55" i="41"/>
  <c r="D50" i="11"/>
  <c r="C118" i="41" s="1"/>
  <c r="P50" i="41"/>
  <c r="P54" i="41"/>
  <c r="D54" i="11"/>
  <c r="C122" i="41" s="1"/>
  <c r="D56" i="11"/>
  <c r="C124" i="41" s="1"/>
  <c r="P56" i="41"/>
  <c r="D59" i="11"/>
  <c r="C127" i="41" s="1"/>
  <c r="P59" i="41"/>
  <c r="D6" i="11"/>
  <c r="C74" i="41" s="1"/>
  <c r="P6" i="41"/>
  <c r="D9" i="11"/>
  <c r="C77" i="41" s="1"/>
  <c r="P9" i="41"/>
  <c r="P7" i="41"/>
  <c r="D7" i="11"/>
  <c r="C75" i="41" s="1"/>
  <c r="D13" i="11"/>
  <c r="C81" i="41" s="1"/>
  <c r="P13" i="41"/>
  <c r="P24" i="41"/>
  <c r="D24" i="11"/>
  <c r="C92" i="41" s="1"/>
  <c r="D29" i="11"/>
  <c r="C97" i="41" s="1"/>
  <c r="P29" i="41"/>
  <c r="D33" i="11"/>
  <c r="C101" i="41" s="1"/>
  <c r="P33" i="41"/>
  <c r="D40" i="11"/>
  <c r="C108" i="41" s="1"/>
  <c r="P40" i="41"/>
  <c r="D53" i="11"/>
  <c r="C121" i="41" s="1"/>
  <c r="P53" i="41"/>
  <c r="P48" i="41"/>
  <c r="D48" i="11"/>
  <c r="C116" i="41" s="1"/>
  <c r="D43" i="11"/>
  <c r="C111" i="41" s="1"/>
  <c r="P43" i="41"/>
  <c r="D3" i="11"/>
  <c r="C71" i="41" s="1"/>
  <c r="P3" i="41"/>
  <c r="D5" i="11"/>
  <c r="C73" i="41" s="1"/>
  <c r="P5" i="41"/>
  <c r="D67" i="11"/>
  <c r="C135" i="41" s="1"/>
  <c r="P67" i="41"/>
  <c r="U17" i="7"/>
  <c r="S17" i="7"/>
  <c r="S13" i="7"/>
  <c r="S14" i="7"/>
  <c r="U15" i="7"/>
  <c r="U16" i="7"/>
  <c r="S11" i="7"/>
  <c r="S12" i="7"/>
  <c r="S9" i="7"/>
  <c r="S10" i="7"/>
  <c r="U9" i="7"/>
  <c r="U10" i="7"/>
  <c r="S15" i="7"/>
  <c r="S16" i="7"/>
  <c r="U13" i="7"/>
  <c r="U14" i="7"/>
  <c r="U11" i="7"/>
  <c r="U12" i="7"/>
  <c r="C2" i="37"/>
  <c r="N3" i="15"/>
  <c r="Q3" i="41" s="1"/>
  <c r="N7" i="15"/>
  <c r="Q7" i="41" s="1"/>
  <c r="N11" i="15"/>
  <c r="N10" i="15"/>
  <c r="N4" i="15"/>
  <c r="Q4" i="41" s="1"/>
  <c r="N8" i="15"/>
  <c r="N2" i="15"/>
  <c r="N5" i="15"/>
  <c r="Q5" i="41" s="1"/>
  <c r="N9" i="15"/>
  <c r="N6" i="15"/>
  <c r="Q6" i="41" s="1"/>
  <c r="S7" i="7"/>
  <c r="S8" i="7"/>
  <c r="S6" i="7"/>
  <c r="S5" i="7"/>
  <c r="S3" i="7"/>
  <c r="S4" i="7"/>
  <c r="C3" i="37"/>
  <c r="N23" i="15"/>
  <c r="Q16" i="41" s="1"/>
  <c r="N27" i="15"/>
  <c r="Q20" i="41" s="1"/>
  <c r="N32" i="15"/>
  <c r="Q25" i="41" s="1"/>
  <c r="N36" i="15"/>
  <c r="N22" i="15"/>
  <c r="Q15" i="41" s="1"/>
  <c r="N35" i="15"/>
  <c r="N24" i="15"/>
  <c r="Q17" i="41" s="1"/>
  <c r="N28" i="15"/>
  <c r="Q21" i="41" s="1"/>
  <c r="N33" i="15"/>
  <c r="Q26" i="41" s="1"/>
  <c r="N37" i="15"/>
  <c r="N26" i="15"/>
  <c r="Q19" i="41" s="1"/>
  <c r="N21" i="15"/>
  <c r="Q14" i="41" s="1"/>
  <c r="N25" i="15"/>
  <c r="Q18" i="41" s="1"/>
  <c r="N29" i="15"/>
  <c r="Q22" i="41" s="1"/>
  <c r="N34" i="15"/>
  <c r="Q27" i="41" s="1"/>
  <c r="N31" i="15"/>
  <c r="Q24" i="41" s="1"/>
  <c r="U7" i="7"/>
  <c r="U8" i="7"/>
  <c r="U3" i="7"/>
  <c r="U4" i="7"/>
  <c r="U5" i="7"/>
  <c r="U2" i="7"/>
  <c r="U6" i="7"/>
  <c r="S2" i="7"/>
  <c r="T92" i="41" l="1"/>
  <c r="S92" i="41"/>
  <c r="S75" i="41"/>
  <c r="T75" i="41"/>
  <c r="S95" i="41"/>
  <c r="T95" i="41"/>
  <c r="S72" i="41"/>
  <c r="T72" i="41"/>
  <c r="S129" i="41"/>
  <c r="T129" i="41"/>
  <c r="T106" i="41"/>
  <c r="S106" i="41"/>
  <c r="S73" i="41"/>
  <c r="T73" i="41"/>
  <c r="T111" i="41"/>
  <c r="S111" i="41"/>
  <c r="S121" i="41"/>
  <c r="T121" i="41"/>
  <c r="S101" i="41"/>
  <c r="T101" i="41"/>
  <c r="T74" i="41"/>
  <c r="S74" i="41"/>
  <c r="T124" i="41"/>
  <c r="S124" i="41"/>
  <c r="T118" i="41"/>
  <c r="S118" i="41"/>
  <c r="T113" i="41"/>
  <c r="S113" i="41"/>
  <c r="T83" i="41"/>
  <c r="S83" i="41"/>
  <c r="T87" i="41"/>
  <c r="S87" i="41"/>
  <c r="S93" i="41"/>
  <c r="T93" i="41"/>
  <c r="T79" i="41"/>
  <c r="S79" i="41"/>
  <c r="S114" i="41"/>
  <c r="T114" i="41"/>
  <c r="S110" i="41"/>
  <c r="T110" i="41"/>
  <c r="S96" i="41"/>
  <c r="T96" i="41"/>
  <c r="S109" i="41"/>
  <c r="T109" i="41"/>
  <c r="S99" i="41"/>
  <c r="T99" i="41"/>
  <c r="T132" i="41"/>
  <c r="S132" i="41"/>
  <c r="S78" i="41"/>
  <c r="T78" i="41"/>
  <c r="S117" i="41"/>
  <c r="T117" i="41"/>
  <c r="T90" i="41"/>
  <c r="S90" i="41"/>
  <c r="S86" i="41"/>
  <c r="T86" i="41"/>
  <c r="T104" i="41"/>
  <c r="S104" i="41"/>
  <c r="S116" i="41"/>
  <c r="T116" i="41"/>
  <c r="T122" i="41"/>
  <c r="S122" i="41"/>
  <c r="S89" i="41"/>
  <c r="T89" i="41"/>
  <c r="T88" i="41"/>
  <c r="S88" i="41"/>
  <c r="S135" i="41"/>
  <c r="T135" i="41"/>
  <c r="S71" i="41"/>
  <c r="T71" i="41"/>
  <c r="S108" i="41"/>
  <c r="T108" i="41"/>
  <c r="T97" i="41"/>
  <c r="S97" i="41"/>
  <c r="T81" i="41"/>
  <c r="S81" i="41"/>
  <c r="T77" i="41"/>
  <c r="S77" i="41"/>
  <c r="T127" i="41"/>
  <c r="S127" i="41"/>
  <c r="T123" i="41"/>
  <c r="S123" i="41"/>
  <c r="T120" i="41"/>
  <c r="S120" i="41"/>
  <c r="T85" i="41"/>
  <c r="S85" i="41"/>
  <c r="S82" i="41"/>
  <c r="T82" i="41"/>
  <c r="S107" i="41"/>
  <c r="T107" i="41"/>
  <c r="T76" i="41"/>
  <c r="S76" i="41"/>
  <c r="N2" i="11"/>
  <c r="C70" i="41"/>
  <c r="T125" i="41"/>
  <c r="S125" i="41"/>
  <c r="T115" i="41"/>
  <c r="S115" i="41"/>
  <c r="T112" i="41"/>
  <c r="S112" i="41"/>
  <c r="T102" i="41"/>
  <c r="S102" i="41"/>
  <c r="T98" i="41"/>
  <c r="S98" i="41"/>
  <c r="T80" i="41"/>
  <c r="S80" i="41"/>
  <c r="S128" i="41"/>
  <c r="T128" i="41"/>
  <c r="S119" i="41"/>
  <c r="T119" i="41"/>
  <c r="S84" i="41"/>
  <c r="T84" i="41"/>
  <c r="S94" i="41"/>
  <c r="T94" i="41"/>
  <c r="T103" i="41"/>
  <c r="S103" i="41"/>
  <c r="T100" i="41"/>
  <c r="S100" i="41"/>
  <c r="Q2" i="41"/>
  <c r="C24" i="41"/>
  <c r="N24" i="11"/>
  <c r="C7" i="41"/>
  <c r="N7" i="11"/>
  <c r="N27" i="11"/>
  <c r="C27" i="41"/>
  <c r="C4" i="41"/>
  <c r="N4" i="11"/>
  <c r="C61" i="41"/>
  <c r="N61" i="11"/>
  <c r="C38" i="41"/>
  <c r="N38" i="11"/>
  <c r="C5" i="41"/>
  <c r="N5" i="11"/>
  <c r="C43" i="41"/>
  <c r="N43" i="11"/>
  <c r="C53" i="41"/>
  <c r="N53" i="11"/>
  <c r="C33" i="41"/>
  <c r="N33" i="11"/>
  <c r="C6" i="41"/>
  <c r="N6" i="11"/>
  <c r="C56" i="41"/>
  <c r="N56" i="11"/>
  <c r="N50" i="11"/>
  <c r="C50" i="41"/>
  <c r="C45" i="41"/>
  <c r="N45" i="11"/>
  <c r="C15" i="41"/>
  <c r="N15" i="11"/>
  <c r="C19" i="41"/>
  <c r="N19" i="11"/>
  <c r="C25" i="41"/>
  <c r="N25" i="11"/>
  <c r="C11" i="41"/>
  <c r="N11" i="11"/>
  <c r="C46" i="41"/>
  <c r="N46" i="11"/>
  <c r="C42" i="41"/>
  <c r="N42" i="11"/>
  <c r="C28" i="41"/>
  <c r="N28" i="11"/>
  <c r="N41" i="11"/>
  <c r="C41" i="41"/>
  <c r="C31" i="41"/>
  <c r="N31" i="11"/>
  <c r="C64" i="41"/>
  <c r="N64" i="11"/>
  <c r="N10" i="11"/>
  <c r="C10" i="41"/>
  <c r="C49" i="41"/>
  <c r="N49" i="11"/>
  <c r="N22" i="11"/>
  <c r="C22" i="41"/>
  <c r="C18" i="41"/>
  <c r="N18" i="11"/>
  <c r="N36" i="11"/>
  <c r="C36" i="41"/>
  <c r="C48" i="41"/>
  <c r="N48" i="11"/>
  <c r="C54" i="41"/>
  <c r="N54" i="11"/>
  <c r="C21" i="41"/>
  <c r="N21" i="11"/>
  <c r="N20" i="11"/>
  <c r="C20" i="41"/>
  <c r="C67" i="41"/>
  <c r="N67" i="11"/>
  <c r="N3" i="11"/>
  <c r="C3" i="41"/>
  <c r="N40" i="11"/>
  <c r="C40" i="41"/>
  <c r="C29" i="41"/>
  <c r="N29" i="11"/>
  <c r="N13" i="11"/>
  <c r="C13" i="41"/>
  <c r="C9" i="41"/>
  <c r="N9" i="11"/>
  <c r="C59" i="41"/>
  <c r="N59" i="11"/>
  <c r="C55" i="41"/>
  <c r="N55" i="11"/>
  <c r="C52" i="41"/>
  <c r="N52" i="11"/>
  <c r="N17" i="11"/>
  <c r="C17" i="41"/>
  <c r="C14" i="41"/>
  <c r="N14" i="11"/>
  <c r="C39" i="41"/>
  <c r="N39" i="11"/>
  <c r="C8" i="41"/>
  <c r="N8" i="11"/>
  <c r="C57" i="41"/>
  <c r="N57" i="11"/>
  <c r="N47" i="11"/>
  <c r="C47" i="41"/>
  <c r="C44" i="41"/>
  <c r="N44" i="11"/>
  <c r="N34" i="11"/>
  <c r="C34" i="41"/>
  <c r="N30" i="11"/>
  <c r="C30" i="41"/>
  <c r="C12" i="41"/>
  <c r="N12" i="11"/>
  <c r="C60" i="41"/>
  <c r="N60" i="11"/>
  <c r="C51" i="41"/>
  <c r="N51" i="11"/>
  <c r="C16" i="41"/>
  <c r="N16" i="11"/>
  <c r="N26" i="11"/>
  <c r="C26" i="41"/>
  <c r="C35" i="41"/>
  <c r="N35" i="11"/>
  <c r="C32" i="41"/>
  <c r="N32" i="11"/>
  <c r="C2" i="41"/>
  <c r="T2" i="41" s="1"/>
  <c r="D49" i="36"/>
  <c r="D17" i="36"/>
  <c r="D7" i="36"/>
  <c r="D53" i="36"/>
  <c r="D8" i="36"/>
  <c r="D54" i="36"/>
  <c r="D14" i="36"/>
  <c r="D51" i="36"/>
  <c r="D11" i="36"/>
  <c r="D22" i="36"/>
  <c r="D57" i="36"/>
  <c r="D21" i="36"/>
  <c r="D46" i="36"/>
  <c r="D50" i="36"/>
  <c r="D4" i="36"/>
  <c r="D47" i="36"/>
  <c r="D55" i="36"/>
  <c r="D6" i="36"/>
  <c r="D20" i="36"/>
  <c r="D48" i="36"/>
  <c r="D52" i="36"/>
  <c r="D56" i="36"/>
  <c r="D2" i="36"/>
  <c r="T70" i="41" l="1"/>
  <c r="S70" i="41"/>
  <c r="T12" i="41"/>
  <c r="S12" i="41"/>
  <c r="T14" i="41"/>
  <c r="S14" i="41"/>
  <c r="T52" i="41"/>
  <c r="S52" i="41"/>
  <c r="T67" i="41"/>
  <c r="S67" i="41"/>
  <c r="T48" i="41"/>
  <c r="S48" i="41"/>
  <c r="T64" i="41"/>
  <c r="S64" i="41"/>
  <c r="T42" i="41"/>
  <c r="S42" i="41"/>
  <c r="T30" i="41"/>
  <c r="S30" i="41"/>
  <c r="T17" i="41"/>
  <c r="S17" i="41"/>
  <c r="T3" i="41"/>
  <c r="S3" i="41"/>
  <c r="T20" i="41"/>
  <c r="S20" i="41"/>
  <c r="T36" i="41"/>
  <c r="S36" i="41"/>
  <c r="T22" i="41"/>
  <c r="S22" i="41"/>
  <c r="T10" i="41"/>
  <c r="S10" i="41"/>
  <c r="T50" i="41"/>
  <c r="S50" i="41"/>
  <c r="T27" i="41"/>
  <c r="S27" i="41"/>
  <c r="T35" i="41"/>
  <c r="S35" i="41"/>
  <c r="T16" i="41"/>
  <c r="S16" i="41"/>
  <c r="T44" i="41"/>
  <c r="S44" i="41"/>
  <c r="T39" i="41"/>
  <c r="S39" i="41"/>
  <c r="T29" i="41"/>
  <c r="S29" i="41"/>
  <c r="T54" i="41"/>
  <c r="S54" i="41"/>
  <c r="T31" i="41"/>
  <c r="S31" i="41"/>
  <c r="T46" i="41"/>
  <c r="S46" i="41"/>
  <c r="T25" i="41"/>
  <c r="S25" i="41"/>
  <c r="T15" i="41"/>
  <c r="S15" i="41"/>
  <c r="T6" i="41"/>
  <c r="S6" i="41"/>
  <c r="T53" i="41"/>
  <c r="S53" i="41"/>
  <c r="T5" i="41"/>
  <c r="S5" i="41"/>
  <c r="T61" i="41"/>
  <c r="S61" i="41"/>
  <c r="T24" i="41"/>
  <c r="S24" i="41"/>
  <c r="T60" i="41"/>
  <c r="S60" i="41"/>
  <c r="T57" i="41"/>
  <c r="S57" i="41"/>
  <c r="T55" i="41"/>
  <c r="S55" i="41"/>
  <c r="T9" i="41"/>
  <c r="S9" i="41"/>
  <c r="T28" i="41"/>
  <c r="S28" i="41"/>
  <c r="T26" i="41"/>
  <c r="S26" i="41"/>
  <c r="T34" i="41"/>
  <c r="S34" i="41"/>
  <c r="T47" i="41"/>
  <c r="S47" i="41"/>
  <c r="T13" i="41"/>
  <c r="S13" i="41"/>
  <c r="T40" i="41"/>
  <c r="S40" i="41"/>
  <c r="T41" i="41"/>
  <c r="S41" i="41"/>
  <c r="T32" i="41"/>
  <c r="S32" i="41"/>
  <c r="T51" i="41"/>
  <c r="S51" i="41"/>
  <c r="T8" i="41"/>
  <c r="S8" i="41"/>
  <c r="T59" i="41"/>
  <c r="S59" i="41"/>
  <c r="T21" i="41"/>
  <c r="S21" i="41"/>
  <c r="T18" i="41"/>
  <c r="S18" i="41"/>
  <c r="T49" i="41"/>
  <c r="S49" i="41"/>
  <c r="T11" i="41"/>
  <c r="S11" i="41"/>
  <c r="T19" i="41"/>
  <c r="S19" i="41"/>
  <c r="T45" i="41"/>
  <c r="S45" i="41"/>
  <c r="T56" i="41"/>
  <c r="S56" i="41"/>
  <c r="T33" i="41"/>
  <c r="S33" i="41"/>
  <c r="T43" i="41"/>
  <c r="S43" i="41"/>
  <c r="T38" i="41"/>
  <c r="S38" i="41"/>
  <c r="T4" i="41"/>
  <c r="S4" i="41"/>
  <c r="T7" i="41"/>
  <c r="S7" i="41"/>
  <c r="S2" i="41"/>
  <c r="D16" i="36"/>
  <c r="D23" i="36"/>
  <c r="D10" i="36"/>
  <c r="D15" i="36"/>
  <c r="D3" i="36"/>
  <c r="D12" i="36"/>
  <c r="D13" i="36"/>
  <c r="K7" i="7"/>
  <c r="K6" i="7"/>
  <c r="K5" i="7"/>
  <c r="C2" i="7" l="1"/>
  <c r="AA2" i="7"/>
  <c r="C5" i="7"/>
  <c r="C6" i="7"/>
  <c r="C7" i="7"/>
  <c r="C3" i="7"/>
  <c r="C4" i="7"/>
  <c r="K4" i="7" l="1"/>
  <c r="K3" i="7"/>
  <c r="AE19" i="7" s="1"/>
  <c r="Q19" i="7" l="1"/>
  <c r="C8" i="7" l="1"/>
  <c r="E19" i="7" s="1"/>
</calcChain>
</file>

<file path=xl/sharedStrings.xml><?xml version="1.0" encoding="utf-8"?>
<sst xmlns="http://schemas.openxmlformats.org/spreadsheetml/2006/main" count="5032" uniqueCount="1461">
  <si>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</si>
  <si>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</si>
  <si>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</si>
  <si>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</si>
  <si>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</si>
  <si>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</si>
  <si>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</si>
  <si>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</si>
  <si>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</si>
  <si>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</si>
  <si>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</si>
  <si>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</si>
  <si>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</si>
  <si>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</si>
  <si>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</si>
  <si>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</si>
  <si>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</si>
  <si>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</si>
  <si>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</si>
  <si>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</si>
  <si>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</si>
  <si>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</si>
  <si>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</si>
  <si>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</si>
  <si>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</si>
  <si>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</si>
  <si>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</si>
  <si>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</si>
  <si>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</si>
  <si>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</si>
  <si>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</si>
  <si>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</si>
  <si>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</si>
  <si>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</si>
  <si>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</si>
  <si>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</si>
  <si>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</si>
  <si>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</si>
  <si>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</si>
  <si>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</si>
  <si>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</si>
  <si>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</si>
  <si>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</si>
  <si>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</si>
  <si>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</si>
  <si>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</si>
  <si>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</si>
  <si>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</si>
  <si>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</si>
  <si>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</si>
  <si>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</si>
  <si>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</si>
  <si>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</si>
  <si>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</si>
  <si>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</si>
  <si>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</si>
  <si>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</si>
  <si>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</si>
  <si>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</si>
  <si>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</si>
  <si>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</si>
  <si>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</si>
  <si>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</si>
  <si>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</si>
  <si>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</si>
  <si>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</si>
  <si>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</si>
  <si>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</si>
  <si>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</si>
  <si>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</si>
  <si>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</si>
  <si>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</si>
  <si>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</si>
  <si>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</si>
  <si>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</si>
  <si>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</si>
  <si>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</si>
  <si>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</si>
  <si>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</si>
  <si>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</si>
  <si>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</si>
  <si>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</si>
  <si>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</si>
  <si>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</si>
  <si>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</si>
  <si>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</si>
  <si>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</si>
  <si>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</si>
  <si>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</si>
  <si>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</si>
  <si>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</si>
  <si>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</si>
  <si>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</si>
  <si>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</si>
  <si>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</si>
  <si>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</si>
  <si>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</si>
  <si>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</si>
  <si>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</si>
  <si>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</si>
  <si>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</si>
  <si>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</si>
  <si>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</si>
  <si>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</si>
  <si>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</si>
  <si>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</si>
  <si>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</si>
  <si>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</si>
  <si>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</si>
  <si>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</si>
  <si>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</si>
  <si>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</si>
  <si>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</si>
  <si>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</si>
  <si>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</si>
  <si>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</si>
  <si>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</si>
  <si>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</si>
  <si>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</si>
  <si>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</si>
  <si>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</si>
  <si>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</si>
  <si>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</si>
  <si>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</si>
  <si>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</si>
  <si>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</si>
  <si>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</si>
  <si>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</si>
  <si>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</si>
  <si>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</si>
  <si>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</si>
  <si>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</si>
  <si>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</si>
  <si>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</si>
  <si>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</si>
  <si>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</si>
  <si>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</si>
  <si>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</si>
  <si>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</si>
  <si>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</si>
  <si>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</si>
  <si>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</si>
  <si>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</si>
  <si>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</si>
  <si>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</si>
  <si>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</si>
  <si>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</si>
  <si>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</si>
  <si>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</si>
  <si>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</si>
  <si>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</si>
  <si>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</si>
  <si>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</si>
  <si>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</si>
  <si>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</si>
  <si>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</si>
  <si>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</si>
  <si>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</si>
  <si>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</si>
  <si>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</si>
  <si>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</si>
  <si>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</si>
  <si>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</si>
  <si>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</si>
  <si>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</si>
  <si>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</si>
  <si>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</si>
  <si>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</si>
  <si>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</si>
  <si>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</si>
  <si>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</si>
  <si>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</si>
  <si>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</si>
  <si>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</si>
  <si>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</si>
  <si>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</si>
  <si>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</si>
  <si>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</si>
  <si>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</si>
  <si>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</si>
  <si>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</si>
  <si>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</si>
  <si>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</si>
  <si>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</si>
  <si>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</si>
  <si>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</si>
  <si>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</si>
  <si>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</si>
  <si>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</si>
  <si>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</si>
  <si>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</si>
  <si>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</si>
  <si>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</si>
  <si>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</si>
  <si>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</si>
  <si>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</si>
  <si>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</si>
  <si>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</si>
  <si>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</si>
  <si>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</si>
  <si>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</si>
  <si>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</si>
  <si>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</si>
  <si>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</si>
  <si>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</si>
  <si>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</si>
  <si>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</si>
  <si>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</si>
  <si>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</si>
  <si>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</si>
  <si>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</si>
  <si>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</si>
  <si>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</si>
  <si>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</si>
  <si>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</si>
  <si>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</si>
  <si>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</si>
  <si>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</si>
  <si>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</si>
  <si>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</si>
  <si>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</si>
  <si>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</si>
  <si>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</si>
  <si>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</si>
  <si>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</si>
  <si>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</si>
  <si>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</si>
  <si>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</si>
  <si>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</si>
  <si>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</si>
  <si>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</si>
  <si>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</si>
  <si>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</si>
  <si>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</si>
  <si>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</si>
  <si>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</si>
  <si>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</si>
  <si>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</si>
  <si>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</si>
  <si>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</si>
  <si>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</si>
  <si>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</si>
  <si>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</si>
  <si>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</si>
  <si>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</si>
  <si>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</si>
  <si>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</si>
  <si>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</si>
  <si>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</si>
  <si>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</si>
  <si>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</si>
  <si>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</si>
  <si>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</si>
  <si>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</si>
  <si>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</si>
  <si>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</si>
  <si>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</si>
  <si>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</si>
  <si>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</si>
  <si>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</si>
  <si>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</si>
  <si>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Enterprise Enrollment</t>
  </si>
  <si>
    <t>Account</t>
  </si>
  <si>
    <t>Environment</t>
  </si>
  <si>
    <t>ServiceAdmin</t>
  </si>
  <si>
    <t>MAG</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</si>
  <si>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</si>
  <si>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</si>
  <si>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</si>
  <si>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</si>
  <si>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</si>
  <si>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</si>
  <si>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</si>
  <si>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</si>
  <si>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</si>
  <si>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</si>
  <si>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</si>
  <si>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</si>
  <si>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</si>
  <si>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</si>
  <si>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</si>
  <si>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</si>
  <si>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</si>
  <si>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</si>
  <si>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</si>
  <si>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</si>
  <si>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</si>
  <si>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</si>
  <si>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</si>
  <si>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</si>
  <si>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</si>
  <si>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</si>
  <si>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</si>
  <si>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</si>
  <si>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</si>
  <si>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</si>
  <si>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</si>
  <si>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</si>
  <si>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</si>
  <si>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</si>
  <si>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</si>
  <si>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</si>
  <si>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</si>
  <si>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</si>
  <si>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</si>
  <si>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</si>
  <si>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</si>
  <si>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</si>
  <si>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</si>
  <si>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</si>
  <si>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</si>
  <si>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</si>
  <si>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</si>
  <si>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</si>
  <si>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</si>
  <si>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</si>
  <si>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</si>
  <si>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</si>
  <si>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</si>
  <si>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</si>
  <si>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</si>
  <si>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</si>
  <si>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</si>
  <si>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</si>
  <si>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</si>
  <si>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</si>
  <si>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</si>
  <si>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</si>
  <si>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</si>
  <si>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</si>
  <si>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</si>
  <si>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</si>
  <si>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</si>
  <si>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</si>
  <si>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</si>
  <si>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</si>
  <si>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</si>
  <si>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</si>
  <si>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</si>
  <si>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</si>
  <si>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</si>
  <si>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</si>
  <si>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</si>
  <si>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</si>
  <si>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</si>
  <si>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</si>
  <si>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</si>
  <si>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</si>
  <si>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</si>
  <si>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</si>
  <si>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</si>
  <si>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</si>
  <si>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</si>
  <si>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</si>
  <si>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</si>
  <si>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</si>
  <si>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</si>
  <si>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</si>
  <si>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</si>
  <si>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</si>
  <si>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</si>
  <si>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</si>
  <si>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</si>
  <si>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</si>
  <si>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</si>
  <si>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</si>
  <si>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</si>
  <si>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</si>
  <si>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</si>
  <si>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</si>
  <si>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</si>
  <si>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</si>
  <si>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</si>
  <si>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</si>
  <si>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</si>
  <si>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</si>
  <si>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</si>
  <si>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</si>
  <si>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</si>
  <si>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</si>
  <si>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</si>
  <si>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</si>
  <si>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</si>
  <si>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</si>
  <si>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</si>
  <si>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</si>
  <si>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</si>
  <si>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</si>
  <si>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</si>
  <si>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</si>
  <si>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</si>
  <si>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</si>
  <si>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</si>
  <si>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</si>
  <si>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</si>
  <si>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</si>
  <si>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</si>
  <si>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</si>
  <si>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</si>
  <si>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</si>
  <si>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</si>
  <si>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</si>
  <si>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</si>
  <si>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</si>
  <si>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</si>
  <si>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</si>
  <si>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</si>
  <si>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</si>
  <si>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</si>
  <si>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</si>
  <si>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</si>
  <si>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</si>
  <si>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</si>
  <si>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</si>
  <si>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</si>
  <si>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</si>
  <si>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</si>
  <si>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</si>
  <si>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</si>
  <si>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</si>
  <si>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</si>
  <si>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</si>
  <si>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</si>
  <si>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</si>
  <si>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</si>
  <si>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</si>
  <si>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</si>
  <si>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</si>
  <si>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</si>
  <si>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</si>
  <si>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</si>
  <si>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</si>
  <si>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</si>
  <si>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</si>
  <si>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</si>
  <si>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</si>
  <si>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</si>
  <si>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</si>
  <si>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</si>
  <si>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</si>
  <si>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</si>
  <si>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</si>
  <si>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</si>
  <si>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</si>
  <si>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</si>
  <si>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</si>
  <si>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</si>
  <si>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</si>
  <si>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</si>
  <si>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</si>
  <si>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</si>
  <si>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</si>
  <si>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</si>
  <si>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</si>
  <si>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</si>
  <si>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</si>
  <si>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</si>
  <si>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</si>
  <si>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</si>
  <si>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</si>
  <si>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</si>
  <si>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</si>
  <si>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</si>
  <si>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</si>
  <si>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</si>
  <si>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</si>
  <si>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</si>
  <si>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</si>
  <si>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</si>
  <si>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</si>
  <si>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</si>
  <si>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</si>
  <si>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</si>
  <si>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</si>
  <si>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</si>
  <si>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</si>
  <si>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</si>
  <si>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</si>
  <si>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</si>
  <si>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</si>
  <si>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</si>
  <si>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</si>
  <si>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</si>
  <si>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</si>
  <si>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</si>
  <si>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</si>
  <si>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</si>
  <si>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</si>
  <si>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</si>
  <si>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</si>
  <si>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</si>
  <si>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</si>
  <si>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</si>
  <si>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</si>
  <si>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</si>
  <si>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</si>
  <si>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</si>
  <si>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</si>
  <si>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</si>
  <si>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</si>
  <si>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</si>
  <si>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</si>
  <si>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</si>
  <si>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</si>
  <si>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</si>
  <si>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</si>
  <si>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</si>
  <si>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</si>
  <si>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</si>
  <si>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</si>
  <si>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</si>
  <si>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</si>
  <si>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</si>
  <si>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</si>
  <si>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</si>
  <si>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</si>
  <si>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</si>
  <si>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</si>
  <si>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</si>
  <si>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</si>
  <si>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</si>
  <si>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</si>
  <si>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</si>
  <si>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</si>
  <si>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</si>
  <si>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</si>
  <si>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</si>
  <si>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</si>
  <si>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</si>
  <si>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</si>
  <si>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</si>
  <si>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</si>
  <si>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</si>
  <si>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</si>
  <si>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</si>
  <si>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</si>
  <si>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</si>
  <si>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</si>
  <si>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</si>
  <si>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</si>
  <si>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</si>
  <si>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</si>
  <si>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</si>
  <si>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</si>
  <si>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</si>
  <si>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</si>
  <si>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</si>
  <si>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</si>
  <si>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</si>
  <si>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</si>
  <si>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</si>
  <si>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</si>
  <si>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</si>
  <si>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</si>
  <si>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</si>
  <si>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</si>
  <si>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</si>
  <si>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</si>
  <si>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</si>
  <si>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</si>
  <si>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</si>
  <si>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va</t>
  </si>
  <si>
    <t>ia</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</si>
  <si>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</si>
  <si>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</si>
  <si>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</si>
  <si>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</si>
  <si>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</si>
  <si>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</si>
  <si>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</si>
  <si>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</si>
  <si>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</si>
  <si>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</si>
  <si>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</si>
  <si>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</si>
  <si>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</si>
  <si>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</si>
  <si>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</si>
  <si>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</si>
  <si>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</si>
  <si>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</si>
  <si>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</si>
  <si>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</si>
  <si>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</si>
  <si>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</si>
  <si>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</si>
  <si>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</si>
  <si>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</si>
  <si>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</si>
  <si>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</si>
  <si>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</si>
  <si>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</si>
  <si>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</si>
  <si>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</si>
  <si>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</si>
  <si>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</si>
  <si>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</si>
  <si>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</si>
  <si>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</si>
  <si>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</si>
  <si>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</si>
  <si>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</si>
  <si>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</si>
  <si>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</si>
  <si>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</si>
  <si>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</si>
  <si>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</si>
  <si>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</si>
  <si>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</si>
  <si>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</si>
  <si>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</si>
  <si>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</si>
  <si>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</si>
  <si>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</si>
  <si>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</si>
  <si>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</si>
  <si>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</si>
  <si>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</si>
  <si>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</si>
  <si>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</si>
  <si>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</si>
  <si>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</si>
  <si>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</si>
  <si>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</si>
  <si>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Inbound</t>
  </si>
  <si>
    <t>Allow</t>
  </si>
  <si>
    <t>&lt;tenant&gt;</t>
  </si>
  <si>
    <t>Customer Data Center 1</t>
  </si>
  <si>
    <t>BDC</t>
  </si>
  <si>
    <t>Customer Data Center 2</t>
  </si>
  <si>
    <t>Primary Datacenter</t>
  </si>
  <si>
    <t>Secondary Datacenter</t>
  </si>
  <si>
    <t>DOT Local</t>
  </si>
  <si>
    <t>networkDEVDOT1</t>
  </si>
  <si>
    <t>&lt;tenant&gt;.onmicrosoft.com</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</si>
  <si>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</si>
  <si>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</si>
  <si>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</si>
  <si>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</si>
  <si>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</si>
  <si>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</si>
  <si>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</si>
  <si>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</si>
  <si>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</si>
  <si>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</si>
  <si>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</si>
  <si>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</si>
  <si>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</si>
  <si>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</si>
  <si>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</si>
  <si>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</si>
  <si>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</si>
  <si>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</si>
  <si>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</si>
  <si>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</si>
  <si>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</si>
  <si>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</si>
  <si>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</si>
  <si>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</si>
  <si>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</si>
  <si>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</si>
  <si>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</si>
  <si>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</si>
  <si>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</si>
  <si>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</si>
  <si>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</si>
  <si>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</si>
  <si>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</si>
  <si>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</si>
  <si>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</si>
  <si>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</si>
  <si>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</si>
  <si>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</si>
  <si>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</si>
  <si>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</si>
  <si>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</si>
  <si>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</si>
  <si>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</si>
  <si>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</si>
  <si>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</si>
  <si>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</si>
  <si>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</si>
  <si>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</si>
  <si>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</si>
  <si>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</si>
  <si>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</si>
  <si>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</si>
  <si>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</si>
  <si>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</si>
  <si>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</si>
  <si>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</si>
  <si>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</si>
  <si>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</si>
  <si>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</si>
  <si>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</si>
  <si>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</si>
  <si>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</si>
  <si>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</si>
  <si>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</si>
  <si>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</si>
  <si>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</si>
  <si>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</si>
  <si>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</si>
  <si>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</si>
  <si>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</si>
  <si>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</si>
  <si>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</si>
  <si>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</si>
  <si>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</si>
  <si>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</si>
  <si>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</si>
  <si>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</si>
  <si>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</si>
  <si>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</si>
  <si>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</si>
  <si>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</si>
  <si>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</si>
  <si>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</si>
  <si>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</si>
  <si>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</si>
  <si>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</si>
  <si>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</si>
  <si>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</si>
  <si>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</si>
  <si>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</si>
  <si>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</si>
  <si>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</si>
  <si>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</si>
  <si>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</si>
  <si>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</si>
  <si>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</si>
  <si>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</si>
  <si>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</si>
  <si>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</si>
  <si>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</si>
  <si>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</si>
  <si>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</si>
  <si>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</si>
  <si>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</si>
  <si>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</si>
  <si>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</si>
  <si>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</si>
  <si>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</si>
  <si>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</si>
  <si>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</si>
  <si>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</si>
  <si>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</si>
  <si>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</si>
  <si>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</si>
  <si>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</si>
  <si>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</si>
  <si>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</si>
  <si>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</si>
  <si>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</si>
  <si>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</si>
  <si>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</si>
  <si>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</si>
  <si>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</si>
  <si>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</si>
  <si>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</si>
  <si>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</si>
  <si>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</si>
  <si>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</si>
  <si>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</si>
  <si>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</si>
  <si>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</si>
  <si>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</si>
  <si>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</si>
  <si>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</si>
  <si>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</si>
  <si>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</si>
  <si>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</si>
  <si>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</si>
  <si>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</si>
  <si>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</si>
  <si>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</si>
  <si>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</si>
  <si>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</si>
  <si>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</si>
  <si>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</si>
  <si>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</si>
  <si>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</si>
  <si>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</si>
  <si>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</si>
  <si>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</si>
  <si>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</si>
  <si>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</si>
  <si>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</si>
  <si>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</si>
  <si>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</si>
  <si>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</si>
  <si>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</si>
  <si>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</si>
  <si>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</si>
  <si>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</si>
  <si>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</si>
  <si>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</si>
  <si>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</si>
  <si>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</si>
  <si>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</si>
  <si>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</si>
  <si>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</si>
  <si>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</si>
  <si>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</si>
  <si>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</si>
  <si>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</si>
  <si>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</si>
  <si>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</si>
  <si>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</si>
  <si>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</si>
  <si>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</si>
  <si>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</si>
  <si>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</si>
  <si>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</si>
  <si>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</si>
  <si>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</si>
  <si>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</si>
  <si>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</si>
  <si>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</si>
  <si>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</si>
  <si>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</si>
  <si>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</si>
  <si>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</si>
  <si>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</si>
  <si>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</si>
  <si>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</si>
  <si>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</si>
  <si>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</si>
  <si>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</si>
  <si>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</si>
  <si>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</si>
  <si>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</si>
  <si>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</si>
  <si>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</si>
  <si>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</si>
  <si>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</si>
  <si>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</si>
  <si>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</si>
  <si>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</si>
  <si>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</si>
  <si>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</si>
  <si>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</si>
  <si>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</si>
  <si>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</si>
  <si>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</si>
  <si>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</si>
  <si>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</si>
  <si>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</si>
  <si>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</si>
  <si>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</si>
  <si>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</si>
  <si>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</si>
  <si>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</si>
  <si>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</si>
  <si>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</si>
  <si>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</si>
  <si>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</si>
  <si>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</si>
  <si>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</si>
  <si>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</si>
  <si>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</si>
  <si>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</si>
  <si>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</si>
  <si>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</si>
  <si>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</si>
  <si>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</si>
  <si>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</si>
  <si>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</si>
  <si>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</si>
  <si>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</si>
  <si>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</si>
  <si>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</si>
  <si>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</si>
  <si>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</si>
  <si>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</si>
  <si>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</si>
  <si>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</si>
  <si>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</si>
  <si>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</si>
  <si>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</si>
  <si>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</si>
  <si>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</si>
  <si>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</si>
  <si>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</si>
  <si>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</si>
  <si>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</si>
  <si>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</si>
  <si>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</si>
  <si>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</si>
  <si>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</si>
  <si>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</si>
  <si>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</si>
  <si>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</si>
  <si>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</si>
  <si>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</si>
  <si>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</si>
  <si>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</si>
  <si>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</si>
  <si>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</si>
  <si>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</si>
  <si>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</si>
  <si>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</si>
  <si>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</si>
  <si>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</si>
  <si>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</si>
  <si>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</si>
  <si>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</si>
  <si>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</si>
  <si>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</si>
  <si>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</si>
  <si>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</si>
  <si>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</si>
  <si>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</si>
  <si>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</si>
  <si>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</si>
  <si>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</si>
  <si>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</si>
  <si>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</si>
  <si>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</si>
  <si>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</si>
  <si>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</si>
  <si>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</si>
  <si>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</si>
  <si>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</si>
  <si>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</si>
  <si>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</si>
  <si>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</si>
  <si>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</si>
  <si>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</si>
  <si>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</si>
  <si>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</si>
  <si>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</si>
  <si>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</si>
  <si>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MAC</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</si>
  <si>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</si>
  <si>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</si>
  <si>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</si>
  <si>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</si>
  <si>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</si>
  <si>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</si>
  <si>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</si>
  <si>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</si>
  <si>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</si>
  <si>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</si>
  <si>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</si>
  <si>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</si>
  <si>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</si>
  <si>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</si>
  <si>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</si>
  <si>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</si>
  <si>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</si>
  <si>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</si>
  <si>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</si>
  <si>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</si>
  <si>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</si>
  <si>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</si>
  <si>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</si>
  <si>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</si>
  <si>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</si>
  <si>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</si>
  <si>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</si>
  <si>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</si>
  <si>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</si>
  <si>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</si>
  <si>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</si>
  <si>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</si>
  <si>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</si>
  <si>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</si>
  <si>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</si>
  <si>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</si>
  <si>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</si>
  <si>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</si>
  <si>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</si>
  <si>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</si>
  <si>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</si>
  <si>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</si>
  <si>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</si>
  <si>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</si>
  <si>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</si>
  <si>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</si>
  <si>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</si>
  <si>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</si>
  <si>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</si>
  <si>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</si>
  <si>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</si>
  <si>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</si>
  <si>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</si>
  <si>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</si>
  <si>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</si>
  <si>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</si>
  <si>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</si>
  <si>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</si>
  <si>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PREPROD</t>
  </si>
  <si>
    <t>PROD</t>
  </si>
  <si>
    <t>SERVICES</t>
  </si>
  <si>
    <t>STORAGE</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</si>
  <si>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</si>
  <si>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</si>
  <si>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</si>
  <si>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</si>
  <si>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</si>
  <si>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</si>
  <si>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</si>
  <si>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</si>
  <si>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</si>
  <si>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</si>
  <si>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</si>
  <si>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</si>
  <si>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</si>
  <si>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</si>
  <si>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</si>
  <si>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</si>
  <si>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</si>
  <si>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</si>
  <si>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</si>
  <si>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</si>
  <si>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</si>
  <si>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</si>
  <si>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</si>
  <si>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</si>
  <si>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</si>
  <si>
    <t>snet59</t>
  </si>
  <si>
    <t>snet60</t>
  </si>
  <si>
    <t>snet71</t>
  </si>
  <si>
    <t>snet72</t>
  </si>
  <si>
    <t>snet94</t>
  </si>
  <si>
    <t>snet95</t>
  </si>
  <si>
    <t>snet96</t>
  </si>
  <si>
    <t>snet97</t>
  </si>
  <si>
    <t>snet98</t>
  </si>
  <si>
    <t>snet99</t>
  </si>
  <si>
    <t>13.72.190.48</t>
  </si>
  <si>
    <t>13.72.188.96</t>
  </si>
  <si>
    <t>13.72.54.61</t>
  </si>
  <si>
    <t>13.72.187.221</t>
  </si>
  <si>
    <t>13.72.49.181</t>
  </si>
  <si>
    <t>13.72.186.236</t>
  </si>
  <si>
    <t>13.72.187.44</t>
  </si>
  <si>
    <t>13.72.51.8</t>
  </si>
  <si>
    <t>SubnetNumber(Computed)</t>
  </si>
  <si>
    <t>nsg12</t>
  </si>
  <si>
    <t>nsg13</t>
  </si>
  <si>
    <t>nsg14</t>
  </si>
  <si>
    <t>nsg15</t>
  </si>
  <si>
    <t>nsg16</t>
  </si>
  <si>
    <t>nsg17</t>
  </si>
  <si>
    <t>nsg18</t>
  </si>
  <si>
    <t>nsg19</t>
  </si>
  <si>
    <t>nsg20</t>
  </si>
  <si>
    <t>nsg21</t>
  </si>
  <si>
    <t>nsg22</t>
  </si>
  <si>
    <t>nsg23</t>
  </si>
  <si>
    <t>nsg24</t>
  </si>
  <si>
    <t>nsg25</t>
  </si>
  <si>
    <t>nsg26</t>
  </si>
  <si>
    <t>nsg27</t>
  </si>
  <si>
    <t>nsg28</t>
  </si>
  <si>
    <t>nsg29</t>
  </si>
  <si>
    <t>nsg30</t>
  </si>
  <si>
    <t>nsg31</t>
  </si>
  <si>
    <t>nsg32</t>
  </si>
  <si>
    <t>nsg33</t>
  </si>
  <si>
    <t>nsg34</t>
  </si>
  <si>
    <t>nsg35</t>
  </si>
  <si>
    <t>nsg36</t>
  </si>
  <si>
    <t>nsg37</t>
  </si>
  <si>
    <t>nsg38</t>
  </si>
  <si>
    <t>nsg39</t>
  </si>
  <si>
    <t>nsg40</t>
  </si>
  <si>
    <t>nsg41</t>
  </si>
  <si>
    <t>nsg42</t>
  </si>
  <si>
    <t>nsg43</t>
  </si>
  <si>
    <t>nsg44</t>
  </si>
  <si>
    <t>nsg45</t>
  </si>
  <si>
    <t>nsg46</t>
  </si>
  <si>
    <t>nsg47</t>
  </si>
  <si>
    <t>nsg48</t>
  </si>
  <si>
    <t>nsg49</t>
  </si>
  <si>
    <t>nsg50</t>
  </si>
  <si>
    <t>nsg51</t>
  </si>
  <si>
    <t>nsg52</t>
  </si>
  <si>
    <t>nsg53</t>
  </si>
  <si>
    <t>nsg54</t>
  </si>
  <si>
    <t>nsg55</t>
  </si>
  <si>
    <t>nsg56</t>
  </si>
  <si>
    <t>nsg57</t>
  </si>
  <si>
    <t>nsg58</t>
  </si>
  <si>
    <t>nsg59</t>
  </si>
  <si>
    <t>nsg60</t>
  </si>
  <si>
    <t>nsg61</t>
  </si>
  <si>
    <t>nsg62</t>
  </si>
  <si>
    <t>nsg63</t>
  </si>
  <si>
    <t>nsg64</t>
  </si>
  <si>
    <t>nsg65</t>
  </si>
  <si>
    <t>nsg66</t>
  </si>
  <si>
    <t>nsg67</t>
  </si>
  <si>
    <t>nsg68</t>
  </si>
  <si>
    <t>Subscription(Computed)</t>
  </si>
  <si>
    <t>Location(Computed)</t>
  </si>
  <si>
    <t>nsgr22</t>
  </si>
  <si>
    <t>nsgr23</t>
  </si>
  <si>
    <t>nsgr24</t>
  </si>
  <si>
    <t>nsgr25</t>
  </si>
  <si>
    <t>nsgr26</t>
  </si>
  <si>
    <t>nsgr27</t>
  </si>
  <si>
    <t>nsgr28</t>
  </si>
  <si>
    <t>nsgr29</t>
  </si>
  <si>
    <t>nsgr30</t>
  </si>
  <si>
    <t>nsgr31</t>
  </si>
  <si>
    <t>nsgr32</t>
  </si>
  <si>
    <t>nsgr33</t>
  </si>
  <si>
    <t>nsgr34</t>
  </si>
  <si>
    <t>nsgr35</t>
  </si>
  <si>
    <t>nsgr36</t>
  </si>
  <si>
    <t>nsgr37</t>
  </si>
  <si>
    <t>nsgr38</t>
  </si>
  <si>
    <t>nsgr39</t>
  </si>
  <si>
    <t>nsgr40</t>
  </si>
  <si>
    <t>nsgr41</t>
  </si>
  <si>
    <t>nsgr42</t>
  </si>
  <si>
    <t>nsgr43</t>
  </si>
  <si>
    <t>nsgr44</t>
  </si>
  <si>
    <t>nsgr45</t>
  </si>
  <si>
    <t>nsgr46</t>
  </si>
  <si>
    <t>nsgr47</t>
  </si>
  <si>
    <t>nsgr48</t>
  </si>
  <si>
    <t>nsgr49</t>
  </si>
  <si>
    <t>nsgr50</t>
  </si>
  <si>
    <t>nsgr51</t>
  </si>
  <si>
    <t>nsgr52</t>
  </si>
  <si>
    <t>nsgr53</t>
  </si>
  <si>
    <t>nsgr54</t>
  </si>
  <si>
    <t>nsgr55</t>
  </si>
  <si>
    <t>nsgr56</t>
  </si>
  <si>
    <t>nsgr57</t>
  </si>
  <si>
    <t>nsgr58</t>
  </si>
  <si>
    <t>nsgr59</t>
  </si>
  <si>
    <t>nsgr60</t>
  </si>
  <si>
    <t>nsgr61</t>
  </si>
  <si>
    <t>nsgr62</t>
  </si>
  <si>
    <t>nsgr63</t>
  </si>
  <si>
    <t>nsgr64</t>
  </si>
  <si>
    <t>nsgr65</t>
  </si>
  <si>
    <t>nsgr66</t>
  </si>
  <si>
    <t>nsgr67</t>
  </si>
  <si>
    <t>nsgr68</t>
  </si>
  <si>
    <t>Application</t>
  </si>
  <si>
    <t>SourceAddress</t>
  </si>
  <si>
    <t>SourcePortRange</t>
  </si>
  <si>
    <t>DestinationAddress</t>
  </si>
  <si>
    <t>DestinationPortRange</t>
  </si>
  <si>
    <t>Protocol</t>
  </si>
  <si>
    <t>NSGGroupName(Computed)</t>
  </si>
  <si>
    <t>INTERNET</t>
  </si>
  <si>
    <t>*</t>
  </si>
  <si>
    <t>TCP</t>
  </si>
  <si>
    <t>Application(Compluted)</t>
  </si>
  <si>
    <t>SubDesc(Computed)</t>
  </si>
  <si>
    <t>SubnetName(computed)</t>
  </si>
  <si>
    <t>SiteNumber</t>
  </si>
  <si>
    <t>CJIS2</t>
  </si>
  <si>
    <t>CJIS1</t>
  </si>
  <si>
    <t>PreProd2</t>
  </si>
  <si>
    <t>PreProd1</t>
  </si>
  <si>
    <t>Prod2</t>
  </si>
  <si>
    <t>Prod1</t>
  </si>
  <si>
    <t>Services2</t>
  </si>
  <si>
    <t>Storage2</t>
  </si>
  <si>
    <t>Services1</t>
  </si>
  <si>
    <t>https://blogs.msdn.microsoft.com/igorpag/2016/05/14/azure-network-security-groups-nsg-best-practices-and-lessons-learned/</t>
  </si>
  <si>
    <t>https://azure.microsoft.com/en-us/documentation/articles/best-practices-network-security</t>
  </si>
  <si>
    <t>All_Internet</t>
  </si>
  <si>
    <t>Subscription (Computed)</t>
  </si>
  <si>
    <t>VNETSiteName (Computed)</t>
  </si>
  <si>
    <t>snet100</t>
  </si>
  <si>
    <t>snet101</t>
  </si>
  <si>
    <t>snet102</t>
  </si>
  <si>
    <t>snet103</t>
  </si>
  <si>
    <t>Storage1</t>
  </si>
  <si>
    <t>PowerShell2</t>
  </si>
  <si>
    <t>Deny</t>
  </si>
  <si>
    <t>HTTPS</t>
  </si>
  <si>
    <t>SubnetAddress(Range)</t>
  </si>
  <si>
    <t>SubnetNumber (Computed)</t>
  </si>
  <si>
    <t>Tier(Computed)</t>
  </si>
  <si>
    <t>SubnetName(Computed)</t>
  </si>
  <si>
    <t>SLG</t>
  </si>
  <si>
    <t xml:space="preserve">State and Local Government </t>
  </si>
  <si>
    <t>sub10</t>
  </si>
  <si>
    <t>sub11</t>
  </si>
  <si>
    <t>sub12</t>
  </si>
  <si>
    <t>sub13</t>
  </si>
  <si>
    <t>sub14</t>
  </si>
  <si>
    <t>sub15</t>
  </si>
  <si>
    <t>sub16</t>
  </si>
  <si>
    <t>sub17</t>
  </si>
  <si>
    <t>sub18</t>
  </si>
  <si>
    <t>Dept03</t>
  </si>
  <si>
    <t>Dept04</t>
  </si>
  <si>
    <t>A special subscription that allows for the administration of VSTS</t>
  </si>
  <si>
    <t>VSTS</t>
  </si>
  <si>
    <t>sub19</t>
  </si>
  <si>
    <t>https://msdn.microsoft.com/en-us/library/azure/jj156090.aspx?f=255&amp;MSPPError=-2147217396</t>
  </si>
  <si>
    <t>Azure MAC1</t>
  </si>
  <si>
    <t>South Central Datacenter</t>
  </si>
  <si>
    <t>Azure MAC2</t>
  </si>
  <si>
    <t>North Central Datacenter</t>
  </si>
  <si>
    <t>vnet11</t>
  </si>
  <si>
    <t>vnet12</t>
  </si>
  <si>
    <t>vnet13</t>
  </si>
  <si>
    <t>vnet14</t>
  </si>
  <si>
    <t>vnet15</t>
  </si>
  <si>
    <t>vnet16</t>
  </si>
  <si>
    <t>vnet17</t>
  </si>
  <si>
    <t>vnet18</t>
  </si>
  <si>
    <t>vnet19</t>
  </si>
  <si>
    <t>vnet20</t>
  </si>
  <si>
    <t>snet201</t>
  </si>
  <si>
    <t>snet202</t>
  </si>
  <si>
    <t>snet203</t>
  </si>
  <si>
    <t>snet204</t>
  </si>
  <si>
    <t>snet205</t>
  </si>
  <si>
    <t>snet206</t>
  </si>
  <si>
    <t>snet207</t>
  </si>
  <si>
    <t>snet208</t>
  </si>
  <si>
    <t>snet209</t>
  </si>
  <si>
    <t>snet210</t>
  </si>
  <si>
    <t>snet211</t>
  </si>
  <si>
    <t>snet212</t>
  </si>
  <si>
    <t>snet213</t>
  </si>
  <si>
    <t>snet214</t>
  </si>
  <si>
    <t>snet215</t>
  </si>
  <si>
    <t>snet216</t>
  </si>
  <si>
    <t>snet217</t>
  </si>
  <si>
    <t>snet218</t>
  </si>
  <si>
    <t>snet219</t>
  </si>
  <si>
    <t>snet220</t>
  </si>
  <si>
    <t>snet221</t>
  </si>
  <si>
    <t>snet222</t>
  </si>
  <si>
    <t>snet223</t>
  </si>
  <si>
    <t>snet224</t>
  </si>
  <si>
    <t>snet225</t>
  </si>
  <si>
    <t>snet226</t>
  </si>
  <si>
    <t>snet227</t>
  </si>
  <si>
    <t>snet228</t>
  </si>
  <si>
    <t>snet229</t>
  </si>
  <si>
    <t>snet230</t>
  </si>
  <si>
    <t>snet231</t>
  </si>
  <si>
    <t>snet232</t>
  </si>
  <si>
    <t>snet233</t>
  </si>
  <si>
    <t>snet234</t>
  </si>
  <si>
    <t>snet235</t>
  </si>
  <si>
    <t>snet236</t>
  </si>
  <si>
    <t>snet237</t>
  </si>
  <si>
    <t>snet238</t>
  </si>
  <si>
    <t>snet239</t>
  </si>
  <si>
    <t>snet240</t>
  </si>
  <si>
    <t>snet241</t>
  </si>
  <si>
    <t>snet242</t>
  </si>
  <si>
    <t>snet243</t>
  </si>
  <si>
    <t>snet244</t>
  </si>
  <si>
    <t>snet245</t>
  </si>
  <si>
    <t>snet246</t>
  </si>
  <si>
    <t>snet247</t>
  </si>
  <si>
    <t>snet248</t>
  </si>
  <si>
    <t>snet249</t>
  </si>
  <si>
    <t>snet250</t>
  </si>
  <si>
    <t>snet251</t>
  </si>
  <si>
    <t>snet252</t>
  </si>
  <si>
    <t>snet253</t>
  </si>
  <si>
    <t>snet254</t>
  </si>
  <si>
    <t>snet255</t>
  </si>
  <si>
    <t>snet256</t>
  </si>
  <si>
    <t>snet257</t>
  </si>
  <si>
    <t>snet258</t>
  </si>
  <si>
    <t>snet259</t>
  </si>
  <si>
    <t>snet260</t>
  </si>
  <si>
    <t>snet261</t>
  </si>
  <si>
    <t>snet262</t>
  </si>
  <si>
    <t>snet263</t>
  </si>
  <si>
    <t>snet264</t>
  </si>
  <si>
    <t>snet265</t>
  </si>
  <si>
    <t>snet266</t>
  </si>
  <si>
    <t>snet267</t>
  </si>
  <si>
    <t>snet268</t>
  </si>
  <si>
    <t>snet269</t>
  </si>
  <si>
    <t>snet270</t>
  </si>
  <si>
    <t>snet271</t>
  </si>
  <si>
    <t>snet272</t>
  </si>
  <si>
    <t>snet273</t>
  </si>
  <si>
    <t>snet274</t>
  </si>
  <si>
    <t>snet275</t>
  </si>
  <si>
    <t>snet276</t>
  </si>
  <si>
    <t>snet277</t>
  </si>
  <si>
    <t>snet278</t>
  </si>
  <si>
    <t>snet279</t>
  </si>
  <si>
    <t>snet280</t>
  </si>
  <si>
    <t>snet281</t>
  </si>
  <si>
    <t>snet282</t>
  </si>
  <si>
    <t>snet283</t>
  </si>
  <si>
    <t>snet284</t>
  </si>
  <si>
    <t>snet285</t>
  </si>
  <si>
    <t>snet286</t>
  </si>
  <si>
    <t>snet287</t>
  </si>
  <si>
    <t>snet288</t>
  </si>
  <si>
    <t>snet289</t>
  </si>
  <si>
    <t>snet290</t>
  </si>
  <si>
    <t>snet291</t>
  </si>
  <si>
    <t>snet292</t>
  </si>
  <si>
    <t>snet293</t>
  </si>
  <si>
    <t>snet294</t>
  </si>
  <si>
    <t>snet295</t>
  </si>
  <si>
    <t>snet296</t>
  </si>
  <si>
    <t>snet297</t>
  </si>
  <si>
    <t>snet298</t>
  </si>
  <si>
    <t>snet299</t>
  </si>
  <si>
    <t>snet300</t>
  </si>
  <si>
    <t>snet301</t>
  </si>
  <si>
    <t>snet302</t>
  </si>
  <si>
    <t>nsg101</t>
  </si>
  <si>
    <t>nsg102</t>
  </si>
  <si>
    <t>nsg103</t>
  </si>
  <si>
    <t>nsg104</t>
  </si>
  <si>
    <t>nsg105</t>
  </si>
  <si>
    <t>nsg106</t>
  </si>
  <si>
    <t>nsg107</t>
  </si>
  <si>
    <t>nsg108</t>
  </si>
  <si>
    <t>nsg109</t>
  </si>
  <si>
    <t>nsg110</t>
  </si>
  <si>
    <t>nsg111</t>
  </si>
  <si>
    <t>nsg112</t>
  </si>
  <si>
    <t>nsg113</t>
  </si>
  <si>
    <t>nsg114</t>
  </si>
  <si>
    <t>nsg115</t>
  </si>
  <si>
    <t>nsg116</t>
  </si>
  <si>
    <t>nsg117</t>
  </si>
  <si>
    <t>nsg118</t>
  </si>
  <si>
    <t>nsg119</t>
  </si>
  <si>
    <t>nsg120</t>
  </si>
  <si>
    <t>nsg121</t>
  </si>
  <si>
    <t>nsg122</t>
  </si>
  <si>
    <t>nsg123</t>
  </si>
  <si>
    <t>nsg124</t>
  </si>
  <si>
    <t>nsg125</t>
  </si>
  <si>
    <t>nsg126</t>
  </si>
  <si>
    <t>nsg127</t>
  </si>
  <si>
    <t>nsg128</t>
  </si>
  <si>
    <t>nsg129</t>
  </si>
  <si>
    <t>nsg130</t>
  </si>
  <si>
    <t>nsg131</t>
  </si>
  <si>
    <t>nsg132</t>
  </si>
  <si>
    <t>nsg133</t>
  </si>
  <si>
    <t>nsg134</t>
  </si>
  <si>
    <t>nsg135</t>
  </si>
  <si>
    <t>nsg136</t>
  </si>
  <si>
    <t>nsgr101</t>
  </si>
  <si>
    <t>nsgr102</t>
  </si>
  <si>
    <t>nsgr103</t>
  </si>
  <si>
    <t>nsgr104</t>
  </si>
  <si>
    <t>nsgr105</t>
  </si>
  <si>
    <t>nsgr106</t>
  </si>
  <si>
    <t>nsgr107</t>
  </si>
  <si>
    <t>nsgr108</t>
  </si>
  <si>
    <t>nsgr109</t>
  </si>
  <si>
    <t>nsgr110</t>
  </si>
  <si>
    <t>nsgr111</t>
  </si>
  <si>
    <t>nsgr112</t>
  </si>
  <si>
    <t>nsgr113</t>
  </si>
  <si>
    <t>nsgr114</t>
  </si>
  <si>
    <t>nsgr115</t>
  </si>
  <si>
    <t>nsgr116</t>
  </si>
  <si>
    <t>nsgr117</t>
  </si>
  <si>
    <t>nsgr118</t>
  </si>
  <si>
    <t>nsgr119</t>
  </si>
  <si>
    <t>nsgr120</t>
  </si>
  <si>
    <t>nsgr121</t>
  </si>
  <si>
    <t>nsgr122</t>
  </si>
  <si>
    <t>nsgr123</t>
  </si>
  <si>
    <t>nsgr124</t>
  </si>
  <si>
    <t>nsgr125</t>
  </si>
  <si>
    <t>nsgr126</t>
  </si>
  <si>
    <t>nsgr127</t>
  </si>
  <si>
    <t>nsgr128</t>
  </si>
  <si>
    <t>nsgr129</t>
  </si>
  <si>
    <t>nsgr130</t>
  </si>
  <si>
    <t>nsgr131</t>
  </si>
  <si>
    <t>nsgr132</t>
  </si>
  <si>
    <t>nsgr133</t>
  </si>
  <si>
    <t>nsgr134</t>
  </si>
  <si>
    <t>nsgr135</t>
  </si>
  <si>
    <t>nsgr136</t>
  </si>
  <si>
    <t>nsgr137</t>
  </si>
  <si>
    <t>nsgr138</t>
  </si>
  <si>
    <t>nsgr139</t>
  </si>
  <si>
    <t>nsgr140</t>
  </si>
  <si>
    <t>nsgr141</t>
  </si>
  <si>
    <t>nsgr142</t>
  </si>
  <si>
    <t>nsgr143</t>
  </si>
  <si>
    <t>nsgr144</t>
  </si>
  <si>
    <t>nsgr145</t>
  </si>
  <si>
    <t>nsgr146</t>
  </si>
  <si>
    <t>nsgr147</t>
  </si>
  <si>
    <t>nsgr148</t>
  </si>
  <si>
    <t>nsgr149</t>
  </si>
  <si>
    <t>nsgr150</t>
  </si>
  <si>
    <t>nsgr151</t>
  </si>
  <si>
    <t>nsgr152</t>
  </si>
  <si>
    <t>nsgr153</t>
  </si>
  <si>
    <t>nsgr154</t>
  </si>
  <si>
    <t>nsgr155</t>
  </si>
  <si>
    <t>nsgr156</t>
  </si>
  <si>
    <t>nsgr157</t>
  </si>
  <si>
    <t>nsgr158</t>
  </si>
  <si>
    <t>nsgr159</t>
  </si>
  <si>
    <t>nsgr160</t>
  </si>
  <si>
    <t>nsgr161</t>
  </si>
  <si>
    <t>nsgr162</t>
  </si>
  <si>
    <t>nsgr163</t>
  </si>
  <si>
    <t>nsgr164</t>
  </si>
  <si>
    <t>nsgr165</t>
  </si>
  <si>
    <t>nsgr166</t>
  </si>
  <si>
    <t>nsgr167</t>
  </si>
  <si>
    <t>nsgr168</t>
  </si>
  <si>
    <t>nsgr169</t>
  </si>
  <si>
    <t>nsg137</t>
  </si>
  <si>
    <t>nsg138</t>
  </si>
  <si>
    <t>nsg139</t>
  </si>
  <si>
    <t>nsg140</t>
  </si>
  <si>
    <t>nsg141</t>
  </si>
  <si>
    <t>nsg142</t>
  </si>
  <si>
    <t>nsg143</t>
  </si>
  <si>
    <t>nsg144</t>
  </si>
  <si>
    <t>nsg145</t>
  </si>
  <si>
    <t>nsg146</t>
  </si>
  <si>
    <t>nsg147</t>
  </si>
  <si>
    <t>nsg148</t>
  </si>
  <si>
    <t>nsg149</t>
  </si>
  <si>
    <t>nsg150</t>
  </si>
  <si>
    <t>nsg151</t>
  </si>
  <si>
    <t>nsg152</t>
  </si>
  <si>
    <t>nsg153</t>
  </si>
  <si>
    <t>nsg154</t>
  </si>
  <si>
    <t>nsg155</t>
  </si>
  <si>
    <t>nsg156</t>
  </si>
  <si>
    <t>nsg157</t>
  </si>
  <si>
    <t>nsg158</t>
  </si>
  <si>
    <t>nsg159</t>
  </si>
  <si>
    <t>nsg160</t>
  </si>
  <si>
    <t>nsg161</t>
  </si>
  <si>
    <t>nsg162</t>
  </si>
  <si>
    <t>nsg163</t>
  </si>
  <si>
    <t>nsg164</t>
  </si>
  <si>
    <t>nsg165</t>
  </si>
  <si>
    <t>nsg166</t>
  </si>
  <si>
    <t>nsg167</t>
  </si>
  <si>
    <t>nsg168</t>
  </si>
  <si>
    <t>snet303</t>
  </si>
  <si>
    <t xml:space="preserve">West US 2 </t>
  </si>
  <si>
    <t>West Central US</t>
  </si>
  <si>
    <t>w1</t>
  </si>
  <si>
    <t>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</si>
</sst>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7"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79">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2"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3"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2" fillId="6" borderId="0" xfId="6" applyFont="1"/>
    <xf numFmtId="0" fontId="12" fillId="0" borderId="0" xfId="0" applyFont="1"/>
    <xf numFmtId="0" fontId="12"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quotePrefix="1" applyFill="1"/>
    <xf numFmtId="0" fontId="14" fillId="0" borderId="0" xfId="0" applyNumberFormat="1" applyFont="1" applyAlignment="1" applyProtection="1">
      <alignment wrapText="1"/>
      <protection locked="0"/>
    </xf>
    <xf numFmtId="0" fontId="13" fillId="0" borderId="0" xfId="0" applyNumberFormat="1" applyFont="1" applyAlignment="1" applyProtection="1">
      <alignment wrapText="1"/>
      <protection locked="0"/>
    </xf>
    <xf numFmtId="0" fontId="15" fillId="0" borderId="0" xfId="0" applyNumberFormat="1" applyFont="1" applyProtection="1">
      <protection locked="0"/>
    </xf>
    <xf numFmtId="0" fontId="15" fillId="0" borderId="0" xfId="0" applyNumberFormat="1" applyFont="1" applyAlignment="1" applyProtection="1">
      <alignment horizontal="left"/>
      <protection locked="0"/>
    </xf>
    <xf numFmtId="0" fontId="0" fillId="0" borderId="0" xfId="0" applyAlignment="1">
      <alignment horizontal="center" wrapText="1"/>
    </xf>
    <xf numFmtId="10" fontId="16" fillId="0" borderId="0" xfId="3" applyNumberFormat="1" applyFont="1"/>
    <xf numFmtId="44" fontId="16" fillId="0" borderId="0" xfId="5" applyFont="1"/>
    <xf numFmtId="9" fontId="16"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10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font>
        <color rgb="FF9C0006"/>
      </font>
      <fill>
        <patternFill>
          <bgColor rgb="FFFFC7CE"/>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5">
      <pivotArea collapsedLevelsAreSubtotals="1" fieldPosition="0">
        <references count="2">
          <reference field="4294967294" count="1" selected="0">
            <x v="1"/>
          </reference>
          <reference field="7" count="0"/>
        </references>
      </pivotArea>
    </format>
    <format dxfId="14">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G5" totalsRowShown="0">
  <autoFilter ref="A1:G5"/>
  <tableColumns count="7">
    <tableColumn id="1" name="DeptID"/>
    <tableColumn id="2" name="Department" dataDxfId="91"/>
    <tableColumn id="3" name="Description" dataDxfId="90"/>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10.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1">
      <calculatedColumnFormula>LOWER(Table16[[#This Row],[LocationID (Computed)]]&amp;Table16[[#This Row],[Agency (Computed)]]&amp;Table16[[#This Row],[SubName (Computed)]]&amp;Table16[[#This Row],[Purpose]]&amp;Table16[[#This Row],[Instance]])</calculatedColumnFormula>
    </tableColumn>
    <tableColumn id="15" name="Length" dataDxfId="70">
      <calculatedColumnFormula>LEN(Table16[[#This Row],[Name (Computed) ]])</calculatedColumnFormula>
    </tableColumn>
    <tableColumn id="3" name="Description"/>
    <tableColumn id="5" name="SubName (Computed)" dataDxfId="69">
      <calculatedColumnFormula>VLOOKUP(Table16[[#This Row],[SubID]], Subscriptions[#All], 7, FALSE)</calculatedColumnFormula>
    </tableColumn>
    <tableColumn id="16" name="Agency (Computed)" dataDxfId="68">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7">
      <calculatedColumnFormula>VLOOKUP(Table16[[#This Row],[SiteID]], Locations[#All], 3, FALSE)</calculatedColumnFormula>
    </tableColumn>
    <tableColumn id="14" name="AzureLocationName" dataDxfId="66">
      <calculatedColumnFormula>VLOOKUP(Table16[[#This Row],[SiteID]], Locations[#All], 4, FALSE)</calculatedColumnFormula>
    </tableColumn>
    <tableColumn id="9" name="Instance"/>
    <tableColumn id="13" name="PowerShell" dataDxfId="65">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ables/table11.xml><?xml version="1.0" encoding="utf-8"?>
<table xmlns="http://schemas.openxmlformats.org/spreadsheetml/2006/main" id="1" name="Users" displayName="Users" ref="A1:AH7" totalsRowShown="0" headerRowDxfId="64">
  <autoFilter ref="A1:AH7"/>
  <tableColumns count="34">
    <tableColumn id="1" name="UserID"/>
    <tableColumn id="4" name="DeptID"/>
    <tableColumn id="13" name="username" dataDxfId="63">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2">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1">
      <calculatedColumnFormula>Users[[#This Row],[DepartmentName (Computed)]]&amp;"_"&amp;Users[[#This Row],[Title]]</calculatedColumnFormula>
    </tableColumn>
    <tableColumn id="11" name="Email" dataDxfId="60">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2.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3.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4.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5.xml><?xml version="1.0" encoding="utf-8"?>
<table xmlns="http://schemas.openxmlformats.org/spreadsheetml/2006/main" id="2" name="VMs" displayName="VMs" ref="A1:AG18" totalsRowShown="0" headerRowDxfId="58">
  <autoFilter ref="A1:AG18">
    <filterColumn colId="1">
      <filters>
        <filter val="SSO"/>
      </filters>
    </filterColumn>
  </autoFilter>
  <tableColumns count="33">
    <tableColumn id="1" name="ID"/>
    <tableColumn id="14" name="Group" dataDxfId="57"/>
    <tableColumn id="18" name="ServerName (Computed:  Site)_x000a_&quot;Sitename + function+uid+instance&quot;" dataDxfId="56">
      <calculatedColumnFormula>LOWER(VMs[[#This Row],[SiteID (Computed)]] &amp;VMs[[#This Row],[Class]]&amp; VMs[[#This Row],[Function]]&amp;VMs[[#This Row],[Service Name '#]]&amp;VMs[[#This Row],[Instance]])</calculatedColumnFormula>
    </tableColumn>
    <tableColumn id="3" name="Description" dataDxfId="55" totalsRowDxfId="54"/>
    <tableColumn id="23" name="Storage (GB)" dataDxfId="53" totalsRowDxfId="52"/>
    <tableColumn id="27" name="ImageDiskSize (GB)" dataDxfId="51" totalsRowDxfId="50"/>
    <tableColumn id="16" name="DataDiskSize (GB)" dataDxfId="49" totalsRowDxfId="48"/>
    <tableColumn id="20" name="LRS_Premium(512GB)" dataDxfId="47" totalsRowDxfId="46"/>
    <tableColumn id="19" name="Function" dataDxfId="45" totalsRowDxfId="44"/>
    <tableColumn id="6" name="RoleSize" dataDxfId="43"/>
    <tableColumn id="12" name="Hr/Mo (&lt;=744)" dataDxfId="42" totalsRowDxfId="41"/>
    <tableColumn id="9" name="Class" dataDxfId="40">
      <calculatedColumnFormula>MID(VMs[[#This Row],[Admin Name]], 4, 1)</calculatedColumnFormula>
    </tableColumn>
    <tableColumn id="7" name="Software SKU" dataDxfId="39"/>
    <tableColumn id="10" name="Secondary SKU" dataDxfId="38"/>
    <tableColumn id="29" name="SubnetID" dataDxfId="37"/>
    <tableColumn id="4" name="Physical Location" dataDxfId="36" totalsRowDxfId="35">
      <calculatedColumnFormula>VLOOKUP(VMs[[#This Row],[SubnetID]], Subnets!A14:U210, 8, FALSE)</calculatedColumnFormula>
    </tableColumn>
    <tableColumn id="21" name="SiteID (Computed)" dataDxfId="34" totalsRowDxfId="33">
      <calculatedColumnFormula>VLOOKUP(VMs[[#This Row],[SubnetID]], Subnets[],21, FALSE)</calculatedColumnFormula>
    </tableColumn>
    <tableColumn id="32" name="SubID (Computed)" dataDxfId="32"/>
    <tableColumn id="34" name="SubscriptionName (Computed)" dataDxfId="31">
      <calculatedColumnFormula>VLOOKUP(VMs[[#This Row],[SubnetID]], Subnets[],14, FALSE)</calculatedColumnFormula>
    </tableColumn>
    <tableColumn id="17" name="Subnet Number(Computed)" dataDxfId="30">
      <calculatedColumnFormula>VLOOKUP(VMs[[#This Row],[SubnetID]], Subnets[],  2, FALSE)</calculatedColumnFormula>
    </tableColumn>
    <tableColumn id="30" name="Subnet Name (Computed)" dataDxfId="29">
      <calculatedColumnFormula>VLOOKUP(VMs[[#This Row],[SubnetID]], Subnets[], 4, FALSE)</calculatedColumnFormula>
    </tableColumn>
    <tableColumn id="31" name="IP Subnet (Computed)" dataDxfId="28">
      <calculatedColumnFormula>VLOOKUP(VMs[[#This Row],[SubnetID]], Subnets[], 12, FALSE)</calculatedColumnFormula>
    </tableColumn>
    <tableColumn id="5" name="IP Address" dataDxfId="27"/>
    <tableColumn id="28" name="ReservedIP/InternalLB" dataDxfId="26"/>
    <tableColumn id="13" name="Service Model" dataDxfId="25"/>
    <tableColumn id="11" name="Phase" dataDxfId="24"/>
    <tableColumn id="15" name="ServiceName (Computed)" dataDxfId="23">
      <calculatedColumnFormula>LOWER(VMs[[#This Row],[SiteID (Computed)]] &amp;VMs[[#This Row],[Class]]&amp; VMs[[#This Row],[Function]]&amp;VMs[[#This Row],[Service Name '#]])</calculatedColumnFormula>
    </tableColumn>
    <tableColumn id="22" name="Service Name #" dataDxfId="22"/>
    <tableColumn id="8" name="Instance" dataDxfId="21" totalsRowDxfId="20"/>
    <tableColumn id="24" name="Mem (computed)" dataDxfId="19">
      <calculatedColumnFormula>VLOOKUP(VMs[[#This Row],[RoleSize]], AzureID, 5, TRUE)</calculatedColumnFormula>
    </tableColumn>
    <tableColumn id="25" name="Cores (computed)" dataDxfId="18">
      <calculatedColumnFormula>VLOOKUP(VMs[[#This Row],[RoleSize]], AzureSpecs[],6, FALSE)</calculatedColumnFormula>
    </tableColumn>
    <tableColumn id="2" name="Admin Name" dataDxfId="17"/>
    <tableColumn id="26" name="Domain Joined" dataDxfId="16"/>
  </tableColumns>
  <tableStyleInfo name="TableStyleLight2" showFirstColumn="0" showLastColumn="0" showRowStripes="1" showColumnStripes="0"/>
</table>
</file>

<file path=xl/tables/table16.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3" dataCellStyle="Percent"/>
    <tableColumn id="8" name="MACPrice" dataDxfId="12" dataCellStyle="Currency"/>
    <tableColumn id="2" name="MAGPrice" dataDxfId="11" dataCellStyle="Currency"/>
    <tableColumn id="5" name="Cores" dataDxfId="10" dataCellStyle="Comma"/>
    <tableColumn id="3" name="RAM (GB)" dataDxfId="9" dataCellStyle="Comma"/>
    <tableColumn id="10" name="Storage" dataDxfId="8" dataCellStyle="Comma"/>
    <tableColumn id="4" name="Price Difference" dataDxfId="7"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7.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8.xml><?xml version="1.0" encoding="utf-8"?>
<table xmlns="http://schemas.openxmlformats.org/spreadsheetml/2006/main" id="9" name="Table9" displayName="Table9" ref="A1:N29" totalsRowShown="0" headerRowBorderDxfId="6" headerRowCellStyle="Heading 1">
  <autoFilter ref="A1:N29"/>
  <tableColumns count="14">
    <tableColumn id="1" name="Risk ID"/>
    <tableColumn id="4" name="Title" dataDxfId="5"/>
    <tableColumn id="5" name="Description" dataDxfId="4"/>
    <tableColumn id="6" name="Mitigation Plan" dataDxfId="3"/>
    <tableColumn id="7" name="Contingency Plan" dataDxfId="2"/>
    <tableColumn id="8" name="Trigger (date or custom)" dataDxfId="1"/>
    <tableColumn id="9" name="Trigger Description" dataDxfId="0"/>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21" totalsRowShown="0" headerRowDxfId="89">
  <autoFilter ref="A1:L21">
    <filterColumn colId="2">
      <filters>
        <filter val="MAC"/>
      </filters>
    </filterColumn>
  </autoFilter>
  <tableColumns count="12">
    <tableColumn id="1" name="SubID"/>
    <tableColumn id="7" name="SubscriptionName" dataDxfId="88">
      <calculatedColumnFormula>C2&amp;"_"&amp;#REF!&amp;"_"&amp;D2&amp;"_"&amp;F2&amp;"_"&amp;Subscriptions[[#This Row],[Environment]]</calculatedColumnFormula>
    </tableColumn>
    <tableColumn id="2" name="Enterprise Enrollment"/>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Environment"/>
    <tableColumn id="8" name="Tenant (.onmicrosoft.com)"/>
    <tableColumn id="12" name="DeptID"/>
    <tableColumn id="6" name="ServiceAdmin" dataDxfId="87">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Q21" totalsRowShown="0">
  <autoFilter ref="A1:Q21"/>
  <tableColumns count="17">
    <tableColumn id="1" name="VNETID"/>
    <tableColumn id="2" name="SubID"/>
    <tableColumn id="4" name="Name">
      <calculatedColumnFormula>RIGHT(VNETS[Subscription Name (Computed)], (LEN(VNETS[[#This Row],[Subscription Name (Computed)]]) - SEARCH("_", VNETS[[#This Row],[Subscription Name (Computed)]], 9)))</calculatedColumnFormula>
    </tableColumn>
    <tableColumn id="15" name="Gateway"/>
    <tableColumn id="11" name="Address Range" dataDxfId="86">
      <calculatedColumnFormula>N2&amp;"."&amp;O2&amp;"."&amp;P2&amp;"."&amp;Q2</calculatedColumnFormula>
    </tableColumn>
    <tableColumn id="10" name="Bits"/>
    <tableColumn id="3" name="Subscription Name (Computed)" dataDxfId="85">
      <calculatedColumnFormula>LOWER(VLOOKUP(B2,Subscriptions[#All],2,FALSE))</calculatedColumnFormula>
    </tableColumn>
    <tableColumn id="13" name="Dept (Computed)" dataDxfId="84">
      <calculatedColumnFormula>VLOOKUP(VNETS[[#This Row],[SubID]], Subscriptions!A1:J21, 4, FALSE)</calculatedColumnFormula>
    </tableColumn>
    <tableColumn id="16" name="Account (Computed)" dataDxfId="83">
      <calculatedColumnFormula>VLOOKUP(VNETS[[#This Row],[SubID]], Subscriptions[#All], 6, FALSE)</calculatedColumnFormula>
    </tableColumn>
    <tableColumn id="5" name="Description"/>
    <tableColumn id="17" name="Environment"/>
    <tableColumn id="12" name="Location"/>
    <tableColumn id="14" name="Location Name (Computed)" dataDxfId="82">
      <calculatedColumnFormula>VLOOKUP(VNETS[[#This Row],[Location]], 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207" totalsRowShown="0" headerRowCellStyle="Normal" dataCellStyle="Normal">
  <autoFilter ref="A1:V207"/>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8">
      <calculatedColumnFormula>VLOOKUP(Subnets[[#This Row],[VNETID]],VNETS[#All], 9, FALSE)</calculatedColumnFormula>
    </tableColumn>
    <tableColumn id="20" name="Location (Computed)" dataDxfId="77"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NSGGroups" displayName="NSGGroups" ref="A1:N137" totalsRowShown="0">
  <autoFilter ref="A1:N137"/>
  <sortState ref="A2:N69">
    <sortCondition ref="L2:L69"/>
    <sortCondition ref="K2:K69"/>
    <sortCondition ref="C2:C69"/>
  </sortState>
  <tableColumns count="14">
    <tableColumn id="1" name="NSGID" dataCellStyle="Normal"/>
    <tableColumn id="10" name="SNetID" dataCellStyle="Normal"/>
    <tableColumn id="5" name="SubnetNumber(Computed)" dataDxfId="76">
      <calculatedColumnFormula>VLOOKUP(NSGGroups[[#This Row],[SNetID]], Subnets[#All], 2, FALSE)</calculatedColumnFormula>
    </tableColumn>
    <tableColumn id="2" name="Title" dataCellStyle="Normal">
      <calculatedColumnFormula>"NSG_"&amp;NSGGroups[[#This Row],[SubnetName(computed)]]</calculatedColumnFormula>
    </tableColumn>
    <tableColumn id="3" name="Description" dataCellStyle="Normal">
      <calculatedColumnFormula>LEFT(NSGGroups[[#This Row],[SubnetNumber(Computed)]]&amp;": "&amp; NSGGroups[[#This Row],[Application(Compluted)]]&amp;", Data Tier ("&amp;NSGGroups[[#This Row],[Tier]]&amp;") "&amp;NSGGroups[[#This Row],[SubDesc(Computed)]], 50)</calculatedColumnFormula>
    </tableColumn>
    <tableColumn id="14" name="SubnetName(computed)" dataDxfId="75" dataCellStyle="Normal">
      <calculatedColumnFormula>VLOOKUP(NSGGroups[[#This Row],[SNetID]], Subnets[], 4, FALSE)</calculatedColumnFormula>
    </tableColumn>
    <tableColumn id="7" name="Application(Compluted)" dataCellStyle="Normal">
      <calculatedColumnFormula>VLOOKUP(NSGGroups[[#This Row],[SNetID]], Subnets[#All], 9, FALSE)</calculatedColumnFormula>
    </tableColumn>
    <tableColumn id="8" name="Tier" dataCellStyle="Normal">
      <calculatedColumnFormula>VLOOKUP(NSGGroups[[#This Row],[SNetID]], Subnets[#All], 10, FALSE)</calculatedColumnFormula>
    </tableColumn>
    <tableColumn id="12" name="SubDesc(Computed)">
      <calculatedColumnFormula>VLOOKUP(NSGGroups[[#This Row],[SNetID]], Subnets[#All], 11, FALSE)</calculatedColumnFormula>
    </tableColumn>
    <tableColumn id="11" name="Location(Computed)">
      <calculatedColumnFormula>VLOOKUP(NSGGroups[[#This Row],[SNetID]], Subnets[], 8, FALSE)</calculatedColumnFormula>
    </tableColumn>
    <tableColumn id="13" name="SiteNumber"/>
    <tableColumn id="9" name="Subscription(Computed)">
      <calculatedColumnFormula>VLOOKUP(NSGGroups[[#This Row],[SNetID]], Subnets[], 5, FALSE)</calculatedColumnFormula>
    </tableColumn>
    <tableColumn id="4" name="SubnetAddress(Range)">
      <calculatedColumnFormula>VLOOKUP(NSGGroups[[#This Row],[SNetID]], Subnets[#All], 12, FALSE)&amp;VLOOKUP(NSGGroups[[#This Row],[SNetID]], Subnets[#All], 13, FALSE)</calculatedColumnFormula>
    </tableColumn>
    <tableColumn id="6" name="PowerShell" dataDxfId="74" dataCellStyle="Normal">
      <calculatedColumnFormula>"New-AzureNetworkSecurityGroup -Name '" &amp; NSGGroups[[#This Row],[Title]]&amp; "' -Location $VNETSite_"&amp;NSGGroups[[#This Row],[SiteNumber]]&amp;".location -Label '"&amp;NSGGroups[[#This Row],[Description]]&amp;"'"</calculatedColumnFormula>
    </tableColumn>
  </tableColumns>
  <tableStyleInfo name="TableStyleMedium16" showFirstColumn="0" showLastColumn="0" showRowStripes="1" showColumnStripes="0"/>
</table>
</file>

<file path=xl/tables/table9.xml><?xml version="1.0" encoding="utf-8"?>
<table xmlns="http://schemas.openxmlformats.org/spreadsheetml/2006/main" id="4" name="NSGRules" displayName="NSGRules" ref="A1:T138" totalsRowShown="0">
  <autoFilter ref="A1:T138">
    <filterColumn colId="7">
      <filters>
        <filter val="Allow"/>
      </filters>
    </filterColumn>
  </autoFilter>
  <sortState ref="A2:T77">
    <sortCondition ref="Q2:Q77"/>
    <sortCondition ref="R2:R77"/>
    <sortCondition ref="O2:O77"/>
  </sortState>
  <tableColumns count="20">
    <tableColumn id="1" name="NSGRID"/>
    <tableColumn id="2" name="NSGID"/>
    <tableColumn id="15" name="NSGGroupName(Computed)">
      <calculatedColumnFormula>VLOOKUP(NSGRules[[#This Row],[NSGID]], NSGGroups[], 4, FALSE)</calculatedColumnFormula>
    </tableColumn>
    <tableColumn id="3" name="Name">
      <calculatedColumnFormula>NSGRules[[#This Row],[Application]]&amp;"."&amp;NSGRules[[#This Row],[Type]]&amp;"."&amp;NSGRules[[#This Row],[Action]]</calculatedColumnFormula>
    </tableColumn>
    <tableColumn id="11" name="Application"/>
    <tableColumn id="4" name="Type"/>
    <tableColumn id="5" name="Priority"/>
    <tableColumn id="6" name="Action"/>
    <tableColumn id="9" name="SourceAddress"/>
    <tableColumn id="10" name="SourcePortRange"/>
    <tableColumn id="12" name="DestinationAddress"/>
    <tableColumn id="13" name="DestinationPortRange"/>
    <tableColumn id="14" name="Protocol"/>
    <tableColumn id="19" name="Tier(Computed)"/>
    <tableColumn id="18" name="SubnetNumber (Computed)"/>
    <tableColumn id="20" name="SubnetName(Computed)" dataDxfId="73">
      <calculatedColumnFormula>VLOOKUP(NSGRules[[#This Row],[NSGID]], NSGGroups[], 6, FALSE)</calculatedColumnFormula>
    </tableColumn>
    <tableColumn id="8" name="Subscription (Computed)">
      <calculatedColumnFormula>VLOOKUP(NSGRules[[#This Row],[NSGID]], NSGGroups[], 12, FALSE)</calculatedColumnFormula>
    </tableColumn>
    <tableColumn id="16" name="VNETSiteName (Computed)">
      <calculatedColumnFormula>VLOOKUP(NSGRules[[#This Row],[NSGID]], NSGGroups[], 11, FALSE)</calculatedColumnFormula>
    </tableColumn>
    <tableColumn id="7" name="PowerShell">
      <calculatedColumnFormula>"Get-AzureNetworkSecurityGroup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calculatedColumnFormula>
    </tableColumn>
    <tableColumn id="17" name="PowerShell2" dataDxfId="72">
      <calculatedColumnFormula>"Get-AzureNetworkSecurityGroup -Name '"&amp;NSGRules[[#This Row],[NSGGroupName(Computed)]]&amp;"' | Set-AzureNetworkSecurityGroupToSubnet -VirtualNetworkName $VNETName_"&amp;NSGRules[[#This Row],[VNETSiteName (Computed)]] &amp; " -SubnetName '" &amp;NSGRules[[#This Row],[SubnetName(Computed)]]&amp;"'"</calculatedColumnFormula>
    </tableColumn>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6.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6" t="s">
        <v>580</v>
      </c>
      <c r="B1" s="76"/>
      <c r="C1" s="76"/>
      <c r="D1" s="76"/>
      <c r="I1" t="s">
        <v>555</v>
      </c>
      <c r="J1" t="s">
        <v>556</v>
      </c>
      <c r="K1" t="s">
        <v>557</v>
      </c>
    </row>
    <row r="2" spans="1:11" x14ac:dyDescent="0.45">
      <c r="A2" s="40"/>
      <c r="B2" s="40" t="s">
        <v>541</v>
      </c>
      <c r="C2" s="40" t="s">
        <v>543</v>
      </c>
      <c r="D2" s="40" t="s">
        <v>544</v>
      </c>
      <c r="H2" t="s">
        <v>554</v>
      </c>
      <c r="I2">
        <f>186282.397</f>
        <v>186282.397</v>
      </c>
      <c r="J2">
        <v>400</v>
      </c>
      <c r="K2">
        <f>J2/I2*1000</f>
        <v>2.1472775014807222</v>
      </c>
    </row>
    <row r="3" spans="1:11" x14ac:dyDescent="0.45">
      <c r="A3">
        <v>0</v>
      </c>
      <c r="B3" t="s">
        <v>540</v>
      </c>
      <c r="C3" s="42" t="s">
        <v>588</v>
      </c>
      <c r="D3" s="42"/>
    </row>
    <row r="4" spans="1:11" ht="28.5" x14ac:dyDescent="0.45">
      <c r="A4">
        <v>1</v>
      </c>
      <c r="B4" t="s">
        <v>540</v>
      </c>
      <c r="C4" s="1" t="s">
        <v>542</v>
      </c>
      <c r="D4" s="41" t="s">
        <v>545</v>
      </c>
    </row>
    <row r="5" spans="1:11" ht="28.5" x14ac:dyDescent="0.45">
      <c r="A5">
        <v>2</v>
      </c>
      <c r="B5" t="s">
        <v>540</v>
      </c>
      <c r="C5" s="1" t="s">
        <v>546</v>
      </c>
      <c r="D5" s="41" t="s">
        <v>545</v>
      </c>
    </row>
    <row r="6" spans="1:11" x14ac:dyDescent="0.45">
      <c r="A6">
        <v>3</v>
      </c>
      <c r="B6" t="s">
        <v>540</v>
      </c>
      <c r="C6" t="s">
        <v>547</v>
      </c>
      <c r="D6" s="41" t="s">
        <v>545</v>
      </c>
    </row>
    <row r="7" spans="1:11" ht="57" x14ac:dyDescent="0.45">
      <c r="A7">
        <v>4</v>
      </c>
      <c r="B7" t="s">
        <v>540</v>
      </c>
      <c r="C7" s="1" t="s">
        <v>550</v>
      </c>
      <c r="D7" s="41" t="s">
        <v>551</v>
      </c>
    </row>
    <row r="8" spans="1:11" ht="42.75" x14ac:dyDescent="0.45">
      <c r="A8">
        <v>5</v>
      </c>
      <c r="B8" t="s">
        <v>552</v>
      </c>
      <c r="C8" s="1" t="s">
        <v>574</v>
      </c>
      <c r="D8" s="41" t="s">
        <v>545</v>
      </c>
    </row>
    <row r="9" spans="1:11" x14ac:dyDescent="0.45">
      <c r="A9">
        <v>6</v>
      </c>
      <c r="B9" t="s">
        <v>552</v>
      </c>
      <c r="C9" s="1" t="s">
        <v>576</v>
      </c>
      <c r="D9" s="41" t="s">
        <v>575</v>
      </c>
    </row>
    <row r="10" spans="1:11" x14ac:dyDescent="0.45">
      <c r="A10">
        <v>7</v>
      </c>
      <c r="B10" t="s">
        <v>552</v>
      </c>
      <c r="C10" s="1" t="s">
        <v>577</v>
      </c>
      <c r="D10" s="41" t="s">
        <v>575</v>
      </c>
    </row>
    <row r="11" spans="1:11" ht="28.5" x14ac:dyDescent="0.45">
      <c r="A11">
        <v>8</v>
      </c>
      <c r="B11" t="s">
        <v>552</v>
      </c>
      <c r="C11" s="1" t="s">
        <v>578</v>
      </c>
      <c r="D11" s="41" t="s">
        <v>575</v>
      </c>
    </row>
    <row r="12" spans="1:11" x14ac:dyDescent="0.45">
      <c r="A12">
        <v>9</v>
      </c>
      <c r="B12" t="s">
        <v>552</v>
      </c>
      <c r="C12" s="1" t="s">
        <v>579</v>
      </c>
      <c r="D12" s="41" t="s">
        <v>575</v>
      </c>
    </row>
    <row r="13" spans="1:11" x14ac:dyDescent="0.45">
      <c r="C13" s="72" t="s">
        <v>566</v>
      </c>
      <c r="D13" s="41"/>
    </row>
    <row r="14" spans="1:11" x14ac:dyDescent="0.45">
      <c r="C14" s="1" t="s">
        <v>1019</v>
      </c>
      <c r="D14" s="41"/>
    </row>
    <row r="15" spans="1:11" ht="28.5" x14ac:dyDescent="0.45">
      <c r="C15" s="1" t="s">
        <v>1020</v>
      </c>
      <c r="D15" s="41"/>
    </row>
    <row r="16" spans="1:11" x14ac:dyDescent="0.45">
      <c r="C16" s="1"/>
      <c r="D16" s="41"/>
    </row>
    <row r="17" spans="1:4" x14ac:dyDescent="0.45">
      <c r="C17" s="1"/>
      <c r="D17" s="41"/>
    </row>
    <row r="20" spans="1:4" x14ac:dyDescent="0.45">
      <c r="A20" s="77" t="s">
        <v>751</v>
      </c>
      <c r="B20" s="76"/>
      <c r="C20" s="76"/>
      <c r="D20" s="76"/>
    </row>
    <row r="21" spans="1:4" ht="28.5" x14ac:dyDescent="0.45">
      <c r="A21" s="63"/>
      <c r="B21" s="62"/>
      <c r="C21" s="64" t="s">
        <v>837</v>
      </c>
      <c r="D21" s="41" t="s">
        <v>746</v>
      </c>
    </row>
    <row r="22" spans="1:4" ht="71.25" x14ac:dyDescent="0.45">
      <c r="A22">
        <v>1</v>
      </c>
      <c r="B22" t="s">
        <v>742</v>
      </c>
      <c r="C22" s="1" t="s">
        <v>743</v>
      </c>
      <c r="D22" s="1" t="s">
        <v>741</v>
      </c>
    </row>
    <row r="23" spans="1:4" ht="42.75" x14ac:dyDescent="0.45">
      <c r="A23">
        <v>2</v>
      </c>
      <c r="B23" t="s">
        <v>742</v>
      </c>
      <c r="C23" s="1" t="s">
        <v>744</v>
      </c>
      <c r="D23" t="s">
        <v>745</v>
      </c>
    </row>
    <row r="24" spans="1:4" ht="42.75" x14ac:dyDescent="0.45">
      <c r="A24">
        <v>3</v>
      </c>
      <c r="B24" t="s">
        <v>742</v>
      </c>
      <c r="C24" s="1" t="s">
        <v>747</v>
      </c>
      <c r="D24" s="41" t="s">
        <v>746</v>
      </c>
    </row>
    <row r="25" spans="1:4" ht="42.75" x14ac:dyDescent="0.45">
      <c r="A25">
        <v>4</v>
      </c>
      <c r="B25" t="s">
        <v>742</v>
      </c>
      <c r="C25" s="1" t="s">
        <v>748</v>
      </c>
      <c r="D25" s="41" t="s">
        <v>746</v>
      </c>
    </row>
    <row r="26" spans="1:4" ht="42.75" x14ac:dyDescent="0.45">
      <c r="A26">
        <v>5</v>
      </c>
      <c r="B26" t="s">
        <v>742</v>
      </c>
      <c r="C26" s="1" t="s">
        <v>749</v>
      </c>
      <c r="D26" s="41" t="s">
        <v>746</v>
      </c>
    </row>
    <row r="27" spans="1:4" x14ac:dyDescent="0.45">
      <c r="A27">
        <v>6</v>
      </c>
      <c r="B27" t="s">
        <v>742</v>
      </c>
      <c r="C27" s="1" t="s">
        <v>752</v>
      </c>
      <c r="D27" t="s">
        <v>753</v>
      </c>
    </row>
    <row r="28" spans="1:4" ht="28.5" x14ac:dyDescent="0.45">
      <c r="A28">
        <v>7</v>
      </c>
      <c r="B28" t="s">
        <v>742</v>
      </c>
      <c r="C28" s="1" t="s">
        <v>750</v>
      </c>
      <c r="D28" t="s">
        <v>745</v>
      </c>
    </row>
    <row r="29" spans="1:4" x14ac:dyDescent="0.45">
      <c r="A29">
        <v>8</v>
      </c>
      <c r="B29" t="s">
        <v>742</v>
      </c>
    </row>
    <row r="30" spans="1:4" x14ac:dyDescent="0.45">
      <c r="A30">
        <v>9</v>
      </c>
      <c r="B30" t="s">
        <v>742</v>
      </c>
    </row>
    <row r="31" spans="1:4" x14ac:dyDescent="0.45">
      <c r="A31">
        <v>10</v>
      </c>
      <c r="B31" t="s">
        <v>742</v>
      </c>
    </row>
    <row r="32" spans="1:4" x14ac:dyDescent="0.45">
      <c r="B32" t="s">
        <v>742</v>
      </c>
    </row>
    <row r="34" spans="3:4" x14ac:dyDescent="0.45">
      <c r="C34" t="s">
        <v>1017</v>
      </c>
      <c r="D34" s="41" t="s">
        <v>1018</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8"/>
  <sheetViews>
    <sheetView tabSelected="1" topLeftCell="N61" workbookViewId="0">
      <selection activeCell="S79" sqref="S79"/>
    </sheetView>
  </sheetViews>
  <sheetFormatPr defaultRowHeight="14.25" x14ac:dyDescent="0.45"/>
  <cols>
    <col min="3" max="3" width="28.86328125" customWidth="1"/>
    <col min="4" max="4" width="33.46484375" customWidth="1"/>
    <col min="5" max="5" width="10.9296875" customWidth="1"/>
    <col min="9" max="9" width="18.3984375" customWidth="1"/>
    <col min="10" max="10" width="9.1328125" customWidth="1"/>
    <col min="11" max="11" width="16.46484375" customWidth="1"/>
    <col min="12" max="12" width="5.9296875" customWidth="1"/>
    <col min="13" max="13" width="7.06640625" customWidth="1"/>
    <col min="14" max="14" width="4.9296875" customWidth="1"/>
    <col min="15" max="15" width="7.19921875" customWidth="1"/>
    <col min="16" max="16" width="16.46484375" customWidth="1"/>
    <col min="17" max="17" width="8.06640625" customWidth="1"/>
    <col min="18" max="18" width="12.86328125" customWidth="1"/>
  </cols>
  <sheetData>
    <row r="1" spans="1:20" x14ac:dyDescent="0.45">
      <c r="A1" t="s">
        <v>602</v>
      </c>
      <c r="B1" t="s">
        <v>589</v>
      </c>
      <c r="C1" t="s">
        <v>1152</v>
      </c>
      <c r="D1" t="s">
        <v>63</v>
      </c>
      <c r="E1" t="s">
        <v>1146</v>
      </c>
      <c r="F1" t="s">
        <v>50</v>
      </c>
      <c r="G1" t="s">
        <v>2</v>
      </c>
      <c r="H1" t="s">
        <v>233</v>
      </c>
      <c r="I1" t="s">
        <v>1147</v>
      </c>
      <c r="J1" t="s">
        <v>1148</v>
      </c>
      <c r="K1" t="s">
        <v>1149</v>
      </c>
      <c r="L1" t="s">
        <v>1150</v>
      </c>
      <c r="M1" t="s">
        <v>1151</v>
      </c>
      <c r="N1" t="s">
        <v>1184</v>
      </c>
      <c r="O1" t="s">
        <v>1183</v>
      </c>
      <c r="P1" t="s">
        <v>1185</v>
      </c>
      <c r="Q1" t="s">
        <v>1172</v>
      </c>
      <c r="R1" t="s">
        <v>1173</v>
      </c>
      <c r="S1" t="s">
        <v>566</v>
      </c>
      <c r="T1" t="s">
        <v>1179</v>
      </c>
    </row>
    <row r="2" spans="1:20" hidden="1" x14ac:dyDescent="0.45">
      <c r="A2" t="s">
        <v>603</v>
      </c>
      <c r="B2" t="s">
        <v>590</v>
      </c>
      <c r="C2" t="str">
        <f>VLOOKUP(NSGRules[[#This Row],[NSGID]], NSGGroups[], 4, FALSE)</f>
        <v>NSG_Web_210_SLG_CJIS_va</v>
      </c>
      <c r="D2" t="str">
        <f>NSGRules[[#This Row],[Application]]&amp;"."&amp;NSGRules[[#This Row],[Type]]&amp;"."&amp;NSGRules[[#This Row],[Action]]</f>
        <v>All_Internet.Inbound.Deny</v>
      </c>
      <c r="E2" t="s">
        <v>1171</v>
      </c>
      <c r="F2" t="s">
        <v>624</v>
      </c>
      <c r="G2">
        <v>100</v>
      </c>
      <c r="H2" t="s">
        <v>1180</v>
      </c>
      <c r="I2" t="s">
        <v>1153</v>
      </c>
      <c r="J2" t="s">
        <v>1154</v>
      </c>
      <c r="K2" t="s">
        <v>1154</v>
      </c>
      <c r="L2" t="s">
        <v>1154</v>
      </c>
      <c r="M2" t="s">
        <v>1155</v>
      </c>
      <c r="N2">
        <f>VLOOKUP(NSGRules[[#This Row],[NSGID]], NSGGroups[], 8, FALSE)</f>
        <v>2</v>
      </c>
      <c r="O2">
        <f>VLOOKUP(NSGRules[[#This Row],[NSGID]], NSGGroups[], 3, FALSE)</f>
        <v>210</v>
      </c>
      <c r="P2" t="str">
        <f>VLOOKUP(NSGRules[[#This Row],[NSGID]], NSGGroups[], 6, FALSE)</f>
        <v>Web_210_SLG_CJIS_va</v>
      </c>
      <c r="Q2" t="str">
        <f>VLOOKUP(NSGRules[[#This Row],[NSGID]], NSGGroups[], 12, FALSE)</f>
        <v>CJIS</v>
      </c>
      <c r="R2" t="str">
        <f>VLOOKUP(NSGRules[[#This Row],[NSGID]], NSGGroups[], 11, FALSE)</f>
        <v>CJIS1</v>
      </c>
      <c r="S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'NSG_Web_210_SLG_CJIS_va' | Set-AzureNetworkSecurityRule -Name 'All_Internet.Inbound.Deny' -Type Inbound -Priority 100 -Action Deny -SourceAddressPrefix 'INTERNET'  -SourcePortRange '*' -DestinationAddressPrefix '*' -DestinationPortRange '*' -Protocol TCP</v>
      </c>
      <c r="T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'NSG_Web_210_SLG_CJIS_va' | Set-AzureNetworkSecurityGroupToSubnet -VirtualNetworkName $VNETName_CJIS1 -SubnetName 'Web_210_SLG_CJIS_va'</v>
      </c>
    </row>
    <row r="3" spans="1:20" hidden="1" x14ac:dyDescent="0.45">
      <c r="A3" t="s">
        <v>604</v>
      </c>
      <c r="B3" t="s">
        <v>591</v>
      </c>
      <c r="C3" t="str">
        <f>VLOOKUP(NSGRules[[#This Row],[NSGID]], NSGGroups[], 4, FALSE)</f>
        <v>NSG_App_220_SLG_CJIS_va</v>
      </c>
      <c r="D3" t="str">
        <f>NSGRules[[#This Row],[Application]]&amp;"."&amp;NSGRules[[#This Row],[Type]]&amp;"."&amp;NSGRules[[#This Row],[Action]]</f>
        <v>All_Internet.Inbound.Deny</v>
      </c>
      <c r="E3" t="s">
        <v>1171</v>
      </c>
      <c r="F3" t="s">
        <v>624</v>
      </c>
      <c r="G3">
        <v>100</v>
      </c>
      <c r="H3" t="s">
        <v>1180</v>
      </c>
      <c r="I3" t="s">
        <v>1153</v>
      </c>
      <c r="J3" t="s">
        <v>1154</v>
      </c>
      <c r="K3" t="s">
        <v>1154</v>
      </c>
      <c r="L3" t="s">
        <v>1154</v>
      </c>
      <c r="M3" t="s">
        <v>1155</v>
      </c>
      <c r="N3">
        <f>VLOOKUP(NSGRules[[#This Row],[NSGID]], NSGGroups[], 8, FALSE)</f>
        <v>1</v>
      </c>
      <c r="O3">
        <f>VLOOKUP(NSGRules[[#This Row],[NSGID]], NSGGroups[], 3, FALSE)</f>
        <v>220</v>
      </c>
      <c r="P3" t="str">
        <f>VLOOKUP(NSGRules[[#This Row],[NSGID]], NSGGroups[], 6, FALSE)</f>
        <v>App_220_SLG_CJIS_va</v>
      </c>
      <c r="Q3" t="str">
        <f>VLOOKUP(NSGRules[[#This Row],[NSGID]], NSGGroups[], 12, FALSE)</f>
        <v>CJIS</v>
      </c>
      <c r="R3" t="str">
        <f>VLOOKUP(NSGRules[[#This Row],[NSGID]], NSGGroups[], 11, FALSE)</f>
        <v>CJIS1</v>
      </c>
      <c r="S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'NSG_App_220_SLG_CJIS_va' | Set-AzureNetworkSecurityRule -Name 'All_Internet.Inbound.Deny' -Type Inbound -Priority 100 -Action Deny -SourceAddressPrefix 'INTERNET'  -SourcePortRange '*' -DestinationAddressPrefix '*' -DestinationPortRange '*' -Protocol TCP</v>
      </c>
      <c r="T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'NSG_App_220_SLG_CJIS_va' | Set-AzureNetworkSecurityGroupToSubnet -VirtualNetworkName $VNETName_CJIS1 -SubnetName 'App_220_SLG_CJIS_va'</v>
      </c>
    </row>
    <row r="4" spans="1:20" hidden="1" x14ac:dyDescent="0.45">
      <c r="A4" t="s">
        <v>605</v>
      </c>
      <c r="B4" t="s">
        <v>592</v>
      </c>
      <c r="C4" t="str">
        <f>VLOOKUP(NSGRules[[#This Row],[NSGID]], NSGGroups[], 4, FALSE)</f>
        <v>NSG_DB_230_SLG_CJIS_va</v>
      </c>
      <c r="D4" t="str">
        <f>NSGRules[[#This Row],[Application]]&amp;"."&amp;NSGRules[[#This Row],[Type]]&amp;"."&amp;NSGRules[[#This Row],[Action]]</f>
        <v>All_Internet.Inbound.Deny</v>
      </c>
      <c r="E4" t="s">
        <v>1171</v>
      </c>
      <c r="F4" t="s">
        <v>624</v>
      </c>
      <c r="G4">
        <v>100</v>
      </c>
      <c r="H4" t="s">
        <v>1180</v>
      </c>
      <c r="I4" t="s">
        <v>1153</v>
      </c>
      <c r="J4" t="s">
        <v>1154</v>
      </c>
      <c r="K4" t="s">
        <v>1154</v>
      </c>
      <c r="L4" t="s">
        <v>1154</v>
      </c>
      <c r="M4" t="s">
        <v>1155</v>
      </c>
      <c r="N4">
        <f>VLOOKUP(NSGRules[[#This Row],[NSGID]], NSGGroups[], 8, FALSE)</f>
        <v>1</v>
      </c>
      <c r="O4">
        <f>VLOOKUP(NSGRules[[#This Row],[NSGID]], NSGGroups[], 3, FALSE)</f>
        <v>230</v>
      </c>
      <c r="P4" t="str">
        <f>VLOOKUP(NSGRules[[#This Row],[NSGID]], NSGGroups[], 6, FALSE)</f>
        <v>DB_230_SLG_CJIS_va</v>
      </c>
      <c r="Q4" t="str">
        <f>VLOOKUP(NSGRules[[#This Row],[NSGID]], NSGGroups[], 12, FALSE)</f>
        <v>CJIS</v>
      </c>
      <c r="R4" t="str">
        <f>VLOOKUP(NSGRules[[#This Row],[NSGID]], NSGGroups[], 11, FALSE)</f>
        <v>CJIS1</v>
      </c>
      <c r="S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'NSG_DB_230_SLG_CJIS_va' | Set-AzureNetworkSecurityRule -Name 'All_Internet.Inbound.Deny' -Type Inbound -Priority 100 -Action Deny -SourceAddressPrefix 'INTERNET'  -SourcePortRange '*' -DestinationAddressPrefix '*' -DestinationPortRange '*' -Protocol TCP</v>
      </c>
      <c r="T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'NSG_DB_230_SLG_CJIS_va' | Set-AzureNetworkSecurityGroupToSubnet -VirtualNetworkName $VNETName_CJIS1 -SubnetName 'DB_230_SLG_CJIS_va'</v>
      </c>
    </row>
    <row r="5" spans="1:20" x14ac:dyDescent="0.45">
      <c r="A5" t="s">
        <v>606</v>
      </c>
      <c r="B5" t="s">
        <v>593</v>
      </c>
      <c r="C5" t="str">
        <f>VLOOKUP(NSGRules[[#This Row],[NSGID]], NSGGroups[], 4, FALSE)</f>
        <v>NSG_DMZ_250_SLG_CJIS_va</v>
      </c>
      <c r="D5" t="str">
        <f>NSGRules[[#This Row],[Application]]&amp;"."&amp;NSGRules[[#This Row],[Type]]&amp;"."&amp;NSGRules[[#This Row],[Action]]</f>
        <v>HTTPS.Inbound.Allow</v>
      </c>
      <c r="E5" t="s">
        <v>1181</v>
      </c>
      <c r="F5" t="s">
        <v>624</v>
      </c>
      <c r="G5">
        <v>100</v>
      </c>
      <c r="H5" t="s">
        <v>625</v>
      </c>
      <c r="I5" t="s">
        <v>1153</v>
      </c>
      <c r="J5">
        <v>443</v>
      </c>
      <c r="K5" t="str">
        <f>VLOOKUP(NSGRules[[#This Row],[NSGID]], NSGGroups[], 13, FALSE)</f>
        <v>10.130.22.0/24</v>
      </c>
      <c r="L5">
        <v>443</v>
      </c>
      <c r="M5" t="s">
        <v>1155</v>
      </c>
      <c r="N5">
        <f>VLOOKUP(NSGRules[[#This Row],[NSGID]], NSGGroups[], 8, FALSE)</f>
        <v>2</v>
      </c>
      <c r="O5">
        <f>VLOOKUP(NSGRules[[#This Row],[NSGID]], NSGGroups[], 3, FALSE)</f>
        <v>250</v>
      </c>
      <c r="P5" t="str">
        <f>VLOOKUP(NSGRules[[#This Row],[NSGID]], NSGGroups[], 6, FALSE)</f>
        <v>DMZ_250_SLG_CJIS_va</v>
      </c>
      <c r="Q5" t="str">
        <f>VLOOKUP(NSGRules[[#This Row],[NSGID]], NSGGroups[], 12, FALSE)</f>
        <v>CJIS</v>
      </c>
      <c r="R5" t="str">
        <f>VLOOKUP(NSGRules[[#This Row],[NSGID]], NSGGroups[], 11, FALSE)</f>
        <v>CJIS1</v>
      </c>
      <c r="S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'NSG_DMZ_250_SLG_CJIS_va' | Set-AzureNetworkSecurityRule -Name 'HTTPS.Inbound.Allow' -Type Inbound -Priority 100 -Action Allow -SourceAddressPrefix 'INTERNET'  -SourcePortRange '443' -DestinationAddressPrefix '10.130.22.0/24' -DestinationPortRange '443' -Protocol TCP</v>
      </c>
      <c r="T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'NSG_DMZ_250_SLG_CJIS_va' | Set-AzureNetworkSecurityGroupToSubnet -VirtualNetworkName $VNETName_CJIS1 -SubnetName 'DMZ_250_SLG_CJIS_va'</v>
      </c>
    </row>
    <row r="6" spans="1:20" hidden="1" x14ac:dyDescent="0.45">
      <c r="A6" t="s">
        <v>607</v>
      </c>
      <c r="B6" t="s">
        <v>594</v>
      </c>
      <c r="C6" t="str">
        <f>VLOOKUP(NSGRules[[#This Row],[NSGID]], NSGGroups[], 4, FALSE)</f>
        <v>NSG_User_Tier0_260_SLG_CJIS_va</v>
      </c>
      <c r="D6" t="str">
        <f>NSGRules[[#This Row],[Application]]&amp;"."&amp;NSGRules[[#This Row],[Type]]&amp;"."&amp;NSGRules[[#This Row],[Action]]</f>
        <v>All_Internet.Inbound.Deny</v>
      </c>
      <c r="E6" t="s">
        <v>1171</v>
      </c>
      <c r="F6" t="s">
        <v>624</v>
      </c>
      <c r="G6">
        <v>100</v>
      </c>
      <c r="H6" t="s">
        <v>1180</v>
      </c>
      <c r="I6" t="s">
        <v>1153</v>
      </c>
      <c r="J6" t="s">
        <v>1154</v>
      </c>
      <c r="K6" t="s">
        <v>1154</v>
      </c>
      <c r="L6" t="s">
        <v>1154</v>
      </c>
      <c r="M6" t="s">
        <v>1155</v>
      </c>
      <c r="N6">
        <f>VLOOKUP(NSGRules[[#This Row],[NSGID]], NSGGroups[], 8, FALSE)</f>
        <v>0</v>
      </c>
      <c r="O6">
        <f>VLOOKUP(NSGRules[[#This Row],[NSGID]], NSGGroups[], 3, FALSE)</f>
        <v>260</v>
      </c>
      <c r="P6" t="str">
        <f>VLOOKUP(NSGRules[[#This Row],[NSGID]], NSGGroups[], 6, FALSE)</f>
        <v>User_Tier0_260_SLG_CJIS_va</v>
      </c>
      <c r="Q6" t="str">
        <f>VLOOKUP(NSGRules[[#This Row],[NSGID]], NSGGroups[], 12, FALSE)</f>
        <v>CJIS</v>
      </c>
      <c r="R6" t="str">
        <f>VLOOKUP(NSGRules[[#This Row],[NSGID]], NSGGroups[], 11, FALSE)</f>
        <v>CJIS1</v>
      </c>
      <c r="S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'NSG_User_Tier0_260_SLG_CJIS_va' | Set-AzureNetworkSecurityRule -Name 'All_Internet.Inbound.Deny' -Type Inbound -Priority 100 -Action Deny -SourceAddressPrefix 'INTERNET'  -SourcePortRange '*' -DestinationAddressPrefix '*' -DestinationPortRange '*' -Protocol TCP</v>
      </c>
      <c r="T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'NSG_User_Tier0_260_SLG_CJIS_va' | Set-AzureNetworkSecurityGroupToSubnet -VirtualNetworkName $VNETName_CJIS1 -SubnetName 'User_Tier0_260_SLG_CJIS_va'</v>
      </c>
    </row>
    <row r="7" spans="1:20" hidden="1" x14ac:dyDescent="0.45">
      <c r="A7" t="s">
        <v>608</v>
      </c>
      <c r="B7" t="s">
        <v>595</v>
      </c>
      <c r="C7" t="str">
        <f>VLOOKUP(NSGRules[[#This Row],[NSGID]], NSGGroups[], 4, FALSE)</f>
        <v>NSG_Users_Tier1_261_SLG_CJIS_va</v>
      </c>
      <c r="D7" t="str">
        <f>NSGRules[[#This Row],[Application]]&amp;"."&amp;NSGRules[[#This Row],[Type]]&amp;"."&amp;NSGRules[[#This Row],[Action]]</f>
        <v>All_Internet.Inbound.Deny</v>
      </c>
      <c r="E7" t="s">
        <v>1171</v>
      </c>
      <c r="F7" t="s">
        <v>624</v>
      </c>
      <c r="G7">
        <v>100</v>
      </c>
      <c r="H7" t="s">
        <v>1180</v>
      </c>
      <c r="I7" t="s">
        <v>1153</v>
      </c>
      <c r="J7" t="s">
        <v>1154</v>
      </c>
      <c r="K7" t="s">
        <v>1154</v>
      </c>
      <c r="L7" t="s">
        <v>1154</v>
      </c>
      <c r="M7" t="s">
        <v>1155</v>
      </c>
      <c r="N7">
        <f>VLOOKUP(NSGRules[[#This Row],[NSGID]], NSGGroups[], 8, FALSE)</f>
        <v>1</v>
      </c>
      <c r="O7">
        <f>VLOOKUP(NSGRules[[#This Row],[NSGID]], NSGGroups[], 3, FALSE)</f>
        <v>261</v>
      </c>
      <c r="P7" t="str">
        <f>VLOOKUP(NSGRules[[#This Row],[NSGID]], NSGGroups[], 6, FALSE)</f>
        <v>Users_Tier1_261_SLG_CJIS_va</v>
      </c>
      <c r="Q7" t="str">
        <f>VLOOKUP(NSGRules[[#This Row],[NSGID]], NSGGroups[], 12, FALSE)</f>
        <v>CJIS</v>
      </c>
      <c r="R7" t="str">
        <f>VLOOKUP(NSGRules[[#This Row],[NSGID]], NSGGroups[], 11, FALSE)</f>
        <v>CJIS1</v>
      </c>
      <c r="S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'NSG_Users_Tier1_261_SLG_CJIS_va' | Set-AzureNetworkSecurityRule -Name 'All_Internet.Inbound.Deny' -Type Inbound -Priority 100 -Action Deny -SourceAddressPrefix 'INTERNET'  -SourcePortRange '*' -DestinationAddressPrefix '*' -DestinationPortRange '*' -Protocol TCP</v>
      </c>
      <c r="T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'NSG_Users_Tier1_261_SLG_CJIS_va' | Set-AzureNetworkSecurityGroupToSubnet -VirtualNetworkName $VNETName_CJIS1 -SubnetName 'Users_Tier1_261_SLG_CJIS_va'</v>
      </c>
    </row>
    <row r="8" spans="1:20" hidden="1" x14ac:dyDescent="0.45">
      <c r="A8" t="s">
        <v>609</v>
      </c>
      <c r="B8" t="s">
        <v>596</v>
      </c>
      <c r="C8" t="str">
        <f>VLOOKUP(NSGRules[[#This Row],[NSGID]], NSGGroups[], 4, FALSE)</f>
        <v>NSG_Web_210_SLG_CJIS_ia</v>
      </c>
      <c r="D8" t="str">
        <f>NSGRules[[#This Row],[Application]]&amp;"."&amp;NSGRules[[#This Row],[Type]]&amp;"."&amp;NSGRules[[#This Row],[Action]]</f>
        <v>All_Internet.Inbound.Deny</v>
      </c>
      <c r="E8" t="s">
        <v>1171</v>
      </c>
      <c r="F8" t="s">
        <v>624</v>
      </c>
      <c r="G8">
        <v>100</v>
      </c>
      <c r="H8" t="s">
        <v>1180</v>
      </c>
      <c r="I8" t="s">
        <v>1153</v>
      </c>
      <c r="J8" t="s">
        <v>1154</v>
      </c>
      <c r="K8" t="s">
        <v>1154</v>
      </c>
      <c r="L8" t="s">
        <v>1154</v>
      </c>
      <c r="M8" t="s">
        <v>1155</v>
      </c>
      <c r="N8">
        <f>VLOOKUP(NSGRules[[#This Row],[NSGID]], NSGGroups[], 8, FALSE)</f>
        <v>2</v>
      </c>
      <c r="O8">
        <f>VLOOKUP(NSGRules[[#This Row],[NSGID]], NSGGroups[], 3, FALSE)</f>
        <v>210</v>
      </c>
      <c r="P8" t="str">
        <f>VLOOKUP(NSGRules[[#This Row],[NSGID]], NSGGroups[], 6, FALSE)</f>
        <v>Web_210_SLG_CJIS_ia</v>
      </c>
      <c r="Q8" t="str">
        <f>VLOOKUP(NSGRules[[#This Row],[NSGID]], NSGGroups[], 12, FALSE)</f>
        <v>CJIS</v>
      </c>
      <c r="R8" t="str">
        <f>VLOOKUP(NSGRules[[#This Row],[NSGID]], NSGGroups[], 11, FALSE)</f>
        <v>CJIS2</v>
      </c>
      <c r="S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'NSG_Web_210_SLG_CJIS_ia' | Set-AzureNetworkSecurityRule -Name 'All_Internet.Inbound.Deny' -Type Inbound -Priority 100 -Action Deny -SourceAddressPrefix 'INTERNET'  -SourcePortRange '*' -DestinationAddressPrefix '*' -DestinationPortRange '*' -Protocol TCP</v>
      </c>
      <c r="T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'NSG_Web_210_SLG_CJIS_ia' | Set-AzureNetworkSecurityGroupToSubnet -VirtualNetworkName $VNETName_CJIS2 -SubnetName 'Web_210_SLG_CJIS_ia'</v>
      </c>
    </row>
    <row r="9" spans="1:20" hidden="1" x14ac:dyDescent="0.45">
      <c r="A9" t="s">
        <v>610</v>
      </c>
      <c r="B9" t="s">
        <v>597</v>
      </c>
      <c r="C9" t="str">
        <f>VLOOKUP(NSGRules[[#This Row],[NSGID]], NSGGroups[], 4, FALSE)</f>
        <v>NSG_App_220_SLG_CJIS_ia</v>
      </c>
      <c r="D9" t="str">
        <f>NSGRules[[#This Row],[Application]]&amp;"."&amp;NSGRules[[#This Row],[Type]]&amp;"."&amp;NSGRules[[#This Row],[Action]]</f>
        <v>All_Internet.Inbound.Deny</v>
      </c>
      <c r="E9" t="s">
        <v>1171</v>
      </c>
      <c r="F9" t="s">
        <v>624</v>
      </c>
      <c r="G9">
        <v>100</v>
      </c>
      <c r="H9" t="s">
        <v>1180</v>
      </c>
      <c r="I9" t="s">
        <v>1153</v>
      </c>
      <c r="J9" t="s">
        <v>1154</v>
      </c>
      <c r="K9" t="s">
        <v>1154</v>
      </c>
      <c r="L9" t="s">
        <v>1154</v>
      </c>
      <c r="M9" t="s">
        <v>1155</v>
      </c>
      <c r="N9">
        <f>VLOOKUP(NSGRules[[#This Row],[NSGID]], NSGGroups[], 8, FALSE)</f>
        <v>1</v>
      </c>
      <c r="O9">
        <f>VLOOKUP(NSGRules[[#This Row],[NSGID]], NSGGroups[], 3, FALSE)</f>
        <v>220</v>
      </c>
      <c r="P9" t="str">
        <f>VLOOKUP(NSGRules[[#This Row],[NSGID]], NSGGroups[], 6, FALSE)</f>
        <v>App_220_SLG_CJIS_ia</v>
      </c>
      <c r="Q9" t="str">
        <f>VLOOKUP(NSGRules[[#This Row],[NSGID]], NSGGroups[], 12, FALSE)</f>
        <v>CJIS</v>
      </c>
      <c r="R9" t="str">
        <f>VLOOKUP(NSGRules[[#This Row],[NSGID]], NSGGroups[], 11, FALSE)</f>
        <v>CJIS2</v>
      </c>
      <c r="S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'NSG_App_220_SLG_CJIS_ia' | Set-AzureNetworkSecurityRule -Name 'All_Internet.Inbound.Deny' -Type Inbound -Priority 100 -Action Deny -SourceAddressPrefix 'INTERNET'  -SourcePortRange '*' -DestinationAddressPrefix '*' -DestinationPortRange '*' -Protocol TCP</v>
      </c>
      <c r="T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'NSG_App_220_SLG_CJIS_ia' | Set-AzureNetworkSecurityGroupToSubnet -VirtualNetworkName $VNETName_CJIS2 -SubnetName 'App_220_SLG_CJIS_ia'</v>
      </c>
    </row>
    <row r="10" spans="1:20" hidden="1" x14ac:dyDescent="0.45">
      <c r="A10" t="s">
        <v>611</v>
      </c>
      <c r="B10" t="s">
        <v>598</v>
      </c>
      <c r="C10" t="str">
        <f>VLOOKUP(NSGRules[[#This Row],[NSGID]], NSGGroups[], 4, FALSE)</f>
        <v>NSG_Database_230_SLG_CJIS_ia</v>
      </c>
      <c r="D10" t="str">
        <f>NSGRules[[#This Row],[Application]]&amp;"."&amp;NSGRules[[#This Row],[Type]]&amp;"."&amp;NSGRules[[#This Row],[Action]]</f>
        <v>All_Internet.Inbound.Deny</v>
      </c>
      <c r="E10" t="s">
        <v>1171</v>
      </c>
      <c r="F10" t="s">
        <v>624</v>
      </c>
      <c r="G10">
        <v>100</v>
      </c>
      <c r="H10" t="s">
        <v>1180</v>
      </c>
      <c r="I10" t="s">
        <v>1153</v>
      </c>
      <c r="J10" t="s">
        <v>1154</v>
      </c>
      <c r="K10" t="s">
        <v>1154</v>
      </c>
      <c r="L10" t="s">
        <v>1154</v>
      </c>
      <c r="M10" t="s">
        <v>1155</v>
      </c>
      <c r="N10">
        <f>VLOOKUP(NSGRules[[#This Row],[NSGID]], NSGGroups[], 8, FALSE)</f>
        <v>1</v>
      </c>
      <c r="O10">
        <f>VLOOKUP(NSGRules[[#This Row],[NSGID]], NSGGroups[], 3, FALSE)</f>
        <v>230</v>
      </c>
      <c r="P10" t="str">
        <f>VLOOKUP(NSGRules[[#This Row],[NSGID]], NSGGroups[], 6, FALSE)</f>
        <v>Database_230_SLG_CJIS_ia</v>
      </c>
      <c r="Q10" t="str">
        <f>VLOOKUP(NSGRules[[#This Row],[NSGID]], NSGGroups[], 12, FALSE)</f>
        <v>CJIS</v>
      </c>
      <c r="R10" t="str">
        <f>VLOOKUP(NSGRules[[#This Row],[NSGID]], NSGGroups[], 11, FALSE)</f>
        <v>CJIS2</v>
      </c>
      <c r="S1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'NSG_Database_230_SLG_CJIS_ia' | Set-AzureNetworkSecurityRule -Name 'All_Internet.Inbound.Deny' -Type Inbound -Priority 100 -Action Deny -SourceAddressPrefix 'INTERNET'  -SourcePortRange '*' -DestinationAddressPrefix '*' -DestinationPortRange '*' -Protocol TCP</v>
      </c>
      <c r="T1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'NSG_Database_230_SLG_CJIS_ia' | Set-AzureNetworkSecurityGroupToSubnet -VirtualNetworkName $VNETName_CJIS2 -SubnetName 'Database_230_SLG_CJIS_ia'</v>
      </c>
    </row>
    <row r="11" spans="1:20" x14ac:dyDescent="0.45">
      <c r="A11" t="s">
        <v>612</v>
      </c>
      <c r="B11" t="s">
        <v>599</v>
      </c>
      <c r="C11" t="str">
        <f>VLOOKUP(NSGRules[[#This Row],[NSGID]], NSGGroups[], 4, FALSE)</f>
        <v>NSG_DMZ_250_SLG_CJIS_ia</v>
      </c>
      <c r="D11" t="str">
        <f>NSGRules[[#This Row],[Application]]&amp;"."&amp;NSGRules[[#This Row],[Type]]&amp;"."&amp;NSGRules[[#This Row],[Action]]</f>
        <v>All_Internet.Inbound.Allow</v>
      </c>
      <c r="E11" t="s">
        <v>1171</v>
      </c>
      <c r="F11" t="s">
        <v>624</v>
      </c>
      <c r="G11">
        <v>100</v>
      </c>
      <c r="H11" t="s">
        <v>625</v>
      </c>
      <c r="I11" t="s">
        <v>1153</v>
      </c>
      <c r="J11">
        <v>443</v>
      </c>
      <c r="K11" t="str">
        <f>VLOOKUP(NSGRules[[#This Row],[NSGID]], NSGGroups[], 13, FALSE)</f>
        <v>10.130.86.0/24</v>
      </c>
      <c r="L11">
        <v>443</v>
      </c>
      <c r="M11" t="s">
        <v>1155</v>
      </c>
      <c r="N11">
        <f>VLOOKUP(NSGRules[[#This Row],[NSGID]], NSGGroups[], 8, FALSE)</f>
        <v>2</v>
      </c>
      <c r="O11">
        <f>VLOOKUP(NSGRules[[#This Row],[NSGID]], NSGGroups[], 3, FALSE)</f>
        <v>250</v>
      </c>
      <c r="P11" t="str">
        <f>VLOOKUP(NSGRules[[#This Row],[NSGID]], NSGGroups[], 6, FALSE)</f>
        <v>DMZ_250_SLG_CJIS_ia</v>
      </c>
      <c r="Q11" t="str">
        <f>VLOOKUP(NSGRules[[#This Row],[NSGID]], NSGGroups[], 12, FALSE)</f>
        <v>CJIS</v>
      </c>
      <c r="R11" t="str">
        <f>VLOOKUP(NSGRules[[#This Row],[NSGID]], NSGGroups[], 11, FALSE)</f>
        <v>CJIS2</v>
      </c>
      <c r="S1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'NSG_DMZ_250_SLG_CJIS_ia' | Set-AzureNetworkSecurityRule -Name 'All_Internet.Inbound.Allow' -Type Inbound -Priority 100 -Action Allow -SourceAddressPrefix 'INTERNET'  -SourcePortRange '443' -DestinationAddressPrefix '10.130.86.0/24' -DestinationPortRange '443' -Protocol TCP</v>
      </c>
      <c r="T1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'NSG_DMZ_250_SLG_CJIS_ia' | Set-AzureNetworkSecurityGroupToSubnet -VirtualNetworkName $VNETName_CJIS2 -SubnetName 'DMZ_250_SLG_CJIS_ia'</v>
      </c>
    </row>
    <row r="12" spans="1:20" hidden="1" x14ac:dyDescent="0.45">
      <c r="A12" t="s">
        <v>613</v>
      </c>
      <c r="B12" t="s">
        <v>600</v>
      </c>
      <c r="C12" t="str">
        <f>VLOOKUP(NSGRules[[#This Row],[NSGID]], NSGGroups[], 4, FALSE)</f>
        <v>NSG_User_Tier0_260_SLG_CJIS_ia</v>
      </c>
      <c r="D12" t="str">
        <f>NSGRules[[#This Row],[Application]]&amp;"."&amp;NSGRules[[#This Row],[Type]]&amp;"."&amp;NSGRules[[#This Row],[Action]]</f>
        <v>All_Internet.Inbound.Deny</v>
      </c>
      <c r="E12" t="s">
        <v>1171</v>
      </c>
      <c r="F12" t="s">
        <v>624</v>
      </c>
      <c r="G12">
        <v>100</v>
      </c>
      <c r="H12" t="s">
        <v>1180</v>
      </c>
      <c r="I12" t="s">
        <v>1153</v>
      </c>
      <c r="J12" t="s">
        <v>1154</v>
      </c>
      <c r="K12" t="s">
        <v>1154</v>
      </c>
      <c r="L12" t="s">
        <v>1154</v>
      </c>
      <c r="M12" t="s">
        <v>1155</v>
      </c>
      <c r="N12">
        <f>VLOOKUP(NSGRules[[#This Row],[NSGID]], NSGGroups[], 8, FALSE)</f>
        <v>0</v>
      </c>
      <c r="O12">
        <f>VLOOKUP(NSGRules[[#This Row],[NSGID]], NSGGroups[], 3, FALSE)</f>
        <v>260</v>
      </c>
      <c r="P12" t="str">
        <f>VLOOKUP(NSGRules[[#This Row],[NSGID]], NSGGroups[], 6, FALSE)</f>
        <v>User_Tier0_260_SLG_CJIS_ia</v>
      </c>
      <c r="Q12" t="str">
        <f>VLOOKUP(NSGRules[[#This Row],[NSGID]], NSGGroups[], 12, FALSE)</f>
        <v>CJIS</v>
      </c>
      <c r="R12" t="str">
        <f>VLOOKUP(NSGRules[[#This Row],[NSGID]], NSGGroups[], 11, FALSE)</f>
        <v>CJIS2</v>
      </c>
      <c r="S1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'NSG_User_Tier0_260_SLG_CJIS_ia' | Set-AzureNetworkSecurityRule -Name 'All_Internet.Inbound.Deny' -Type Inbound -Priority 100 -Action Deny -SourceAddressPrefix 'INTERNET'  -SourcePortRange '*' -DestinationAddressPrefix '*' -DestinationPortRange '*' -Protocol TCP</v>
      </c>
      <c r="T1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'NSG_User_Tier0_260_SLG_CJIS_ia' | Set-AzureNetworkSecurityGroupToSubnet -VirtualNetworkName $VNETName_CJIS2 -SubnetName 'User_Tier0_260_SLG_CJIS_ia'</v>
      </c>
    </row>
    <row r="13" spans="1:20" hidden="1" x14ac:dyDescent="0.45">
      <c r="A13" t="s">
        <v>614</v>
      </c>
      <c r="B13" t="s">
        <v>1040</v>
      </c>
      <c r="C13" t="str">
        <f>VLOOKUP(NSGRules[[#This Row],[NSGID]], NSGGroups[], 4, FALSE)</f>
        <v>NSG_User_Tier1_261_SLG_CJIS_ia</v>
      </c>
      <c r="D13" t="str">
        <f>NSGRules[[#This Row],[Application]]&amp;"."&amp;NSGRules[[#This Row],[Type]]&amp;"."&amp;NSGRules[[#This Row],[Action]]</f>
        <v>All_Internet.Inbound.Deny</v>
      </c>
      <c r="E13" t="s">
        <v>1171</v>
      </c>
      <c r="F13" t="s">
        <v>624</v>
      </c>
      <c r="G13">
        <v>100</v>
      </c>
      <c r="H13" t="s">
        <v>1180</v>
      </c>
      <c r="I13" t="s">
        <v>1153</v>
      </c>
      <c r="J13" t="s">
        <v>1154</v>
      </c>
      <c r="K13" t="s">
        <v>1154</v>
      </c>
      <c r="L13" t="s">
        <v>1154</v>
      </c>
      <c r="M13" t="s">
        <v>1155</v>
      </c>
      <c r="N13">
        <f>VLOOKUP(NSGRules[[#This Row],[NSGID]], NSGGroups[], 8, FALSE)</f>
        <v>1</v>
      </c>
      <c r="O13">
        <f>VLOOKUP(NSGRules[[#This Row],[NSGID]], NSGGroups[], 3, FALSE)</f>
        <v>261</v>
      </c>
      <c r="P13" t="str">
        <f>VLOOKUP(NSGRules[[#This Row],[NSGID]], NSGGroups[], 6, FALSE)</f>
        <v>User_Tier1_261_SLG_CJIS_ia</v>
      </c>
      <c r="Q13" t="str">
        <f>VLOOKUP(NSGRules[[#This Row],[NSGID]], NSGGroups[], 12, FALSE)</f>
        <v>CJIS</v>
      </c>
      <c r="R13" t="str">
        <f>VLOOKUP(NSGRules[[#This Row],[NSGID]], NSGGroups[], 11, FALSE)</f>
        <v>CJIS2</v>
      </c>
      <c r="S1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'NSG_User_Tier1_261_SLG_CJIS_ia' | Set-AzureNetworkSecurityRule -Name 'All_Internet.Inbound.Deny' -Type Inbound -Priority 100 -Action Deny -SourceAddressPrefix 'INTERNET'  -SourcePortRange '*' -DestinationAddressPrefix '*' -DestinationPortRange '*' -Protocol TCP</v>
      </c>
      <c r="T1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'NSG_User_Tier1_261_SLG_CJIS_ia' | Set-AzureNetworkSecurityGroupToSubnet -VirtualNetworkName $VNETName_CJIS2 -SubnetName 'User_Tier1_261_SLG_CJIS_ia'</v>
      </c>
    </row>
    <row r="14" spans="1:20" hidden="1" x14ac:dyDescent="0.45">
      <c r="A14" t="s">
        <v>615</v>
      </c>
      <c r="B14" t="s">
        <v>1041</v>
      </c>
      <c r="C14" t="str">
        <f>VLOOKUP(NSGRules[[#This Row],[NSGID]], NSGGroups[], 4, FALSE)</f>
        <v>NSG_Web_310_SLG_Test_va</v>
      </c>
      <c r="D14" t="str">
        <f>NSGRules[[#This Row],[Application]]&amp;"."&amp;NSGRules[[#This Row],[Type]]&amp;"."&amp;NSGRules[[#This Row],[Action]]</f>
        <v>All_Internet.Inbound.Deny</v>
      </c>
      <c r="E14" t="s">
        <v>1171</v>
      </c>
      <c r="F14" t="s">
        <v>624</v>
      </c>
      <c r="G14">
        <v>100</v>
      </c>
      <c r="H14" t="s">
        <v>1180</v>
      </c>
      <c r="I14" t="s">
        <v>1153</v>
      </c>
      <c r="J14" t="s">
        <v>1154</v>
      </c>
      <c r="K14" t="s">
        <v>1154</v>
      </c>
      <c r="L14" t="s">
        <v>1154</v>
      </c>
      <c r="M14" t="s">
        <v>1155</v>
      </c>
      <c r="N14">
        <f>VLOOKUP(NSGRules[[#This Row],[NSGID]], NSGGroups[], 8, FALSE)</f>
        <v>2</v>
      </c>
      <c r="O14">
        <f>VLOOKUP(NSGRules[[#This Row],[NSGID]], NSGGroups[], 3, FALSE)</f>
        <v>310</v>
      </c>
      <c r="P14" t="str">
        <f>VLOOKUP(NSGRules[[#This Row],[NSGID]], NSGGroups[], 6, FALSE)</f>
        <v>Web_310_SLG_Test_va</v>
      </c>
      <c r="Q14" t="str">
        <f>VLOOKUP(NSGRules[[#This Row],[NSGID]], NSGGroups[], 12, FALSE)</f>
        <v>Test</v>
      </c>
      <c r="R14" t="str">
        <f>VLOOKUP(NSGRules[[#This Row],[NSGID]], NSGGroups[], 11, FALSE)</f>
        <v>PreProd1</v>
      </c>
      <c r="S1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'NSG_Web_310_SLG_Test_va' | Set-AzureNetworkSecurityRule -Name 'All_Internet.Inbound.Deny' -Type Inbound -Priority 100 -Action Deny -SourceAddressPrefix 'INTERNET'  -SourcePortRange '*' -DestinationAddressPrefix '*' -DestinationPortRange '*' -Protocol TCP</v>
      </c>
      <c r="T1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'NSG_Web_310_SLG_Test_va' | Set-AzureNetworkSecurityGroupToSubnet -VirtualNetworkName $VNETName_PreProd1 -SubnetName 'Web_310_SLG_Test_va'</v>
      </c>
    </row>
    <row r="15" spans="1:20" hidden="1" x14ac:dyDescent="0.45">
      <c r="A15" t="s">
        <v>616</v>
      </c>
      <c r="B15" t="s">
        <v>1042</v>
      </c>
      <c r="C15" t="str">
        <f>VLOOKUP(NSGRules[[#This Row],[NSGID]], NSGGroups[], 4, FALSE)</f>
        <v>NSG_App_320_SLG_Test_va</v>
      </c>
      <c r="D15" t="str">
        <f>NSGRules[[#This Row],[Application]]&amp;"."&amp;NSGRules[[#This Row],[Type]]&amp;"."&amp;NSGRules[[#This Row],[Action]]</f>
        <v>All_Internet.Inbound.Deny</v>
      </c>
      <c r="E15" t="s">
        <v>1171</v>
      </c>
      <c r="F15" t="s">
        <v>624</v>
      </c>
      <c r="G15">
        <v>100</v>
      </c>
      <c r="H15" t="s">
        <v>1180</v>
      </c>
      <c r="I15" t="s">
        <v>1153</v>
      </c>
      <c r="J15" t="s">
        <v>1154</v>
      </c>
      <c r="K15" t="s">
        <v>1154</v>
      </c>
      <c r="L15" t="s">
        <v>1154</v>
      </c>
      <c r="M15" t="s">
        <v>1155</v>
      </c>
      <c r="N15">
        <f>VLOOKUP(NSGRules[[#This Row],[NSGID]], NSGGroups[], 8, FALSE)</f>
        <v>1</v>
      </c>
      <c r="O15">
        <f>VLOOKUP(NSGRules[[#This Row],[NSGID]], NSGGroups[], 3, FALSE)</f>
        <v>320</v>
      </c>
      <c r="P15" t="str">
        <f>VLOOKUP(NSGRules[[#This Row],[NSGID]], NSGGroups[], 6, FALSE)</f>
        <v>App_320_SLG_Test_va</v>
      </c>
      <c r="Q15" t="str">
        <f>VLOOKUP(NSGRules[[#This Row],[NSGID]], NSGGroups[], 12, FALSE)</f>
        <v>Test</v>
      </c>
      <c r="R15" t="str">
        <f>VLOOKUP(NSGRules[[#This Row],[NSGID]], NSGGroups[], 11, FALSE)</f>
        <v>PreProd1</v>
      </c>
      <c r="S1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'NSG_App_320_SLG_Test_va' | Set-AzureNetworkSecurityRule -Name 'All_Internet.Inbound.Deny' -Type Inbound -Priority 100 -Action Deny -SourceAddressPrefix 'INTERNET'  -SourcePortRange '*' -DestinationAddressPrefix '*' -DestinationPortRange '*' -Protocol TCP</v>
      </c>
      <c r="T1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'NSG_App_320_SLG_Test_va' | Set-AzureNetworkSecurityGroupToSubnet -VirtualNetworkName $VNETName_PreProd1 -SubnetName 'App_320_SLG_Test_va'</v>
      </c>
    </row>
    <row r="16" spans="1:20" hidden="1" x14ac:dyDescent="0.45">
      <c r="A16" t="s">
        <v>617</v>
      </c>
      <c r="B16" t="s">
        <v>1043</v>
      </c>
      <c r="C16" t="str">
        <f>VLOOKUP(NSGRules[[#This Row],[NSGID]], NSGGroups[], 4, FALSE)</f>
        <v>NSG_Database_330_SLG_Test_va</v>
      </c>
      <c r="D16" t="str">
        <f>NSGRules[[#This Row],[Application]]&amp;"."&amp;NSGRules[[#This Row],[Type]]&amp;"."&amp;NSGRules[[#This Row],[Action]]</f>
        <v>All_Internet.Inbound.Deny</v>
      </c>
      <c r="E16" t="s">
        <v>1171</v>
      </c>
      <c r="F16" t="s">
        <v>624</v>
      </c>
      <c r="G16">
        <v>100</v>
      </c>
      <c r="H16" t="s">
        <v>1180</v>
      </c>
      <c r="I16" t="s">
        <v>1153</v>
      </c>
      <c r="J16" t="s">
        <v>1154</v>
      </c>
      <c r="K16" t="s">
        <v>1154</v>
      </c>
      <c r="L16" t="s">
        <v>1154</v>
      </c>
      <c r="M16" t="s">
        <v>1155</v>
      </c>
      <c r="N16">
        <f>VLOOKUP(NSGRules[[#This Row],[NSGID]], NSGGroups[], 8, FALSE)</f>
        <v>1</v>
      </c>
      <c r="O16">
        <f>VLOOKUP(NSGRules[[#This Row],[NSGID]], NSGGroups[], 3, FALSE)</f>
        <v>330</v>
      </c>
      <c r="P16" t="str">
        <f>VLOOKUP(NSGRules[[#This Row],[NSGID]], NSGGroups[], 6, FALSE)</f>
        <v>Database_330_SLG_Test_va</v>
      </c>
      <c r="Q16" t="str">
        <f>VLOOKUP(NSGRules[[#This Row],[NSGID]], NSGGroups[], 12, FALSE)</f>
        <v>Test</v>
      </c>
      <c r="R16" t="str">
        <f>VLOOKUP(NSGRules[[#This Row],[NSGID]], NSGGroups[], 11, FALSE)</f>
        <v>PreProd1</v>
      </c>
      <c r="S1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'NSG_Database_330_SLG_Test_va' | Set-AzureNetworkSecurityRule -Name 'All_Internet.Inbound.Deny' -Type Inbound -Priority 100 -Action Deny -SourceAddressPrefix 'INTERNET'  -SourcePortRange '*' -DestinationAddressPrefix '*' -DestinationPortRange '*' -Protocol TCP</v>
      </c>
      <c r="T1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'NSG_Database_330_SLG_Test_va' | Set-AzureNetworkSecurityGroupToSubnet -VirtualNetworkName $VNETName_PreProd1 -SubnetName 'Database_330_SLG_Test_va'</v>
      </c>
    </row>
    <row r="17" spans="1:20" x14ac:dyDescent="0.45">
      <c r="A17" t="s">
        <v>618</v>
      </c>
      <c r="B17" t="s">
        <v>1044</v>
      </c>
      <c r="C17" t="str">
        <f>VLOOKUP(NSGRules[[#This Row],[NSGID]], NSGGroups[], 4, FALSE)</f>
        <v>NSG_DMZ_350_SLG_Test_va</v>
      </c>
      <c r="D17" t="str">
        <f>NSGRules[[#This Row],[Application]]&amp;"."&amp;NSGRules[[#This Row],[Type]]&amp;"."&amp;NSGRules[[#This Row],[Action]]</f>
        <v>All_Internet.Inbound.Allow</v>
      </c>
      <c r="E17" t="s">
        <v>1171</v>
      </c>
      <c r="F17" t="s">
        <v>624</v>
      </c>
      <c r="G17">
        <v>100</v>
      </c>
      <c r="H17" t="s">
        <v>625</v>
      </c>
      <c r="I17" t="s">
        <v>1153</v>
      </c>
      <c r="J17">
        <v>443</v>
      </c>
      <c r="K17" t="str">
        <f>VLOOKUP(NSGRules[[#This Row],[NSGID]], NSGGroups[], 13, FALSE)</f>
        <v>10.130.35.0/24</v>
      </c>
      <c r="L17">
        <v>443</v>
      </c>
      <c r="M17" t="s">
        <v>1155</v>
      </c>
      <c r="N17">
        <f>VLOOKUP(NSGRules[[#This Row],[NSGID]], NSGGroups[], 8, FALSE)</f>
        <v>2</v>
      </c>
      <c r="O17">
        <f>VLOOKUP(NSGRules[[#This Row],[NSGID]], NSGGroups[], 3, FALSE)</f>
        <v>350</v>
      </c>
      <c r="P17" t="str">
        <f>VLOOKUP(NSGRules[[#This Row],[NSGID]], NSGGroups[], 6, FALSE)</f>
        <v>DMZ_350_SLG_Test_va</v>
      </c>
      <c r="Q17" t="str">
        <f>VLOOKUP(NSGRules[[#This Row],[NSGID]], NSGGroups[], 12, FALSE)</f>
        <v>Test</v>
      </c>
      <c r="R17" t="str">
        <f>VLOOKUP(NSGRules[[#This Row],[NSGID]], NSGGroups[], 11, FALSE)</f>
        <v>PreProd1</v>
      </c>
      <c r="S1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'NSG_DMZ_350_SLG_Test_va' | Set-AzureNetworkSecurityRule -Name 'All_Internet.Inbound.Allow' -Type Inbound -Priority 100 -Action Allow -SourceAddressPrefix 'INTERNET'  -SourcePortRange '443' -DestinationAddressPrefix '10.130.35.0/24' -DestinationPortRange '443' -Protocol TCP</v>
      </c>
      <c r="T1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'NSG_DMZ_350_SLG_Test_va' | Set-AzureNetworkSecurityGroupToSubnet -VirtualNetworkName $VNETName_PreProd1 -SubnetName 'DMZ_350_SLG_Test_va'</v>
      </c>
    </row>
    <row r="18" spans="1:20" hidden="1" x14ac:dyDescent="0.45">
      <c r="A18" t="s">
        <v>619</v>
      </c>
      <c r="B18" t="s">
        <v>1045</v>
      </c>
      <c r="C18" t="str">
        <f>VLOOKUP(NSGRules[[#This Row],[NSGID]], NSGGroups[], 4, FALSE)</f>
        <v>NSG_User_Tier0_360_SLG_Test_va</v>
      </c>
      <c r="D18" t="str">
        <f>NSGRules[[#This Row],[Application]]&amp;"."&amp;NSGRules[[#This Row],[Type]]&amp;"."&amp;NSGRules[[#This Row],[Action]]</f>
        <v>All_Internet.Inbound.Deny</v>
      </c>
      <c r="E18" t="s">
        <v>1171</v>
      </c>
      <c r="F18" t="s">
        <v>624</v>
      </c>
      <c r="G18">
        <v>100</v>
      </c>
      <c r="H18" t="s">
        <v>1180</v>
      </c>
      <c r="I18" t="s">
        <v>1153</v>
      </c>
      <c r="J18" t="s">
        <v>1154</v>
      </c>
      <c r="K18" t="s">
        <v>1154</v>
      </c>
      <c r="L18" t="s">
        <v>1154</v>
      </c>
      <c r="M18" t="s">
        <v>1155</v>
      </c>
      <c r="N18">
        <f>VLOOKUP(NSGRules[[#This Row],[NSGID]], NSGGroups[], 8, FALSE)</f>
        <v>0</v>
      </c>
      <c r="O18">
        <f>VLOOKUP(NSGRules[[#This Row],[NSGID]], NSGGroups[], 3, FALSE)</f>
        <v>360</v>
      </c>
      <c r="P18" t="str">
        <f>VLOOKUP(NSGRules[[#This Row],[NSGID]], NSGGroups[], 6, FALSE)</f>
        <v>User_Tier0_360_SLG_Test_va</v>
      </c>
      <c r="Q18" t="str">
        <f>VLOOKUP(NSGRules[[#This Row],[NSGID]], NSGGroups[], 12, FALSE)</f>
        <v>Test</v>
      </c>
      <c r="R18" t="str">
        <f>VLOOKUP(NSGRules[[#This Row],[NSGID]], NSGGroups[], 11, FALSE)</f>
        <v>PreProd1</v>
      </c>
      <c r="S1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'NSG_User_Tier0_360_SLG_Test_va' | Set-AzureNetworkSecurityRule -Name 'All_Internet.Inbound.Deny' -Type Inbound -Priority 100 -Action Deny -SourceAddressPrefix 'INTERNET'  -SourcePortRange '*' -DestinationAddressPrefix '*' -DestinationPortRange '*' -Protocol TCP</v>
      </c>
      <c r="T1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'NSG_User_Tier0_360_SLG_Test_va' | Set-AzureNetworkSecurityGroupToSubnet -VirtualNetworkName $VNETName_PreProd1 -SubnetName 'User_Tier0_360_SLG_Test_va'</v>
      </c>
    </row>
    <row r="19" spans="1:20" hidden="1" x14ac:dyDescent="0.45">
      <c r="A19" t="s">
        <v>620</v>
      </c>
      <c r="B19" t="s">
        <v>1046</v>
      </c>
      <c r="C19" t="str">
        <f>VLOOKUP(NSGRules[[#This Row],[NSGID]], NSGGroups[], 4, FALSE)</f>
        <v>NSG_Users_Tier1_361_SLG_Test_va</v>
      </c>
      <c r="D19" t="str">
        <f>NSGRules[[#This Row],[Application]]&amp;"."&amp;NSGRules[[#This Row],[Type]]&amp;"."&amp;NSGRules[[#This Row],[Action]]</f>
        <v>All_Internet.Inbound.Deny</v>
      </c>
      <c r="E19" t="s">
        <v>1171</v>
      </c>
      <c r="F19" t="s">
        <v>624</v>
      </c>
      <c r="G19">
        <v>100</v>
      </c>
      <c r="H19" t="s">
        <v>1180</v>
      </c>
      <c r="I19" t="s">
        <v>1153</v>
      </c>
      <c r="J19" t="s">
        <v>1154</v>
      </c>
      <c r="K19" t="s">
        <v>1154</v>
      </c>
      <c r="L19" t="s">
        <v>1154</v>
      </c>
      <c r="M19" t="s">
        <v>1155</v>
      </c>
      <c r="N19">
        <f>VLOOKUP(NSGRules[[#This Row],[NSGID]], NSGGroups[], 8, FALSE)</f>
        <v>1</v>
      </c>
      <c r="O19">
        <f>VLOOKUP(NSGRules[[#This Row],[NSGID]], NSGGroups[], 3, FALSE)</f>
        <v>361</v>
      </c>
      <c r="P19" t="str">
        <f>VLOOKUP(NSGRules[[#This Row],[NSGID]], NSGGroups[], 6, FALSE)</f>
        <v>Users_Tier1_361_SLG_Test_va</v>
      </c>
      <c r="Q19" t="str">
        <f>VLOOKUP(NSGRules[[#This Row],[NSGID]], NSGGroups[], 12, FALSE)</f>
        <v>Test</v>
      </c>
      <c r="R19" t="str">
        <f>VLOOKUP(NSGRules[[#This Row],[NSGID]], NSGGroups[], 11, FALSE)</f>
        <v>PreProd1</v>
      </c>
      <c r="S1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'NSG_Users_Tier1_361_SLG_Test_va' | Set-AzureNetworkSecurityRule -Name 'All_Internet.Inbound.Deny' -Type Inbound -Priority 100 -Action Deny -SourceAddressPrefix 'INTERNET'  -SourcePortRange '*' -DestinationAddressPrefix '*' -DestinationPortRange '*' -Protocol TCP</v>
      </c>
      <c r="T1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'NSG_Users_Tier1_361_SLG_Test_va' | Set-AzureNetworkSecurityGroupToSubnet -VirtualNetworkName $VNETName_PreProd1 -SubnetName 'Users_Tier1_361_SLG_Test_va'</v>
      </c>
    </row>
    <row r="20" spans="1:20" hidden="1" x14ac:dyDescent="0.45">
      <c r="A20" t="s">
        <v>621</v>
      </c>
      <c r="B20" t="s">
        <v>1047</v>
      </c>
      <c r="C20" t="str">
        <f>VLOOKUP(NSGRules[[#This Row],[NSGID]], NSGGroups[], 4, FALSE)</f>
        <v>NSG_Users_Tier2_362_SLG_Test_va</v>
      </c>
      <c r="D20" t="str">
        <f>NSGRules[[#This Row],[Application]]&amp;"."&amp;NSGRules[[#This Row],[Type]]&amp;"."&amp;NSGRules[[#This Row],[Action]]</f>
        <v>All_Internet.Inbound.Deny</v>
      </c>
      <c r="E20" t="s">
        <v>1171</v>
      </c>
      <c r="F20" t="s">
        <v>624</v>
      </c>
      <c r="G20">
        <v>100</v>
      </c>
      <c r="H20" t="s">
        <v>1180</v>
      </c>
      <c r="I20" t="s">
        <v>1153</v>
      </c>
      <c r="J20" t="s">
        <v>1154</v>
      </c>
      <c r="K20" t="s">
        <v>1154</v>
      </c>
      <c r="L20" t="s">
        <v>1154</v>
      </c>
      <c r="M20" t="s">
        <v>1155</v>
      </c>
      <c r="N20">
        <f>VLOOKUP(NSGRules[[#This Row],[NSGID]], NSGGroups[], 8, FALSE)</f>
        <v>2</v>
      </c>
      <c r="O20">
        <f>VLOOKUP(NSGRules[[#This Row],[NSGID]], NSGGroups[], 3, FALSE)</f>
        <v>362</v>
      </c>
      <c r="P20" t="str">
        <f>VLOOKUP(NSGRules[[#This Row],[NSGID]], NSGGroups[], 6, FALSE)</f>
        <v>Users_Tier2_362_SLG_Test_va</v>
      </c>
      <c r="Q20" t="str">
        <f>VLOOKUP(NSGRules[[#This Row],[NSGID]], NSGGroups[], 12, FALSE)</f>
        <v>Test</v>
      </c>
      <c r="R20" t="str">
        <f>VLOOKUP(NSGRules[[#This Row],[NSGID]], NSGGroups[], 11, FALSE)</f>
        <v>PreProd1</v>
      </c>
      <c r="S2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'NSG_Users_Tier2_362_SLG_Test_va' | Set-AzureNetworkSecurityRule -Name 'All_Internet.Inbound.Deny' -Type Inbound -Priority 100 -Action Deny -SourceAddressPrefix 'INTERNET'  -SourcePortRange '*' -DestinationAddressPrefix '*' -DestinationPortRange '*' -Protocol TCP</v>
      </c>
      <c r="T2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'NSG_Users_Tier2_362_SLG_Test_va' | Set-AzureNetworkSecurityGroupToSubnet -VirtualNetworkName $VNETName_PreProd1 -SubnetName 'Users_Tier2_362_SLG_Test_va'</v>
      </c>
    </row>
    <row r="21" spans="1:20" hidden="1" x14ac:dyDescent="0.45">
      <c r="A21" t="s">
        <v>622</v>
      </c>
      <c r="B21" t="s">
        <v>1048</v>
      </c>
      <c r="C21" t="str">
        <f>VLOOKUP(NSGRules[[#This Row],[NSGID]], NSGGroups[], 4, FALSE)</f>
        <v>NSG_User_Tier0_363_SLG_Dev_va</v>
      </c>
      <c r="D21" t="str">
        <f>NSGRules[[#This Row],[Application]]&amp;"."&amp;NSGRules[[#This Row],[Type]]&amp;"."&amp;NSGRules[[#This Row],[Action]]</f>
        <v>All_Internet.Inbound.Deny</v>
      </c>
      <c r="E21" t="s">
        <v>1171</v>
      </c>
      <c r="F21" t="s">
        <v>624</v>
      </c>
      <c r="G21">
        <v>100</v>
      </c>
      <c r="H21" t="s">
        <v>1180</v>
      </c>
      <c r="I21" t="s">
        <v>1153</v>
      </c>
      <c r="J21" t="s">
        <v>1154</v>
      </c>
      <c r="K21" t="s">
        <v>1154</v>
      </c>
      <c r="L21" t="s">
        <v>1154</v>
      </c>
      <c r="M21" t="s">
        <v>1155</v>
      </c>
      <c r="N21">
        <f>VLOOKUP(NSGRules[[#This Row],[NSGID]], NSGGroups[], 8, FALSE)</f>
        <v>0</v>
      </c>
      <c r="O21">
        <f>VLOOKUP(NSGRules[[#This Row],[NSGID]], NSGGroups[], 3, FALSE)</f>
        <v>363</v>
      </c>
      <c r="P21" t="str">
        <f>VLOOKUP(NSGRules[[#This Row],[NSGID]], NSGGroups[], 6, FALSE)</f>
        <v>User_Tier0_363_SLG_Dev_va</v>
      </c>
      <c r="Q21" t="str">
        <f>VLOOKUP(NSGRules[[#This Row],[NSGID]], NSGGroups[], 12, FALSE)</f>
        <v>Dev</v>
      </c>
      <c r="R21" t="str">
        <f>VLOOKUP(NSGRules[[#This Row],[NSGID]], NSGGroups[], 11, FALSE)</f>
        <v>PreProd1</v>
      </c>
      <c r="S2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'NSG_User_Tier0_363_SLG_Dev_va' | Set-AzureNetworkSecurityRule -Name 'All_Internet.Inbound.Deny' -Type Inbound -Priority 100 -Action Deny -SourceAddressPrefix 'INTERNET'  -SourcePortRange '*' -DestinationAddressPrefix '*' -DestinationPortRange '*' -Protocol TCP</v>
      </c>
      <c r="T2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'NSG_User_Tier0_363_SLG_Dev_va' | Set-AzureNetworkSecurityGroupToSubnet -VirtualNetworkName $VNETName_PreProd1 -SubnetName 'User_Tier0_363_SLG_Dev_va'</v>
      </c>
    </row>
    <row r="22" spans="1:20" hidden="1" x14ac:dyDescent="0.45">
      <c r="A22" t="s">
        <v>623</v>
      </c>
      <c r="B22" t="s">
        <v>1049</v>
      </c>
      <c r="C22" t="str">
        <f>VLOOKUP(NSGRules[[#This Row],[NSGID]], NSGGroups[], 4, FALSE)</f>
        <v>NSG_User_Tier1_364_SLG_Dev_va</v>
      </c>
      <c r="D22" t="str">
        <f>NSGRules[[#This Row],[Application]]&amp;"."&amp;NSGRules[[#This Row],[Type]]&amp;"."&amp;NSGRules[[#This Row],[Action]]</f>
        <v>All_Internet.Inbound.Deny</v>
      </c>
      <c r="E22" t="s">
        <v>1171</v>
      </c>
      <c r="F22" t="s">
        <v>624</v>
      </c>
      <c r="G22">
        <v>100</v>
      </c>
      <c r="H22" t="s">
        <v>1180</v>
      </c>
      <c r="I22" t="s">
        <v>1153</v>
      </c>
      <c r="J22" t="s">
        <v>1154</v>
      </c>
      <c r="K22" t="s">
        <v>1154</v>
      </c>
      <c r="L22" t="s">
        <v>1154</v>
      </c>
      <c r="M22" t="s">
        <v>1155</v>
      </c>
      <c r="N22">
        <f>VLOOKUP(NSGRules[[#This Row],[NSGID]], NSGGroups[], 8, FALSE)</f>
        <v>1</v>
      </c>
      <c r="O22">
        <f>VLOOKUP(NSGRules[[#This Row],[NSGID]], NSGGroups[], 3, FALSE)</f>
        <v>364</v>
      </c>
      <c r="P22" t="str">
        <f>VLOOKUP(NSGRules[[#This Row],[NSGID]], NSGGroups[], 6, FALSE)</f>
        <v>User_Tier1_364_SLG_Dev_va</v>
      </c>
      <c r="Q22" t="str">
        <f>VLOOKUP(NSGRules[[#This Row],[NSGID]], NSGGroups[], 12, FALSE)</f>
        <v>Dev</v>
      </c>
      <c r="R22" t="str">
        <f>VLOOKUP(NSGRules[[#This Row],[NSGID]], NSGGroups[], 11, FALSE)</f>
        <v>PreProd1</v>
      </c>
      <c r="S2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'NSG_User_Tier1_364_SLG_Dev_va' | Set-AzureNetworkSecurityRule -Name 'All_Internet.Inbound.Deny' -Type Inbound -Priority 100 -Action Deny -SourceAddressPrefix 'INTERNET'  -SourcePortRange '*' -DestinationAddressPrefix '*' -DestinationPortRange '*' -Protocol TCP</v>
      </c>
      <c r="T2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'NSG_User_Tier1_364_SLG_Dev_va' | Set-AzureNetworkSecurityGroupToSubnet -VirtualNetworkName $VNETName_PreProd1 -SubnetName 'User_Tier1_364_SLG_Dev_va'</v>
      </c>
    </row>
    <row r="23" spans="1:20" hidden="1" x14ac:dyDescent="0.45">
      <c r="A23" t="s">
        <v>1099</v>
      </c>
      <c r="B23" t="s">
        <v>1050</v>
      </c>
      <c r="C23" t="str">
        <f>VLOOKUP(NSGRules[[#This Row],[NSGID]], NSGGroups[], 4, FALSE)</f>
        <v>NSG_User_Tier2_364_SLG_Dev_va</v>
      </c>
      <c r="D23" t="str">
        <f>NSGRules[[#This Row],[Application]]&amp;"."&amp;NSGRules[[#This Row],[Type]]&amp;"."&amp;NSGRules[[#This Row],[Action]]</f>
        <v>All_Internet.Inbound.Deny</v>
      </c>
      <c r="E23" t="s">
        <v>1171</v>
      </c>
      <c r="F23" t="s">
        <v>624</v>
      </c>
      <c r="G23">
        <v>100</v>
      </c>
      <c r="H23" t="s">
        <v>1180</v>
      </c>
      <c r="I23" t="s">
        <v>1153</v>
      </c>
      <c r="J23" t="s">
        <v>1154</v>
      </c>
      <c r="K23" t="s">
        <v>1154</v>
      </c>
      <c r="L23" t="s">
        <v>1154</v>
      </c>
      <c r="M23" t="s">
        <v>1155</v>
      </c>
      <c r="N23">
        <f>VLOOKUP(NSGRules[[#This Row],[NSGID]], NSGGroups[], 8, FALSE)</f>
        <v>2</v>
      </c>
      <c r="O23">
        <f>VLOOKUP(NSGRules[[#This Row],[NSGID]], NSGGroups[], 3, FALSE)</f>
        <v>364</v>
      </c>
      <c r="P23" t="str">
        <f>VLOOKUP(NSGRules[[#This Row],[NSGID]], NSGGroups[], 6, FALSE)</f>
        <v>User_Tier2_364_SLG_Dev_va</v>
      </c>
      <c r="Q23" t="str">
        <f>VLOOKUP(NSGRules[[#This Row],[NSGID]], NSGGroups[], 12, FALSE)</f>
        <v>Dev</v>
      </c>
      <c r="R23" t="str">
        <f>VLOOKUP(NSGRules[[#This Row],[NSGID]], NSGGroups[], 11, FALSE)</f>
        <v>PreProd1</v>
      </c>
      <c r="S2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'NSG_User_Tier2_364_SLG_Dev_va' | Set-AzureNetworkSecurityRule -Name 'All_Internet.Inbound.Deny' -Type Inbound -Priority 100 -Action Deny -SourceAddressPrefix 'INTERNET'  -SourcePortRange '*' -DestinationAddressPrefix '*' -DestinationPortRange '*' -Protocol TCP</v>
      </c>
      <c r="T2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'NSG_User_Tier2_364_SLG_Dev_va' | Set-AzureNetworkSecurityGroupToSubnet -VirtualNetworkName $VNETName_PreProd1 -SubnetName 'User_Tier2_364_SLG_Dev_va'</v>
      </c>
    </row>
    <row r="24" spans="1:20" hidden="1" x14ac:dyDescent="0.45">
      <c r="A24" t="s">
        <v>1100</v>
      </c>
      <c r="B24" t="s">
        <v>1051</v>
      </c>
      <c r="C24" t="str">
        <f>VLOOKUP(NSGRules[[#This Row],[NSGID]], NSGGroups[], 4, FALSE)</f>
        <v>NSG_Web_410_SLG_Dev_va</v>
      </c>
      <c r="D24" t="str">
        <f>NSGRules[[#This Row],[Application]]&amp;"."&amp;NSGRules[[#This Row],[Type]]&amp;"."&amp;NSGRules[[#This Row],[Action]]</f>
        <v>All_Internet.Inbound.Deny</v>
      </c>
      <c r="E24" t="s">
        <v>1171</v>
      </c>
      <c r="F24" t="s">
        <v>624</v>
      </c>
      <c r="G24">
        <v>100</v>
      </c>
      <c r="H24" t="s">
        <v>1180</v>
      </c>
      <c r="I24" t="s">
        <v>1153</v>
      </c>
      <c r="J24" t="s">
        <v>1154</v>
      </c>
      <c r="K24" t="s">
        <v>1154</v>
      </c>
      <c r="L24" t="s">
        <v>1154</v>
      </c>
      <c r="M24" t="s">
        <v>1155</v>
      </c>
      <c r="N24">
        <f>VLOOKUP(NSGRules[[#This Row],[NSGID]], NSGGroups[], 8, FALSE)</f>
        <v>2</v>
      </c>
      <c r="O24">
        <f>VLOOKUP(NSGRules[[#This Row],[NSGID]], NSGGroups[], 3, FALSE)</f>
        <v>410</v>
      </c>
      <c r="P24" t="str">
        <f>VLOOKUP(NSGRules[[#This Row],[NSGID]], NSGGroups[], 6, FALSE)</f>
        <v>Web_410_SLG_Dev_va</v>
      </c>
      <c r="Q24" t="str">
        <f>VLOOKUP(NSGRules[[#This Row],[NSGID]], NSGGroups[], 12, FALSE)</f>
        <v>Dev</v>
      </c>
      <c r="R24" t="str">
        <f>VLOOKUP(NSGRules[[#This Row],[NSGID]], NSGGroups[], 11, FALSE)</f>
        <v>PreProd1</v>
      </c>
      <c r="S2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'NSG_Web_410_SLG_Dev_va' | Set-AzureNetworkSecurityRule -Name 'All_Internet.Inbound.Deny' -Type Inbound -Priority 100 -Action Deny -SourceAddressPrefix 'INTERNET'  -SourcePortRange '*' -DestinationAddressPrefix '*' -DestinationPortRange '*' -Protocol TCP</v>
      </c>
      <c r="T2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'NSG_Web_410_SLG_Dev_va' | Set-AzureNetworkSecurityGroupToSubnet -VirtualNetworkName $VNETName_PreProd1 -SubnetName 'Web_410_SLG_Dev_va'</v>
      </c>
    </row>
    <row r="25" spans="1:20" hidden="1" x14ac:dyDescent="0.45">
      <c r="A25" t="s">
        <v>1101</v>
      </c>
      <c r="B25" t="s">
        <v>1052</v>
      </c>
      <c r="C25" t="str">
        <f>VLOOKUP(NSGRules[[#This Row],[NSGID]], NSGGroups[], 4, FALSE)</f>
        <v>NSG_App_420_SLG_Dev_va</v>
      </c>
      <c r="D25" t="str">
        <f>NSGRules[[#This Row],[Application]]&amp;"."&amp;NSGRules[[#This Row],[Type]]&amp;"."&amp;NSGRules[[#This Row],[Action]]</f>
        <v>All_Internet.Inbound.Deny</v>
      </c>
      <c r="E25" t="s">
        <v>1171</v>
      </c>
      <c r="F25" t="s">
        <v>624</v>
      </c>
      <c r="G25">
        <v>100</v>
      </c>
      <c r="H25" t="s">
        <v>1180</v>
      </c>
      <c r="I25" t="s">
        <v>1153</v>
      </c>
      <c r="J25" t="s">
        <v>1154</v>
      </c>
      <c r="K25" t="s">
        <v>1154</v>
      </c>
      <c r="L25" t="s">
        <v>1154</v>
      </c>
      <c r="M25" t="s">
        <v>1155</v>
      </c>
      <c r="N25">
        <f>VLOOKUP(NSGRules[[#This Row],[NSGID]], NSGGroups[], 8, FALSE)</f>
        <v>1</v>
      </c>
      <c r="O25">
        <f>VLOOKUP(NSGRules[[#This Row],[NSGID]], NSGGroups[], 3, FALSE)</f>
        <v>420</v>
      </c>
      <c r="P25" t="str">
        <f>VLOOKUP(NSGRules[[#This Row],[NSGID]], NSGGroups[], 6, FALSE)</f>
        <v>App_420_SLG_Dev_va</v>
      </c>
      <c r="Q25" t="str">
        <f>VLOOKUP(NSGRules[[#This Row],[NSGID]], NSGGroups[], 12, FALSE)</f>
        <v>Dev</v>
      </c>
      <c r="R25" t="str">
        <f>VLOOKUP(NSGRules[[#This Row],[NSGID]], NSGGroups[], 11, FALSE)</f>
        <v>PreProd1</v>
      </c>
      <c r="S2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'NSG_App_420_SLG_Dev_va' | Set-AzureNetworkSecurityRule -Name 'All_Internet.Inbound.Deny' -Type Inbound -Priority 100 -Action Deny -SourceAddressPrefix 'INTERNET'  -SourcePortRange '*' -DestinationAddressPrefix '*' -DestinationPortRange '*' -Protocol TCP</v>
      </c>
      <c r="T2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'NSG_App_420_SLG_Dev_va' | Set-AzureNetworkSecurityGroupToSubnet -VirtualNetworkName $VNETName_PreProd1 -SubnetName 'App_420_SLG_Dev_va'</v>
      </c>
    </row>
    <row r="26" spans="1:20" hidden="1" x14ac:dyDescent="0.45">
      <c r="A26" t="s">
        <v>1102</v>
      </c>
      <c r="B26" t="s">
        <v>1053</v>
      </c>
      <c r="C26" t="str">
        <f>VLOOKUP(NSGRules[[#This Row],[NSGID]], NSGGroups[], 4, FALSE)</f>
        <v>NSG_Database_430_SLG_Dev_va</v>
      </c>
      <c r="D26" t="str">
        <f>NSGRules[[#This Row],[Application]]&amp;"."&amp;NSGRules[[#This Row],[Type]]&amp;"."&amp;NSGRules[[#This Row],[Action]]</f>
        <v>All_Internet.Inbound.Deny</v>
      </c>
      <c r="E26" t="s">
        <v>1171</v>
      </c>
      <c r="F26" t="s">
        <v>624</v>
      </c>
      <c r="G26">
        <v>100</v>
      </c>
      <c r="H26" t="s">
        <v>1180</v>
      </c>
      <c r="I26" t="s">
        <v>1153</v>
      </c>
      <c r="J26" t="s">
        <v>1154</v>
      </c>
      <c r="K26" t="s">
        <v>1154</v>
      </c>
      <c r="L26" t="s">
        <v>1154</v>
      </c>
      <c r="M26" t="s">
        <v>1155</v>
      </c>
      <c r="N26">
        <f>VLOOKUP(NSGRules[[#This Row],[NSGID]], NSGGroups[], 8, FALSE)</f>
        <v>1</v>
      </c>
      <c r="O26">
        <f>VLOOKUP(NSGRules[[#This Row],[NSGID]], NSGGroups[], 3, FALSE)</f>
        <v>430</v>
      </c>
      <c r="P26" t="str">
        <f>VLOOKUP(NSGRules[[#This Row],[NSGID]], NSGGroups[], 6, FALSE)</f>
        <v>Database_430_SLG_Dev_va</v>
      </c>
      <c r="Q26" t="str">
        <f>VLOOKUP(NSGRules[[#This Row],[NSGID]], NSGGroups[], 12, FALSE)</f>
        <v>Dev</v>
      </c>
      <c r="R26" t="str">
        <f>VLOOKUP(NSGRules[[#This Row],[NSGID]], NSGGroups[], 11, FALSE)</f>
        <v>PreProd1</v>
      </c>
      <c r="S2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'NSG_Database_430_SLG_Dev_va' | Set-AzureNetworkSecurityRule -Name 'All_Internet.Inbound.Deny' -Type Inbound -Priority 100 -Action Deny -SourceAddressPrefix 'INTERNET'  -SourcePortRange '*' -DestinationAddressPrefix '*' -DestinationPortRange '*' -Protocol TCP</v>
      </c>
      <c r="T2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'NSG_Database_430_SLG_Dev_va' | Set-AzureNetworkSecurityGroupToSubnet -VirtualNetworkName $VNETName_PreProd1 -SubnetName 'Database_430_SLG_Dev_va'</v>
      </c>
    </row>
    <row r="27" spans="1:20" x14ac:dyDescent="0.45">
      <c r="A27" t="s">
        <v>1103</v>
      </c>
      <c r="B27" t="s">
        <v>1054</v>
      </c>
      <c r="C27" t="str">
        <f>VLOOKUP(NSGRules[[#This Row],[NSGID]], NSGGroups[], 4, FALSE)</f>
        <v>NSG_DMZ_450_SLG_Dev_va</v>
      </c>
      <c r="D27" t="str">
        <f>NSGRules[[#This Row],[Application]]&amp;"."&amp;NSGRules[[#This Row],[Type]]&amp;"."&amp;NSGRules[[#This Row],[Action]]</f>
        <v>All_Internet.Inbound.Allow</v>
      </c>
      <c r="E27" t="s">
        <v>1171</v>
      </c>
      <c r="F27" t="s">
        <v>624</v>
      </c>
      <c r="G27">
        <v>100</v>
      </c>
      <c r="H27" t="s">
        <v>625</v>
      </c>
      <c r="I27" t="s">
        <v>1153</v>
      </c>
      <c r="J27">
        <v>443</v>
      </c>
      <c r="K27" t="str">
        <f>VLOOKUP(NSGRules[[#This Row],[NSGID]], NSGGroups[], 13, FALSE)</f>
        <v>10.130.43.0/24</v>
      </c>
      <c r="L27">
        <v>443</v>
      </c>
      <c r="M27" t="s">
        <v>1155</v>
      </c>
      <c r="N27">
        <f>VLOOKUP(NSGRules[[#This Row],[NSGID]], NSGGroups[], 8, FALSE)</f>
        <v>2</v>
      </c>
      <c r="O27">
        <f>VLOOKUP(NSGRules[[#This Row],[NSGID]], NSGGroups[], 3, FALSE)</f>
        <v>450</v>
      </c>
      <c r="P27" t="str">
        <f>VLOOKUP(NSGRules[[#This Row],[NSGID]], NSGGroups[], 6, FALSE)</f>
        <v>DMZ_450_SLG_Dev_va</v>
      </c>
      <c r="Q27" t="str">
        <f>VLOOKUP(NSGRules[[#This Row],[NSGID]], NSGGroups[], 12, FALSE)</f>
        <v>Dev</v>
      </c>
      <c r="R27" t="str">
        <f>VLOOKUP(NSGRules[[#This Row],[NSGID]], NSGGroups[], 11, FALSE)</f>
        <v>PreProd1</v>
      </c>
      <c r="S2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'NSG_DMZ_450_SLG_Dev_va' | Set-AzureNetworkSecurityRule -Name 'All_Internet.Inbound.Allow' -Type Inbound -Priority 100 -Action Allow -SourceAddressPrefix 'INTERNET'  -SourcePortRange '443' -DestinationAddressPrefix '10.130.43.0/24' -DestinationPortRange '443' -Protocol TCP</v>
      </c>
      <c r="T2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'NSG_DMZ_450_SLG_Dev_va' | Set-AzureNetworkSecurityGroupToSubnet -VirtualNetworkName $VNETName_PreProd1 -SubnetName 'DMZ_450_SLG_Dev_va'</v>
      </c>
    </row>
    <row r="28" spans="1:20" hidden="1" x14ac:dyDescent="0.45">
      <c r="A28" t="s">
        <v>1104</v>
      </c>
      <c r="B28" t="s">
        <v>1055</v>
      </c>
      <c r="C28" t="str">
        <f>VLOOKUP(NSGRules[[#This Row],[NSGID]], NSGGroups[], 4, FALSE)</f>
        <v>NSG_Web_310_SLG_Test_ia</v>
      </c>
      <c r="D28" t="str">
        <f>NSGRules[[#This Row],[Application]]&amp;"."&amp;NSGRules[[#This Row],[Type]]&amp;"."&amp;NSGRules[[#This Row],[Action]]</f>
        <v>All_Internet.Inbound.Deny</v>
      </c>
      <c r="E28" t="s">
        <v>1171</v>
      </c>
      <c r="F28" t="s">
        <v>624</v>
      </c>
      <c r="G28">
        <v>100</v>
      </c>
      <c r="H28" t="s">
        <v>1180</v>
      </c>
      <c r="I28" t="s">
        <v>1153</v>
      </c>
      <c r="J28" t="s">
        <v>1154</v>
      </c>
      <c r="K28" t="s">
        <v>1154</v>
      </c>
      <c r="L28" t="s">
        <v>1154</v>
      </c>
      <c r="M28" t="s">
        <v>1155</v>
      </c>
      <c r="N28">
        <f>VLOOKUP(NSGRules[[#This Row],[NSGID]], NSGGroups[], 8, FALSE)</f>
        <v>2</v>
      </c>
      <c r="O28">
        <f>VLOOKUP(NSGRules[[#This Row],[NSGID]], NSGGroups[], 3, FALSE)</f>
        <v>310</v>
      </c>
      <c r="P28" t="str">
        <f>VLOOKUP(NSGRules[[#This Row],[NSGID]], NSGGroups[], 6, FALSE)</f>
        <v>Web_310_SLG_Test_ia</v>
      </c>
      <c r="Q28" t="str">
        <f>VLOOKUP(NSGRules[[#This Row],[NSGID]], NSGGroups[], 12, FALSE)</f>
        <v>Test</v>
      </c>
      <c r="R28" t="str">
        <f>VLOOKUP(NSGRules[[#This Row],[NSGID]], NSGGroups[], 11, FALSE)</f>
        <v>PreProd2</v>
      </c>
      <c r="S2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'NSG_Web_310_SLG_Test_ia' | Set-AzureNetworkSecurityRule -Name 'All_Internet.Inbound.Deny' -Type Inbound -Priority 100 -Action Deny -SourceAddressPrefix 'INTERNET'  -SourcePortRange '*' -DestinationAddressPrefix '*' -DestinationPortRange '*' -Protocol TCP</v>
      </c>
      <c r="T2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'NSG_Web_310_SLG_Test_ia' | Set-AzureNetworkSecurityGroupToSubnet -VirtualNetworkName $VNETName_PreProd2 -SubnetName 'Web_310_SLG_Test_ia'</v>
      </c>
    </row>
    <row r="29" spans="1:20" hidden="1" x14ac:dyDescent="0.45">
      <c r="A29" t="s">
        <v>1105</v>
      </c>
      <c r="B29" t="s">
        <v>1056</v>
      </c>
      <c r="C29" t="str">
        <f>VLOOKUP(NSGRules[[#This Row],[NSGID]], NSGGroups[], 4, FALSE)</f>
        <v>NSG_App_320_SLG_Test_ia</v>
      </c>
      <c r="D29" t="str">
        <f>NSGRules[[#This Row],[Application]]&amp;"."&amp;NSGRules[[#This Row],[Type]]&amp;"."&amp;NSGRules[[#This Row],[Action]]</f>
        <v>All_Internet.Inbound.Deny</v>
      </c>
      <c r="E29" t="s">
        <v>1171</v>
      </c>
      <c r="F29" t="s">
        <v>624</v>
      </c>
      <c r="G29">
        <v>100</v>
      </c>
      <c r="H29" t="s">
        <v>1180</v>
      </c>
      <c r="I29" t="s">
        <v>1153</v>
      </c>
      <c r="J29" t="s">
        <v>1154</v>
      </c>
      <c r="K29" t="s">
        <v>1154</v>
      </c>
      <c r="L29" t="s">
        <v>1154</v>
      </c>
      <c r="M29" t="s">
        <v>1155</v>
      </c>
      <c r="N29">
        <f>VLOOKUP(NSGRules[[#This Row],[NSGID]], NSGGroups[], 8, FALSE)</f>
        <v>1</v>
      </c>
      <c r="O29">
        <f>VLOOKUP(NSGRules[[#This Row],[NSGID]], NSGGroups[], 3, FALSE)</f>
        <v>320</v>
      </c>
      <c r="P29" t="str">
        <f>VLOOKUP(NSGRules[[#This Row],[NSGID]], NSGGroups[], 6, FALSE)</f>
        <v>App_320_SLG_Test_ia</v>
      </c>
      <c r="Q29" t="str">
        <f>VLOOKUP(NSGRules[[#This Row],[NSGID]], NSGGroups[], 12, FALSE)</f>
        <v>Test</v>
      </c>
      <c r="R29" t="str">
        <f>VLOOKUP(NSGRules[[#This Row],[NSGID]], NSGGroups[], 11, FALSE)</f>
        <v>PreProd2</v>
      </c>
      <c r="S2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'NSG_App_320_SLG_Test_ia' | Set-AzureNetworkSecurityRule -Name 'All_Internet.Inbound.Deny' -Type Inbound -Priority 100 -Action Deny -SourceAddressPrefix 'INTERNET'  -SourcePortRange '*' -DestinationAddressPrefix '*' -DestinationPortRange '*' -Protocol TCP</v>
      </c>
      <c r="T2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'NSG_App_320_SLG_Test_ia' | Set-AzureNetworkSecurityGroupToSubnet -VirtualNetworkName $VNETName_PreProd2 -SubnetName 'App_320_SLG_Test_ia'</v>
      </c>
    </row>
    <row r="30" spans="1:20" hidden="1" x14ac:dyDescent="0.45">
      <c r="A30" t="s">
        <v>1106</v>
      </c>
      <c r="B30" t="s">
        <v>1057</v>
      </c>
      <c r="C30" t="str">
        <f>VLOOKUP(NSGRules[[#This Row],[NSGID]], NSGGroups[], 4, FALSE)</f>
        <v>NSG_Database_330_SLG_Test_ia</v>
      </c>
      <c r="D30" t="str">
        <f>NSGRules[[#This Row],[Application]]&amp;"."&amp;NSGRules[[#This Row],[Type]]&amp;"."&amp;NSGRules[[#This Row],[Action]]</f>
        <v>All_Internet.Inbound.Deny</v>
      </c>
      <c r="E30" t="s">
        <v>1171</v>
      </c>
      <c r="F30" t="s">
        <v>624</v>
      </c>
      <c r="G30">
        <v>100</v>
      </c>
      <c r="H30" t="s">
        <v>1180</v>
      </c>
      <c r="I30" t="s">
        <v>1153</v>
      </c>
      <c r="J30" t="s">
        <v>1154</v>
      </c>
      <c r="K30" t="s">
        <v>1154</v>
      </c>
      <c r="L30" t="s">
        <v>1154</v>
      </c>
      <c r="M30" t="s">
        <v>1155</v>
      </c>
      <c r="N30">
        <f>VLOOKUP(NSGRules[[#This Row],[NSGID]], NSGGroups[], 8, FALSE)</f>
        <v>1</v>
      </c>
      <c r="O30">
        <f>VLOOKUP(NSGRules[[#This Row],[NSGID]], NSGGroups[], 3, FALSE)</f>
        <v>330</v>
      </c>
      <c r="P30" t="str">
        <f>VLOOKUP(NSGRules[[#This Row],[NSGID]], NSGGroups[], 6, FALSE)</f>
        <v>Database_330_SLG_Test_ia</v>
      </c>
      <c r="Q30" t="str">
        <f>VLOOKUP(NSGRules[[#This Row],[NSGID]], NSGGroups[], 12, FALSE)</f>
        <v>Test</v>
      </c>
      <c r="R30" t="str">
        <f>VLOOKUP(NSGRules[[#This Row],[NSGID]], NSGGroups[], 11, FALSE)</f>
        <v>PreProd2</v>
      </c>
      <c r="S3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'NSG_Database_330_SLG_Test_ia' | Set-AzureNetworkSecurityRule -Name 'All_Internet.Inbound.Deny' -Type Inbound -Priority 100 -Action Deny -SourceAddressPrefix 'INTERNET'  -SourcePortRange '*' -DestinationAddressPrefix '*' -DestinationPortRange '*' -Protocol TCP</v>
      </c>
      <c r="T3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'NSG_Database_330_SLG_Test_ia' | Set-AzureNetworkSecurityGroupToSubnet -VirtualNetworkName $VNETName_PreProd2 -SubnetName 'Database_330_SLG_Test_ia'</v>
      </c>
    </row>
    <row r="31" spans="1:20" x14ac:dyDescent="0.45">
      <c r="A31" t="s">
        <v>1107</v>
      </c>
      <c r="B31" t="s">
        <v>1058</v>
      </c>
      <c r="C31" t="str">
        <f>VLOOKUP(NSGRules[[#This Row],[NSGID]], NSGGroups[], 4, FALSE)</f>
        <v>NSG_DMZ_350_SLG_Test_ia</v>
      </c>
      <c r="D31" t="str">
        <f>NSGRules[[#This Row],[Application]]&amp;"."&amp;NSGRules[[#This Row],[Type]]&amp;"."&amp;NSGRules[[#This Row],[Action]]</f>
        <v>All_Internet.Inbound.Allow</v>
      </c>
      <c r="E31" t="s">
        <v>1171</v>
      </c>
      <c r="F31" t="s">
        <v>624</v>
      </c>
      <c r="G31">
        <v>100</v>
      </c>
      <c r="H31" t="s">
        <v>625</v>
      </c>
      <c r="I31" t="s">
        <v>1153</v>
      </c>
      <c r="J31">
        <v>443</v>
      </c>
      <c r="K31" t="str">
        <f>VLOOKUP(NSGRules[[#This Row],[NSGID]], NSGGroups[], 13, FALSE)</f>
        <v>10.130.99.0/24</v>
      </c>
      <c r="L31">
        <v>443</v>
      </c>
      <c r="M31" t="s">
        <v>1155</v>
      </c>
      <c r="N31">
        <f>VLOOKUP(NSGRules[[#This Row],[NSGID]], NSGGroups[], 8, FALSE)</f>
        <v>2</v>
      </c>
      <c r="O31">
        <f>VLOOKUP(NSGRules[[#This Row],[NSGID]], NSGGroups[], 3, FALSE)</f>
        <v>350</v>
      </c>
      <c r="P31" t="str">
        <f>VLOOKUP(NSGRules[[#This Row],[NSGID]], NSGGroups[], 6, FALSE)</f>
        <v>DMZ_350_SLG_Test_ia</v>
      </c>
      <c r="Q31" t="str">
        <f>VLOOKUP(NSGRules[[#This Row],[NSGID]], NSGGroups[], 12, FALSE)</f>
        <v>Test</v>
      </c>
      <c r="R31" t="str">
        <f>VLOOKUP(NSGRules[[#This Row],[NSGID]], NSGGroups[], 11, FALSE)</f>
        <v>PreProd2</v>
      </c>
      <c r="S3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'NSG_DMZ_350_SLG_Test_ia' | Set-AzureNetworkSecurityRule -Name 'All_Internet.Inbound.Allow' -Type Inbound -Priority 100 -Action Allow -SourceAddressPrefix 'INTERNET'  -SourcePortRange '443' -DestinationAddressPrefix '10.130.99.0/24' -DestinationPortRange '443' -Protocol TCP</v>
      </c>
      <c r="T3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'NSG_DMZ_350_SLG_Test_ia' | Set-AzureNetworkSecurityGroupToSubnet -VirtualNetworkName $VNETName_PreProd2 -SubnetName 'DMZ_350_SLG_Test_ia'</v>
      </c>
    </row>
    <row r="32" spans="1:20" hidden="1" x14ac:dyDescent="0.45">
      <c r="A32" t="s">
        <v>1108</v>
      </c>
      <c r="B32" t="s">
        <v>1059</v>
      </c>
      <c r="C32" t="str">
        <f>VLOOKUP(NSGRules[[#This Row],[NSGID]], NSGGroups[], 4, FALSE)</f>
        <v>NSG_Users_Tier0_360_SLG_Test_ia</v>
      </c>
      <c r="D32" t="str">
        <f>NSGRules[[#This Row],[Application]]&amp;"."&amp;NSGRules[[#This Row],[Type]]&amp;"."&amp;NSGRules[[#This Row],[Action]]</f>
        <v>All_Internet.Inbound.Deny</v>
      </c>
      <c r="E32" t="s">
        <v>1171</v>
      </c>
      <c r="F32" t="s">
        <v>624</v>
      </c>
      <c r="G32">
        <v>100</v>
      </c>
      <c r="H32" t="s">
        <v>1180</v>
      </c>
      <c r="I32" t="s">
        <v>1153</v>
      </c>
      <c r="J32" t="s">
        <v>1154</v>
      </c>
      <c r="K32" t="s">
        <v>1154</v>
      </c>
      <c r="L32" t="s">
        <v>1154</v>
      </c>
      <c r="M32" t="s">
        <v>1155</v>
      </c>
      <c r="N32">
        <f>VLOOKUP(NSGRules[[#This Row],[NSGID]], NSGGroups[], 8, FALSE)</f>
        <v>0</v>
      </c>
      <c r="O32">
        <f>VLOOKUP(NSGRules[[#This Row],[NSGID]], NSGGroups[], 3, FALSE)</f>
        <v>360</v>
      </c>
      <c r="P32" t="str">
        <f>VLOOKUP(NSGRules[[#This Row],[NSGID]], NSGGroups[], 6, FALSE)</f>
        <v>Users_Tier0_360_SLG_Test_ia</v>
      </c>
      <c r="Q32" t="str">
        <f>VLOOKUP(NSGRules[[#This Row],[NSGID]], NSGGroups[], 12, FALSE)</f>
        <v>Test</v>
      </c>
      <c r="R32" t="str">
        <f>VLOOKUP(NSGRules[[#This Row],[NSGID]], NSGGroups[], 11, FALSE)</f>
        <v>PreProd2</v>
      </c>
      <c r="S3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'NSG_Users_Tier0_360_SLG_Test_ia' | Set-AzureNetworkSecurityRule -Name 'All_Internet.Inbound.Deny' -Type Inbound -Priority 100 -Action Deny -SourceAddressPrefix 'INTERNET'  -SourcePortRange '*' -DestinationAddressPrefix '*' -DestinationPortRange '*' -Protocol TCP</v>
      </c>
      <c r="T3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'NSG_Users_Tier0_360_SLG_Test_ia' | Set-AzureNetworkSecurityGroupToSubnet -VirtualNetworkName $VNETName_PreProd2 -SubnetName 'Users_Tier0_360_SLG_Test_ia'</v>
      </c>
    </row>
    <row r="33" spans="1:20" hidden="1" x14ac:dyDescent="0.45">
      <c r="A33" t="s">
        <v>1109</v>
      </c>
      <c r="B33" t="s">
        <v>1060</v>
      </c>
      <c r="C33" t="str">
        <f>VLOOKUP(NSGRules[[#This Row],[NSGID]], NSGGroups[], 4, FALSE)</f>
        <v>NSG_Users_Tier1_361_SLG_Test_ia</v>
      </c>
      <c r="D33" t="str">
        <f>NSGRules[[#This Row],[Application]]&amp;"."&amp;NSGRules[[#This Row],[Type]]&amp;"."&amp;NSGRules[[#This Row],[Action]]</f>
        <v>All_Internet.Inbound.Deny</v>
      </c>
      <c r="E33" t="s">
        <v>1171</v>
      </c>
      <c r="F33" t="s">
        <v>624</v>
      </c>
      <c r="G33">
        <v>100</v>
      </c>
      <c r="H33" t="s">
        <v>1180</v>
      </c>
      <c r="I33" t="s">
        <v>1153</v>
      </c>
      <c r="J33" t="s">
        <v>1154</v>
      </c>
      <c r="K33" t="s">
        <v>1154</v>
      </c>
      <c r="L33" t="s">
        <v>1154</v>
      </c>
      <c r="M33" t="s">
        <v>1155</v>
      </c>
      <c r="N33">
        <f>VLOOKUP(NSGRules[[#This Row],[NSGID]], NSGGroups[], 8, FALSE)</f>
        <v>1</v>
      </c>
      <c r="O33">
        <f>VLOOKUP(NSGRules[[#This Row],[NSGID]], NSGGroups[], 3, FALSE)</f>
        <v>361</v>
      </c>
      <c r="P33" t="str">
        <f>VLOOKUP(NSGRules[[#This Row],[NSGID]], NSGGroups[], 6, FALSE)</f>
        <v>Users_Tier1_361_SLG_Test_ia</v>
      </c>
      <c r="Q33" t="str">
        <f>VLOOKUP(NSGRules[[#This Row],[NSGID]], NSGGroups[], 12, FALSE)</f>
        <v>Test</v>
      </c>
      <c r="R33" t="str">
        <f>VLOOKUP(NSGRules[[#This Row],[NSGID]], NSGGroups[], 11, FALSE)</f>
        <v>PreProd2</v>
      </c>
      <c r="S3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'NSG_Users_Tier1_361_SLG_Test_ia' | Set-AzureNetworkSecurityRule -Name 'All_Internet.Inbound.Deny' -Type Inbound -Priority 100 -Action Deny -SourceAddressPrefix 'INTERNET'  -SourcePortRange '*' -DestinationAddressPrefix '*' -DestinationPortRange '*' -Protocol TCP</v>
      </c>
      <c r="T3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'NSG_Users_Tier1_361_SLG_Test_ia' | Set-AzureNetworkSecurityGroupToSubnet -VirtualNetworkName $VNETName_PreProd2 -SubnetName 'Users_Tier1_361_SLG_Test_ia'</v>
      </c>
    </row>
    <row r="34" spans="1:20" hidden="1" x14ac:dyDescent="0.45">
      <c r="A34" t="s">
        <v>1110</v>
      </c>
      <c r="B34" t="s">
        <v>1061</v>
      </c>
      <c r="C34" t="str">
        <f>VLOOKUP(NSGRules[[#This Row],[NSGID]], NSGGroups[], 4, FALSE)</f>
        <v>NSG_Users_Tier2_362_SLG_Test_ia</v>
      </c>
      <c r="D34" t="str">
        <f>NSGRules[[#This Row],[Application]]&amp;"."&amp;NSGRules[[#This Row],[Type]]&amp;"."&amp;NSGRules[[#This Row],[Action]]</f>
        <v>All_Internet.Inbound.Deny</v>
      </c>
      <c r="E34" t="s">
        <v>1171</v>
      </c>
      <c r="F34" t="s">
        <v>624</v>
      </c>
      <c r="G34">
        <v>100</v>
      </c>
      <c r="H34" t="s">
        <v>1180</v>
      </c>
      <c r="I34" t="s">
        <v>1153</v>
      </c>
      <c r="J34" t="s">
        <v>1154</v>
      </c>
      <c r="K34" t="s">
        <v>1154</v>
      </c>
      <c r="L34" t="s">
        <v>1154</v>
      </c>
      <c r="M34" t="s">
        <v>1155</v>
      </c>
      <c r="N34">
        <f>VLOOKUP(NSGRules[[#This Row],[NSGID]], NSGGroups[], 8, FALSE)</f>
        <v>2</v>
      </c>
      <c r="O34">
        <f>VLOOKUP(NSGRules[[#This Row],[NSGID]], NSGGroups[], 3, FALSE)</f>
        <v>362</v>
      </c>
      <c r="P34" t="str">
        <f>VLOOKUP(NSGRules[[#This Row],[NSGID]], NSGGroups[], 6, FALSE)</f>
        <v>Users_Tier2_362_SLG_Test_ia</v>
      </c>
      <c r="Q34" t="str">
        <f>VLOOKUP(NSGRules[[#This Row],[NSGID]], NSGGroups[], 12, FALSE)</f>
        <v>Test</v>
      </c>
      <c r="R34" t="str">
        <f>VLOOKUP(NSGRules[[#This Row],[NSGID]], NSGGroups[], 11, FALSE)</f>
        <v>PreProd2</v>
      </c>
      <c r="S3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'NSG_Users_Tier2_362_SLG_Test_ia' | Set-AzureNetworkSecurityRule -Name 'All_Internet.Inbound.Deny' -Type Inbound -Priority 100 -Action Deny -SourceAddressPrefix 'INTERNET'  -SourcePortRange '*' -DestinationAddressPrefix '*' -DestinationPortRange '*' -Protocol TCP</v>
      </c>
      <c r="T3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'NSG_Users_Tier2_362_SLG_Test_ia' | Set-AzureNetworkSecurityGroupToSubnet -VirtualNetworkName $VNETName_PreProd2 -SubnetName 'Users_Tier2_362_SLG_Test_ia'</v>
      </c>
    </row>
    <row r="35" spans="1:20" hidden="1" x14ac:dyDescent="0.45">
      <c r="A35" t="s">
        <v>1111</v>
      </c>
      <c r="B35" t="s">
        <v>1062</v>
      </c>
      <c r="C35" t="str">
        <f>VLOOKUP(NSGRules[[#This Row],[NSGID]], NSGGroups[], 4, FALSE)</f>
        <v>NSG_Users_Tier0_363_SLG_Dev_ia</v>
      </c>
      <c r="D35" t="str">
        <f>NSGRules[[#This Row],[Application]]&amp;"."&amp;NSGRules[[#This Row],[Type]]&amp;"."&amp;NSGRules[[#This Row],[Action]]</f>
        <v>All_Internet.Inbound.Deny</v>
      </c>
      <c r="E35" t="s">
        <v>1171</v>
      </c>
      <c r="F35" t="s">
        <v>624</v>
      </c>
      <c r="G35">
        <v>100</v>
      </c>
      <c r="H35" t="s">
        <v>1180</v>
      </c>
      <c r="I35" t="s">
        <v>1153</v>
      </c>
      <c r="J35" t="s">
        <v>1154</v>
      </c>
      <c r="K35" t="s">
        <v>1154</v>
      </c>
      <c r="L35" t="s">
        <v>1154</v>
      </c>
      <c r="M35" t="s">
        <v>1155</v>
      </c>
      <c r="N35">
        <f>VLOOKUP(NSGRules[[#This Row],[NSGID]], NSGGroups[], 8, FALSE)</f>
        <v>0</v>
      </c>
      <c r="O35">
        <f>VLOOKUP(NSGRules[[#This Row],[NSGID]], NSGGroups[], 3, FALSE)</f>
        <v>363</v>
      </c>
      <c r="P35" t="str">
        <f>VLOOKUP(NSGRules[[#This Row],[NSGID]], NSGGroups[], 6, FALSE)</f>
        <v>Users_Tier0_363_SLG_Dev_ia</v>
      </c>
      <c r="Q35" t="str">
        <f>VLOOKUP(NSGRules[[#This Row],[NSGID]], NSGGroups[], 12, FALSE)</f>
        <v>Dev</v>
      </c>
      <c r="R35" t="str">
        <f>VLOOKUP(NSGRules[[#This Row],[NSGID]], NSGGroups[], 11, FALSE)</f>
        <v>PreProd2</v>
      </c>
      <c r="S3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'NSG_Users_Tier0_363_SLG_Dev_ia' | Set-AzureNetworkSecurityRule -Name 'All_Internet.Inbound.Deny' -Type Inbound -Priority 100 -Action Deny -SourceAddressPrefix 'INTERNET'  -SourcePortRange '*' -DestinationAddressPrefix '*' -DestinationPortRange '*' -Protocol TCP</v>
      </c>
      <c r="T3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'NSG_Users_Tier0_363_SLG_Dev_ia' | Set-AzureNetworkSecurityGroupToSubnet -VirtualNetworkName $VNETName_PreProd2 -SubnetName 'Users_Tier0_363_SLG_Dev_ia'</v>
      </c>
    </row>
    <row r="36" spans="1:20" hidden="1" x14ac:dyDescent="0.45">
      <c r="A36" t="s">
        <v>1112</v>
      </c>
      <c r="B36" t="s">
        <v>1063</v>
      </c>
      <c r="C36" t="str">
        <f>VLOOKUP(NSGRules[[#This Row],[NSGID]], NSGGroups[], 4, FALSE)</f>
        <v>NSG_Users_Tier1_364_SLG_Dev_ia</v>
      </c>
      <c r="D36" t="str">
        <f>NSGRules[[#This Row],[Application]]&amp;"."&amp;NSGRules[[#This Row],[Type]]&amp;"."&amp;NSGRules[[#This Row],[Action]]</f>
        <v>All_Internet.Inbound.Deny</v>
      </c>
      <c r="E36" t="s">
        <v>1171</v>
      </c>
      <c r="F36" t="s">
        <v>624</v>
      </c>
      <c r="G36">
        <v>100</v>
      </c>
      <c r="H36" t="s">
        <v>1180</v>
      </c>
      <c r="I36" t="s">
        <v>1153</v>
      </c>
      <c r="J36" t="s">
        <v>1154</v>
      </c>
      <c r="K36" t="s">
        <v>1154</v>
      </c>
      <c r="L36" t="s">
        <v>1154</v>
      </c>
      <c r="M36" t="s">
        <v>1155</v>
      </c>
      <c r="N36">
        <f>VLOOKUP(NSGRules[[#This Row],[NSGID]], NSGGroups[], 8, FALSE)</f>
        <v>1</v>
      </c>
      <c r="O36">
        <f>VLOOKUP(NSGRules[[#This Row],[NSGID]], NSGGroups[], 3, FALSE)</f>
        <v>364</v>
      </c>
      <c r="P36" t="str">
        <f>VLOOKUP(NSGRules[[#This Row],[NSGID]], NSGGroups[], 6, FALSE)</f>
        <v>Users_Tier1_364_SLG_Dev_ia</v>
      </c>
      <c r="Q36" t="str">
        <f>VLOOKUP(NSGRules[[#This Row],[NSGID]], NSGGroups[], 12, FALSE)</f>
        <v>Dev</v>
      </c>
      <c r="R36" t="str">
        <f>VLOOKUP(NSGRules[[#This Row],[NSGID]], NSGGroups[], 11, FALSE)</f>
        <v>PreProd2</v>
      </c>
      <c r="S3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'NSG_Users_Tier1_364_SLG_Dev_ia' | Set-AzureNetworkSecurityRule -Name 'All_Internet.Inbound.Deny' -Type Inbound -Priority 100 -Action Deny -SourceAddressPrefix 'INTERNET'  -SourcePortRange '*' -DestinationAddressPrefix '*' -DestinationPortRange '*' -Protocol TCP</v>
      </c>
      <c r="T3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'NSG_Users_Tier1_364_SLG_Dev_ia' | Set-AzureNetworkSecurityGroupToSubnet -VirtualNetworkName $VNETName_PreProd2 -SubnetName 'Users_Tier1_364_SLG_Dev_ia'</v>
      </c>
    </row>
    <row r="37" spans="1:20" hidden="1" x14ac:dyDescent="0.45">
      <c r="A37" t="s">
        <v>1113</v>
      </c>
      <c r="B37" t="s">
        <v>1064</v>
      </c>
      <c r="C37" t="str">
        <f>VLOOKUP(NSGRules[[#This Row],[NSGID]], NSGGroups[], 4, FALSE)</f>
        <v>NSG_Users_Tier2_365_SLG_Dev_ia</v>
      </c>
      <c r="D37" t="str">
        <f>NSGRules[[#This Row],[Application]]&amp;"."&amp;NSGRules[[#This Row],[Type]]&amp;"."&amp;NSGRules[[#This Row],[Action]]</f>
        <v>All_Internet.Inbound.Deny</v>
      </c>
      <c r="E37" t="s">
        <v>1171</v>
      </c>
      <c r="F37" t="s">
        <v>624</v>
      </c>
      <c r="G37">
        <v>100</v>
      </c>
      <c r="H37" t="s">
        <v>1180</v>
      </c>
      <c r="I37" t="s">
        <v>1153</v>
      </c>
      <c r="J37" t="s">
        <v>1154</v>
      </c>
      <c r="K37" t="s">
        <v>1154</v>
      </c>
      <c r="L37" t="s">
        <v>1154</v>
      </c>
      <c r="M37" t="s">
        <v>1155</v>
      </c>
      <c r="N37">
        <f>VLOOKUP(NSGRules[[#This Row],[NSGID]], NSGGroups[], 8, FALSE)</f>
        <v>2</v>
      </c>
      <c r="O37">
        <f>VLOOKUP(NSGRules[[#This Row],[NSGID]], NSGGroups[], 3, FALSE)</f>
        <v>365</v>
      </c>
      <c r="P37" t="str">
        <f>VLOOKUP(NSGRules[[#This Row],[NSGID]], NSGGroups[], 6, FALSE)</f>
        <v>Users_Tier2_365_SLG_Dev_ia</v>
      </c>
      <c r="Q37" t="str">
        <f>VLOOKUP(NSGRules[[#This Row],[NSGID]], NSGGroups[], 12, FALSE)</f>
        <v>Dev</v>
      </c>
      <c r="R37" t="str">
        <f>VLOOKUP(NSGRules[[#This Row],[NSGID]], NSGGroups[], 11, FALSE)</f>
        <v>PreProd2</v>
      </c>
      <c r="S3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'NSG_Users_Tier2_365_SLG_Dev_ia' | Set-AzureNetworkSecurityRule -Name 'All_Internet.Inbound.Deny' -Type Inbound -Priority 100 -Action Deny -SourceAddressPrefix 'INTERNET'  -SourcePortRange '*' -DestinationAddressPrefix '*' -DestinationPortRange '*' -Protocol TCP</v>
      </c>
      <c r="T3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'NSG_Users_Tier2_365_SLG_Dev_ia' | Set-AzureNetworkSecurityGroupToSubnet -VirtualNetworkName $VNETName_PreProd2 -SubnetName 'Users_Tier2_365_SLG_Dev_ia'</v>
      </c>
    </row>
    <row r="38" spans="1:20" hidden="1" x14ac:dyDescent="0.45">
      <c r="A38" t="s">
        <v>1114</v>
      </c>
      <c r="B38" t="s">
        <v>1065</v>
      </c>
      <c r="C38" t="str">
        <f>VLOOKUP(NSGRules[[#This Row],[NSGID]], NSGGroups[], 4, FALSE)</f>
        <v>NSG_Web_410_SLG_Dev_ia</v>
      </c>
      <c r="D38" t="str">
        <f>NSGRules[[#This Row],[Application]]&amp;"."&amp;NSGRules[[#This Row],[Type]]&amp;"."&amp;NSGRules[[#This Row],[Action]]</f>
        <v>All_Internet.Inbound.Deny</v>
      </c>
      <c r="E38" t="s">
        <v>1171</v>
      </c>
      <c r="F38" t="s">
        <v>624</v>
      </c>
      <c r="G38">
        <v>100</v>
      </c>
      <c r="H38" t="s">
        <v>1180</v>
      </c>
      <c r="I38" t="s">
        <v>1153</v>
      </c>
      <c r="J38" t="s">
        <v>1154</v>
      </c>
      <c r="K38" t="s">
        <v>1154</v>
      </c>
      <c r="L38" t="s">
        <v>1154</v>
      </c>
      <c r="M38" t="s">
        <v>1155</v>
      </c>
      <c r="N38">
        <f>VLOOKUP(NSGRules[[#This Row],[NSGID]], NSGGroups[], 8, FALSE)</f>
        <v>2</v>
      </c>
      <c r="O38">
        <f>VLOOKUP(NSGRules[[#This Row],[NSGID]], NSGGroups[], 3, FALSE)</f>
        <v>410</v>
      </c>
      <c r="P38" t="str">
        <f>VLOOKUP(NSGRules[[#This Row],[NSGID]], NSGGroups[], 6, FALSE)</f>
        <v>Web_410_SLG_Dev_ia</v>
      </c>
      <c r="Q38" t="str">
        <f>VLOOKUP(NSGRules[[#This Row],[NSGID]], NSGGroups[], 12, FALSE)</f>
        <v>Dev</v>
      </c>
      <c r="R38" t="str">
        <f>VLOOKUP(NSGRules[[#This Row],[NSGID]], NSGGroups[], 11, FALSE)</f>
        <v>PreProd2</v>
      </c>
      <c r="S3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'NSG_Web_410_SLG_Dev_ia' | Set-AzureNetworkSecurityRule -Name 'All_Internet.Inbound.Deny' -Type Inbound -Priority 100 -Action Deny -SourceAddressPrefix 'INTERNET'  -SourcePortRange '*' -DestinationAddressPrefix '*' -DestinationPortRange '*' -Protocol TCP</v>
      </c>
      <c r="T3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'NSG_Web_410_SLG_Dev_ia' | Set-AzureNetworkSecurityGroupToSubnet -VirtualNetworkName $VNETName_PreProd2 -SubnetName 'Web_410_SLG_Dev_ia'</v>
      </c>
    </row>
    <row r="39" spans="1:20" hidden="1" x14ac:dyDescent="0.45">
      <c r="A39" t="s">
        <v>1115</v>
      </c>
      <c r="B39" t="s">
        <v>1066</v>
      </c>
      <c r="C39" t="str">
        <f>VLOOKUP(NSGRules[[#This Row],[NSGID]], NSGGroups[], 4, FALSE)</f>
        <v>NSG_App_420_SLG_Dev_ia</v>
      </c>
      <c r="D39" t="str">
        <f>NSGRules[[#This Row],[Application]]&amp;"."&amp;NSGRules[[#This Row],[Type]]&amp;"."&amp;NSGRules[[#This Row],[Action]]</f>
        <v>All_Internet.Inbound.Deny</v>
      </c>
      <c r="E39" t="s">
        <v>1171</v>
      </c>
      <c r="F39" t="s">
        <v>624</v>
      </c>
      <c r="G39">
        <v>100</v>
      </c>
      <c r="H39" t="s">
        <v>1180</v>
      </c>
      <c r="I39" t="s">
        <v>1153</v>
      </c>
      <c r="J39" t="s">
        <v>1154</v>
      </c>
      <c r="K39" t="s">
        <v>1154</v>
      </c>
      <c r="L39" t="s">
        <v>1154</v>
      </c>
      <c r="M39" t="s">
        <v>1155</v>
      </c>
      <c r="N39">
        <f>VLOOKUP(NSGRules[[#This Row],[NSGID]], NSGGroups[], 8, FALSE)</f>
        <v>1</v>
      </c>
      <c r="O39">
        <f>VLOOKUP(NSGRules[[#This Row],[NSGID]], NSGGroups[], 3, FALSE)</f>
        <v>420</v>
      </c>
      <c r="P39" t="str">
        <f>VLOOKUP(NSGRules[[#This Row],[NSGID]], NSGGroups[], 6, FALSE)</f>
        <v>App_420_SLG_Dev_ia</v>
      </c>
      <c r="Q39" t="str">
        <f>VLOOKUP(NSGRules[[#This Row],[NSGID]], NSGGroups[], 12, FALSE)</f>
        <v>Dev</v>
      </c>
      <c r="R39" t="str">
        <f>VLOOKUP(NSGRules[[#This Row],[NSGID]], NSGGroups[], 11, FALSE)</f>
        <v>PreProd2</v>
      </c>
      <c r="S3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'NSG_App_420_SLG_Dev_ia' | Set-AzureNetworkSecurityRule -Name 'All_Internet.Inbound.Deny' -Type Inbound -Priority 100 -Action Deny -SourceAddressPrefix 'INTERNET'  -SourcePortRange '*' -DestinationAddressPrefix '*' -DestinationPortRange '*' -Protocol TCP</v>
      </c>
      <c r="T3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'NSG_App_420_SLG_Dev_ia' | Set-AzureNetworkSecurityGroupToSubnet -VirtualNetworkName $VNETName_PreProd2 -SubnetName 'App_420_SLG_Dev_ia'</v>
      </c>
    </row>
    <row r="40" spans="1:20" hidden="1" x14ac:dyDescent="0.45">
      <c r="A40" t="s">
        <v>1116</v>
      </c>
      <c r="B40" t="s">
        <v>1067</v>
      </c>
      <c r="C40" t="str">
        <f>VLOOKUP(NSGRules[[#This Row],[NSGID]], NSGGroups[], 4, FALSE)</f>
        <v>NSG_Database_430_SLG_Dev_ia</v>
      </c>
      <c r="D40" t="str">
        <f>NSGRules[[#This Row],[Application]]&amp;"."&amp;NSGRules[[#This Row],[Type]]&amp;"."&amp;NSGRules[[#This Row],[Action]]</f>
        <v>All_Internet.Inbound.Deny</v>
      </c>
      <c r="E40" t="s">
        <v>1171</v>
      </c>
      <c r="F40" t="s">
        <v>624</v>
      </c>
      <c r="G40">
        <v>100</v>
      </c>
      <c r="H40" t="s">
        <v>1180</v>
      </c>
      <c r="I40" t="s">
        <v>1153</v>
      </c>
      <c r="J40" t="s">
        <v>1154</v>
      </c>
      <c r="K40" t="s">
        <v>1154</v>
      </c>
      <c r="L40" t="s">
        <v>1154</v>
      </c>
      <c r="M40" t="s">
        <v>1155</v>
      </c>
      <c r="N40">
        <f>VLOOKUP(NSGRules[[#This Row],[NSGID]], NSGGroups[], 8, FALSE)</f>
        <v>1</v>
      </c>
      <c r="O40">
        <f>VLOOKUP(NSGRules[[#This Row],[NSGID]], NSGGroups[], 3, FALSE)</f>
        <v>430</v>
      </c>
      <c r="P40" t="str">
        <f>VLOOKUP(NSGRules[[#This Row],[NSGID]], NSGGroups[], 6, FALSE)</f>
        <v>Database_430_SLG_Dev_ia</v>
      </c>
      <c r="Q40" t="str">
        <f>VLOOKUP(NSGRules[[#This Row],[NSGID]], NSGGroups[], 12, FALSE)</f>
        <v>Dev</v>
      </c>
      <c r="R40" t="str">
        <f>VLOOKUP(NSGRules[[#This Row],[NSGID]], NSGGroups[], 11, FALSE)</f>
        <v>PreProd2</v>
      </c>
      <c r="S4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'NSG_Database_430_SLG_Dev_ia' | Set-AzureNetworkSecurityRule -Name 'All_Internet.Inbound.Deny' -Type Inbound -Priority 100 -Action Deny -SourceAddressPrefix 'INTERNET'  -SourcePortRange '*' -DestinationAddressPrefix '*' -DestinationPortRange '*' -Protocol TCP</v>
      </c>
      <c r="T4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'NSG_Database_430_SLG_Dev_ia' | Set-AzureNetworkSecurityGroupToSubnet -VirtualNetworkName $VNETName_PreProd2 -SubnetName 'Database_430_SLG_Dev_ia'</v>
      </c>
    </row>
    <row r="41" spans="1:20" x14ac:dyDescent="0.45">
      <c r="A41" t="s">
        <v>1117</v>
      </c>
      <c r="B41" t="s">
        <v>1068</v>
      </c>
      <c r="C41" t="str">
        <f>VLOOKUP(NSGRules[[#This Row],[NSGID]], NSGGroups[], 4, FALSE)</f>
        <v>NSG_DMZ_450_SLG_Dev_ia</v>
      </c>
      <c r="D41" t="str">
        <f>NSGRules[[#This Row],[Application]]&amp;"."&amp;NSGRules[[#This Row],[Type]]&amp;"."&amp;NSGRules[[#This Row],[Action]]</f>
        <v>All_Internet.Inbound.Allow</v>
      </c>
      <c r="E41" t="s">
        <v>1171</v>
      </c>
      <c r="F41" t="s">
        <v>624</v>
      </c>
      <c r="G41">
        <v>100</v>
      </c>
      <c r="H41" t="s">
        <v>625</v>
      </c>
      <c r="I41" t="s">
        <v>1153</v>
      </c>
      <c r="J41">
        <v>443</v>
      </c>
      <c r="K41" t="str">
        <f>VLOOKUP(NSGRules[[#This Row],[NSGID]], NSGGroups[], 13, FALSE)</f>
        <v>10.130.106.0/24</v>
      </c>
      <c r="L41">
        <v>443</v>
      </c>
      <c r="M41" t="s">
        <v>1155</v>
      </c>
      <c r="N41">
        <f>VLOOKUP(NSGRules[[#This Row],[NSGID]], NSGGroups[], 8, FALSE)</f>
        <v>2</v>
      </c>
      <c r="O41">
        <f>VLOOKUP(NSGRules[[#This Row],[NSGID]], NSGGroups[], 3, FALSE)</f>
        <v>450</v>
      </c>
      <c r="P41" t="str">
        <f>VLOOKUP(NSGRules[[#This Row],[NSGID]], NSGGroups[], 6, FALSE)</f>
        <v>DMZ_450_SLG_Dev_ia</v>
      </c>
      <c r="Q41" t="str">
        <f>VLOOKUP(NSGRules[[#This Row],[NSGID]], NSGGroups[], 12, FALSE)</f>
        <v>Dev</v>
      </c>
      <c r="R41" t="str">
        <f>VLOOKUP(NSGRules[[#This Row],[NSGID]], NSGGroups[], 11, FALSE)</f>
        <v>PreProd2</v>
      </c>
      <c r="S4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'NSG_DMZ_450_SLG_Dev_ia' | Set-AzureNetworkSecurityRule -Name 'All_Internet.Inbound.Allow' -Type Inbound -Priority 100 -Action Allow -SourceAddressPrefix 'INTERNET'  -SourcePortRange '443' -DestinationAddressPrefix '10.130.106.0/24' -DestinationPortRange '443' -Protocol TCP</v>
      </c>
      <c r="T4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'NSG_DMZ_450_SLG_Dev_ia' | Set-AzureNetworkSecurityGroupToSubnet -VirtualNetworkName $VNETName_PreProd2 -SubnetName 'DMZ_450_SLG_Dev_ia'</v>
      </c>
    </row>
    <row r="42" spans="1:20" hidden="1" x14ac:dyDescent="0.45">
      <c r="A42" t="s">
        <v>1118</v>
      </c>
      <c r="B42" t="s">
        <v>1069</v>
      </c>
      <c r="C42" t="str">
        <f>VLOOKUP(NSGRules[[#This Row],[NSGID]], NSGGroups[], 4, FALSE)</f>
        <v>NSG_Web_110_SLG_prod_va</v>
      </c>
      <c r="D42" t="str">
        <f>NSGRules[[#This Row],[Application]]&amp;"."&amp;NSGRules[[#This Row],[Type]]&amp;"."&amp;NSGRules[[#This Row],[Action]]</f>
        <v>All_Internet.Inbound.Deny</v>
      </c>
      <c r="E42" t="s">
        <v>1171</v>
      </c>
      <c r="F42" t="s">
        <v>624</v>
      </c>
      <c r="G42">
        <v>100</v>
      </c>
      <c r="H42" t="s">
        <v>1180</v>
      </c>
      <c r="I42" t="s">
        <v>1153</v>
      </c>
      <c r="J42" t="s">
        <v>1154</v>
      </c>
      <c r="K42" t="s">
        <v>1154</v>
      </c>
      <c r="L42" t="s">
        <v>1154</v>
      </c>
      <c r="M42" t="s">
        <v>1155</v>
      </c>
      <c r="N42">
        <f>VLOOKUP(NSGRules[[#This Row],[NSGID]], NSGGroups[], 8, FALSE)</f>
        <v>2</v>
      </c>
      <c r="O42">
        <f>VLOOKUP(NSGRules[[#This Row],[NSGID]], NSGGroups[], 3, FALSE)</f>
        <v>110</v>
      </c>
      <c r="P42" t="str">
        <f>VLOOKUP(NSGRules[[#This Row],[NSGID]], NSGGroups[], 6, FALSE)</f>
        <v>Web_110_SLG_prod_va</v>
      </c>
      <c r="Q42" t="str">
        <f>VLOOKUP(NSGRules[[#This Row],[NSGID]], NSGGroups[], 12, FALSE)</f>
        <v>prod</v>
      </c>
      <c r="R42" t="str">
        <f>VLOOKUP(NSGRules[[#This Row],[NSGID]], NSGGroups[], 11, FALSE)</f>
        <v>Prod1</v>
      </c>
      <c r="S4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'NSG_Web_110_SLG_prod_va' | Set-AzureNetworkSecurityRule -Name 'All_Internet.Inbound.Deny' -Type Inbound -Priority 100 -Action Deny -SourceAddressPrefix 'INTERNET'  -SourcePortRange '*' -DestinationAddressPrefix '*' -DestinationPortRange '*' -Protocol TCP</v>
      </c>
      <c r="T4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'NSG_Web_110_SLG_prod_va' | Set-AzureNetworkSecurityGroupToSubnet -VirtualNetworkName $VNETName_Prod1 -SubnetName 'Web_110_SLG_prod_va'</v>
      </c>
    </row>
    <row r="43" spans="1:20" hidden="1" x14ac:dyDescent="0.45">
      <c r="A43" t="s">
        <v>1119</v>
      </c>
      <c r="B43" t="s">
        <v>1070</v>
      </c>
      <c r="C43" t="str">
        <f>VLOOKUP(NSGRules[[#This Row],[NSGID]], NSGGroups[], 4, FALSE)</f>
        <v>NSG_App_120_SLG_prod_va</v>
      </c>
      <c r="D43" t="str">
        <f>NSGRules[[#This Row],[Application]]&amp;"."&amp;NSGRules[[#This Row],[Type]]&amp;"."&amp;NSGRules[[#This Row],[Action]]</f>
        <v>All_Internet.Inbound.Deny</v>
      </c>
      <c r="E43" t="s">
        <v>1171</v>
      </c>
      <c r="F43" t="s">
        <v>624</v>
      </c>
      <c r="G43">
        <v>100</v>
      </c>
      <c r="H43" t="s">
        <v>1180</v>
      </c>
      <c r="I43" t="s">
        <v>1153</v>
      </c>
      <c r="J43" t="s">
        <v>1154</v>
      </c>
      <c r="K43" t="s">
        <v>1154</v>
      </c>
      <c r="L43" t="s">
        <v>1154</v>
      </c>
      <c r="M43" t="s">
        <v>1155</v>
      </c>
      <c r="N43">
        <f>VLOOKUP(NSGRules[[#This Row],[NSGID]], NSGGroups[], 8, FALSE)</f>
        <v>1</v>
      </c>
      <c r="O43">
        <f>VLOOKUP(NSGRules[[#This Row],[NSGID]], NSGGroups[], 3, FALSE)</f>
        <v>120</v>
      </c>
      <c r="P43" t="str">
        <f>VLOOKUP(NSGRules[[#This Row],[NSGID]], NSGGroups[], 6, FALSE)</f>
        <v>App_120_SLG_prod_va</v>
      </c>
      <c r="Q43" t="str">
        <f>VLOOKUP(NSGRules[[#This Row],[NSGID]], NSGGroups[], 12, FALSE)</f>
        <v>prod</v>
      </c>
      <c r="R43" t="str">
        <f>VLOOKUP(NSGRules[[#This Row],[NSGID]], NSGGroups[], 11, FALSE)</f>
        <v>Prod1</v>
      </c>
      <c r="S4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'NSG_App_120_SLG_prod_va' | Set-AzureNetworkSecurityRule -Name 'All_Internet.Inbound.Deny' -Type Inbound -Priority 100 -Action Deny -SourceAddressPrefix 'INTERNET'  -SourcePortRange '*' -DestinationAddressPrefix '*' -DestinationPortRange '*' -Protocol TCP</v>
      </c>
      <c r="T4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'NSG_App_120_SLG_prod_va' | Set-AzureNetworkSecurityGroupToSubnet -VirtualNetworkName $VNETName_Prod1 -SubnetName 'App_120_SLG_prod_va'</v>
      </c>
    </row>
    <row r="44" spans="1:20" hidden="1" x14ac:dyDescent="0.45">
      <c r="A44" t="s">
        <v>1120</v>
      </c>
      <c r="B44" t="s">
        <v>1071</v>
      </c>
      <c r="C44" t="str">
        <f>VLOOKUP(NSGRules[[#This Row],[NSGID]], NSGGroups[], 4, FALSE)</f>
        <v>NSG_Database_130_SLG_prod_va</v>
      </c>
      <c r="D44" t="str">
        <f>NSGRules[[#This Row],[Application]]&amp;"."&amp;NSGRules[[#This Row],[Type]]&amp;"."&amp;NSGRules[[#This Row],[Action]]</f>
        <v>All_Internet.Inbound.Deny</v>
      </c>
      <c r="E44" t="s">
        <v>1171</v>
      </c>
      <c r="F44" t="s">
        <v>624</v>
      </c>
      <c r="G44">
        <v>100</v>
      </c>
      <c r="H44" t="s">
        <v>1180</v>
      </c>
      <c r="I44" t="s">
        <v>1153</v>
      </c>
      <c r="J44" t="s">
        <v>1154</v>
      </c>
      <c r="K44" t="s">
        <v>1154</v>
      </c>
      <c r="L44" t="s">
        <v>1154</v>
      </c>
      <c r="M44" t="s">
        <v>1155</v>
      </c>
      <c r="N44">
        <f>VLOOKUP(NSGRules[[#This Row],[NSGID]], NSGGroups[], 8, FALSE)</f>
        <v>1</v>
      </c>
      <c r="O44">
        <f>VLOOKUP(NSGRules[[#This Row],[NSGID]], NSGGroups[], 3, FALSE)</f>
        <v>130</v>
      </c>
      <c r="P44" t="str">
        <f>VLOOKUP(NSGRules[[#This Row],[NSGID]], NSGGroups[], 6, FALSE)</f>
        <v>Database_130_SLG_prod_va</v>
      </c>
      <c r="Q44" t="str">
        <f>VLOOKUP(NSGRules[[#This Row],[NSGID]], NSGGroups[], 12, FALSE)</f>
        <v>prod</v>
      </c>
      <c r="R44" t="str">
        <f>VLOOKUP(NSGRules[[#This Row],[NSGID]], NSGGroups[], 11, FALSE)</f>
        <v>Prod1</v>
      </c>
      <c r="S4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'NSG_Database_130_SLG_prod_va' | Set-AzureNetworkSecurityRule -Name 'All_Internet.Inbound.Deny' -Type Inbound -Priority 100 -Action Deny -SourceAddressPrefix 'INTERNET'  -SourcePortRange '*' -DestinationAddressPrefix '*' -DestinationPortRange '*' -Protocol TCP</v>
      </c>
      <c r="T4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'NSG_Database_130_SLG_prod_va' | Set-AzureNetworkSecurityGroupToSubnet -VirtualNetworkName $VNETName_Prod1 -SubnetName 'Database_130_SLG_prod_va'</v>
      </c>
    </row>
    <row r="45" spans="1:20" x14ac:dyDescent="0.45">
      <c r="A45" t="s">
        <v>1121</v>
      </c>
      <c r="B45" t="s">
        <v>1072</v>
      </c>
      <c r="C45" t="str">
        <f>VLOOKUP(NSGRules[[#This Row],[NSGID]], NSGGroups[], 4, FALSE)</f>
        <v>NSG_DMZ_150_SLG_prod_va</v>
      </c>
      <c r="D45" t="str">
        <f>NSGRules[[#This Row],[Application]]&amp;"."&amp;NSGRules[[#This Row],[Type]]&amp;"."&amp;NSGRules[[#This Row],[Action]]</f>
        <v>All_Internet.Inbound.Allow</v>
      </c>
      <c r="E45" t="s">
        <v>1171</v>
      </c>
      <c r="F45" t="s">
        <v>624</v>
      </c>
      <c r="G45">
        <v>100</v>
      </c>
      <c r="H45" t="s">
        <v>625</v>
      </c>
      <c r="I45" t="s">
        <v>1153</v>
      </c>
      <c r="J45">
        <v>443</v>
      </c>
      <c r="K45" t="str">
        <f>VLOOKUP(NSGRules[[#This Row],[NSGID]], NSGGroups[], 13, FALSE)</f>
        <v>10.130.8.0/24</v>
      </c>
      <c r="L45">
        <v>443</v>
      </c>
      <c r="M45" t="s">
        <v>1155</v>
      </c>
      <c r="N45">
        <f>VLOOKUP(NSGRules[[#This Row],[NSGID]], NSGGroups[], 8, FALSE)</f>
        <v>2</v>
      </c>
      <c r="O45">
        <f>VLOOKUP(NSGRules[[#This Row],[NSGID]], NSGGroups[], 3, FALSE)</f>
        <v>150</v>
      </c>
      <c r="P45" t="str">
        <f>VLOOKUP(NSGRules[[#This Row],[NSGID]], NSGGroups[], 6, FALSE)</f>
        <v>DMZ_150_SLG_prod_va</v>
      </c>
      <c r="Q45" t="str">
        <f>VLOOKUP(NSGRules[[#This Row],[NSGID]], NSGGroups[], 12, FALSE)</f>
        <v>prod</v>
      </c>
      <c r="R45" t="str">
        <f>VLOOKUP(NSGRules[[#This Row],[NSGID]], NSGGroups[], 11, FALSE)</f>
        <v>Prod1</v>
      </c>
      <c r="S4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'NSG_DMZ_150_SLG_prod_va' | Set-AzureNetworkSecurityRule -Name 'All_Internet.Inbound.Allow' -Type Inbound -Priority 100 -Action Allow -SourceAddressPrefix 'INTERNET'  -SourcePortRange '443' -DestinationAddressPrefix '10.130.8.0/24' -DestinationPortRange '443' -Protocol TCP</v>
      </c>
      <c r="T4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'NSG_DMZ_150_SLG_prod_va' | Set-AzureNetworkSecurityGroupToSubnet -VirtualNetworkName $VNETName_Prod1 -SubnetName 'DMZ_150_SLG_prod_va'</v>
      </c>
    </row>
    <row r="46" spans="1:20" hidden="1" x14ac:dyDescent="0.45">
      <c r="A46" t="s">
        <v>1122</v>
      </c>
      <c r="B46" t="s">
        <v>1073</v>
      </c>
      <c r="C46" t="str">
        <f>VLOOKUP(NSGRules[[#This Row],[NSGID]], NSGGroups[], 4, FALSE)</f>
        <v>NSG_User_Tier0_160_SLG_prod_va</v>
      </c>
      <c r="D46" t="str">
        <f>NSGRules[[#This Row],[Application]]&amp;"."&amp;NSGRules[[#This Row],[Type]]&amp;"."&amp;NSGRules[[#This Row],[Action]]</f>
        <v>All_Internet.Inbound.Deny</v>
      </c>
      <c r="E46" t="s">
        <v>1171</v>
      </c>
      <c r="F46" t="s">
        <v>624</v>
      </c>
      <c r="G46">
        <v>100</v>
      </c>
      <c r="H46" t="s">
        <v>1180</v>
      </c>
      <c r="I46" t="s">
        <v>1153</v>
      </c>
      <c r="J46" t="s">
        <v>1154</v>
      </c>
      <c r="K46" t="s">
        <v>1154</v>
      </c>
      <c r="L46" t="s">
        <v>1154</v>
      </c>
      <c r="M46" t="s">
        <v>1155</v>
      </c>
      <c r="N46">
        <f>VLOOKUP(NSGRules[[#This Row],[NSGID]], NSGGroups[], 8, FALSE)</f>
        <v>0</v>
      </c>
      <c r="O46">
        <f>VLOOKUP(NSGRules[[#This Row],[NSGID]], NSGGroups[], 3, FALSE)</f>
        <v>160</v>
      </c>
      <c r="P46" t="str">
        <f>VLOOKUP(NSGRules[[#This Row],[NSGID]], NSGGroups[], 6, FALSE)</f>
        <v>User_Tier0_160_SLG_prod_va</v>
      </c>
      <c r="Q46" t="str">
        <f>VLOOKUP(NSGRules[[#This Row],[NSGID]], NSGGroups[], 12, FALSE)</f>
        <v>prod</v>
      </c>
      <c r="R46" t="str">
        <f>VLOOKUP(NSGRules[[#This Row],[NSGID]], NSGGroups[], 11, FALSE)</f>
        <v>Prod1</v>
      </c>
      <c r="S4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'NSG_User_Tier0_160_SLG_prod_va' | Set-AzureNetworkSecurityRule -Name 'All_Internet.Inbound.Deny' -Type Inbound -Priority 100 -Action Deny -SourceAddressPrefix 'INTERNET'  -SourcePortRange '*' -DestinationAddressPrefix '*' -DestinationPortRange '*' -Protocol TCP</v>
      </c>
      <c r="T4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'NSG_User_Tier0_160_SLG_prod_va' | Set-AzureNetworkSecurityGroupToSubnet -VirtualNetworkName $VNETName_Prod1 -SubnetName 'User_Tier0_160_SLG_prod_va'</v>
      </c>
    </row>
    <row r="47" spans="1:20" hidden="1" x14ac:dyDescent="0.45">
      <c r="A47" t="s">
        <v>1123</v>
      </c>
      <c r="B47" t="s">
        <v>1074</v>
      </c>
      <c r="C47" t="str">
        <f>VLOOKUP(NSGRules[[#This Row],[NSGID]], NSGGroups[], 4, FALSE)</f>
        <v>NSG_Users_Tier1_161_SLG_prod_va</v>
      </c>
      <c r="D47" t="str">
        <f>NSGRules[[#This Row],[Application]]&amp;"."&amp;NSGRules[[#This Row],[Type]]&amp;"."&amp;NSGRules[[#This Row],[Action]]</f>
        <v>All_Internet.Inbound.Deny</v>
      </c>
      <c r="E47" t="s">
        <v>1171</v>
      </c>
      <c r="F47" t="s">
        <v>624</v>
      </c>
      <c r="G47">
        <v>100</v>
      </c>
      <c r="H47" t="s">
        <v>1180</v>
      </c>
      <c r="I47" t="s">
        <v>1153</v>
      </c>
      <c r="J47" t="s">
        <v>1154</v>
      </c>
      <c r="K47" t="s">
        <v>1154</v>
      </c>
      <c r="L47" t="s">
        <v>1154</v>
      </c>
      <c r="M47" t="s">
        <v>1155</v>
      </c>
      <c r="N47">
        <f>VLOOKUP(NSGRules[[#This Row],[NSGID]], NSGGroups[], 8, FALSE)</f>
        <v>1</v>
      </c>
      <c r="O47">
        <f>VLOOKUP(NSGRules[[#This Row],[NSGID]], NSGGroups[], 3, FALSE)</f>
        <v>161</v>
      </c>
      <c r="P47" t="str">
        <f>VLOOKUP(NSGRules[[#This Row],[NSGID]], NSGGroups[], 6, FALSE)</f>
        <v>Users_Tier1_161_SLG_prod_va</v>
      </c>
      <c r="Q47" t="str">
        <f>VLOOKUP(NSGRules[[#This Row],[NSGID]], NSGGroups[], 12, FALSE)</f>
        <v>prod</v>
      </c>
      <c r="R47" t="str">
        <f>VLOOKUP(NSGRules[[#This Row],[NSGID]], NSGGroups[], 11, FALSE)</f>
        <v>Prod1</v>
      </c>
      <c r="S4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'NSG_Users_Tier1_161_SLG_prod_va' | Set-AzureNetworkSecurityRule -Name 'All_Internet.Inbound.Deny' -Type Inbound -Priority 100 -Action Deny -SourceAddressPrefix 'INTERNET'  -SourcePortRange '*' -DestinationAddressPrefix '*' -DestinationPortRange '*' -Protocol TCP</v>
      </c>
      <c r="T4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'NSG_Users_Tier1_161_SLG_prod_va' | Set-AzureNetworkSecurityGroupToSubnet -VirtualNetworkName $VNETName_Prod1 -SubnetName 'Users_Tier1_161_SLG_prod_va'</v>
      </c>
    </row>
    <row r="48" spans="1:20" hidden="1" x14ac:dyDescent="0.45">
      <c r="A48" t="s">
        <v>1124</v>
      </c>
      <c r="B48" t="s">
        <v>1075</v>
      </c>
      <c r="C48" t="str">
        <f>VLOOKUP(NSGRules[[#This Row],[NSGID]], NSGGroups[], 4, FALSE)</f>
        <v>NSG_Users_Tier2_162_SLG_prod_va</v>
      </c>
      <c r="D48" t="str">
        <f>NSGRules[[#This Row],[Application]]&amp;"."&amp;NSGRules[[#This Row],[Type]]&amp;"."&amp;NSGRules[[#This Row],[Action]]</f>
        <v>All_Internet.Inbound.Deny</v>
      </c>
      <c r="E48" t="s">
        <v>1171</v>
      </c>
      <c r="F48" t="s">
        <v>624</v>
      </c>
      <c r="G48">
        <v>100</v>
      </c>
      <c r="H48" t="s">
        <v>1180</v>
      </c>
      <c r="I48" t="s">
        <v>1153</v>
      </c>
      <c r="J48" t="s">
        <v>1154</v>
      </c>
      <c r="K48" t="s">
        <v>1154</v>
      </c>
      <c r="L48" t="s">
        <v>1154</v>
      </c>
      <c r="M48" t="s">
        <v>1155</v>
      </c>
      <c r="N48">
        <f>VLOOKUP(NSGRules[[#This Row],[NSGID]], NSGGroups[], 8, FALSE)</f>
        <v>2</v>
      </c>
      <c r="O48">
        <f>VLOOKUP(NSGRules[[#This Row],[NSGID]], NSGGroups[], 3, FALSE)</f>
        <v>162</v>
      </c>
      <c r="P48" t="str">
        <f>VLOOKUP(NSGRules[[#This Row],[NSGID]], NSGGroups[], 6, FALSE)</f>
        <v>Users_Tier2_162_SLG_prod_va</v>
      </c>
      <c r="Q48" t="str">
        <f>VLOOKUP(NSGRules[[#This Row],[NSGID]], NSGGroups[], 12, FALSE)</f>
        <v>prod</v>
      </c>
      <c r="R48" t="str">
        <f>VLOOKUP(NSGRules[[#This Row],[NSGID]], NSGGroups[], 11, FALSE)</f>
        <v>Prod1</v>
      </c>
      <c r="S4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'NSG_Users_Tier2_162_SLG_prod_va' | Set-AzureNetworkSecurityRule -Name 'All_Internet.Inbound.Deny' -Type Inbound -Priority 100 -Action Deny -SourceAddressPrefix 'INTERNET'  -SourcePortRange '*' -DestinationAddressPrefix '*' -DestinationPortRange '*' -Protocol TCP</v>
      </c>
      <c r="T4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'NSG_Users_Tier2_162_SLG_prod_va' | Set-AzureNetworkSecurityGroupToSubnet -VirtualNetworkName $VNETName_Prod1 -SubnetName 'Users_Tier2_162_SLG_prod_va'</v>
      </c>
    </row>
    <row r="49" spans="1:20" hidden="1" x14ac:dyDescent="0.45">
      <c r="A49" t="s">
        <v>1125</v>
      </c>
      <c r="B49" t="s">
        <v>1076</v>
      </c>
      <c r="C49" t="str">
        <f>VLOOKUP(NSGRules[[#This Row],[NSGID]], NSGGroups[], 4, FALSE)</f>
        <v>NSG_Web_110_SLG_prod_ia</v>
      </c>
      <c r="D49" t="str">
        <f>NSGRules[[#This Row],[Application]]&amp;"."&amp;NSGRules[[#This Row],[Type]]&amp;"."&amp;NSGRules[[#This Row],[Action]]</f>
        <v>All_Internet.Inbound.Deny</v>
      </c>
      <c r="E49" t="s">
        <v>1171</v>
      </c>
      <c r="F49" t="s">
        <v>624</v>
      </c>
      <c r="G49">
        <v>100</v>
      </c>
      <c r="H49" t="s">
        <v>1180</v>
      </c>
      <c r="I49" t="s">
        <v>1153</v>
      </c>
      <c r="J49" t="s">
        <v>1154</v>
      </c>
      <c r="K49" t="s">
        <v>1154</v>
      </c>
      <c r="L49" t="s">
        <v>1154</v>
      </c>
      <c r="M49" t="s">
        <v>1155</v>
      </c>
      <c r="N49">
        <f>VLOOKUP(NSGRules[[#This Row],[NSGID]], NSGGroups[], 8, FALSE)</f>
        <v>2</v>
      </c>
      <c r="O49">
        <f>VLOOKUP(NSGRules[[#This Row],[NSGID]], NSGGroups[], 3, FALSE)</f>
        <v>110</v>
      </c>
      <c r="P49" t="str">
        <f>VLOOKUP(NSGRules[[#This Row],[NSGID]], NSGGroups[], 6, FALSE)</f>
        <v>Web_110_SLG_prod_ia</v>
      </c>
      <c r="Q49" t="str">
        <f>VLOOKUP(NSGRules[[#This Row],[NSGID]], NSGGroups[], 12, FALSE)</f>
        <v>prod</v>
      </c>
      <c r="R49" t="str">
        <f>VLOOKUP(NSGRules[[#This Row],[NSGID]], NSGGroups[], 11, FALSE)</f>
        <v>Prod2</v>
      </c>
      <c r="S4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'NSG_Web_110_SLG_prod_ia' | Set-AzureNetworkSecurityRule -Name 'All_Internet.Inbound.Deny' -Type Inbound -Priority 100 -Action Deny -SourceAddressPrefix 'INTERNET'  -SourcePortRange '*' -DestinationAddressPrefix '*' -DestinationPortRange '*' -Protocol TCP</v>
      </c>
      <c r="T4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'NSG_Web_110_SLG_prod_ia' | Set-AzureNetworkSecurityGroupToSubnet -VirtualNetworkName $VNETName_Prod2 -SubnetName 'Web_110_SLG_prod_ia'</v>
      </c>
    </row>
    <row r="50" spans="1:20" hidden="1" x14ac:dyDescent="0.45">
      <c r="A50" t="s">
        <v>1126</v>
      </c>
      <c r="B50" t="s">
        <v>1077</v>
      </c>
      <c r="C50" t="str">
        <f>VLOOKUP(NSGRules[[#This Row],[NSGID]], NSGGroups[], 4, FALSE)</f>
        <v>NSG_App_120_SLG_prod_ia</v>
      </c>
      <c r="D50" t="str">
        <f>NSGRules[[#This Row],[Application]]&amp;"."&amp;NSGRules[[#This Row],[Type]]&amp;"."&amp;NSGRules[[#This Row],[Action]]</f>
        <v>All_Internet.Inbound.Deny</v>
      </c>
      <c r="E50" t="s">
        <v>1171</v>
      </c>
      <c r="F50" t="s">
        <v>624</v>
      </c>
      <c r="G50">
        <v>100</v>
      </c>
      <c r="H50" t="s">
        <v>1180</v>
      </c>
      <c r="I50" t="s">
        <v>1153</v>
      </c>
      <c r="J50" t="s">
        <v>1154</v>
      </c>
      <c r="K50" t="s">
        <v>1154</v>
      </c>
      <c r="L50" t="s">
        <v>1154</v>
      </c>
      <c r="M50" t="s">
        <v>1155</v>
      </c>
      <c r="N50">
        <f>VLOOKUP(NSGRules[[#This Row],[NSGID]], NSGGroups[], 8, FALSE)</f>
        <v>1</v>
      </c>
      <c r="O50">
        <f>VLOOKUP(NSGRules[[#This Row],[NSGID]], NSGGroups[], 3, FALSE)</f>
        <v>120</v>
      </c>
      <c r="P50" t="str">
        <f>VLOOKUP(NSGRules[[#This Row],[NSGID]], NSGGroups[], 6, FALSE)</f>
        <v>App_120_SLG_prod_ia</v>
      </c>
      <c r="Q50" t="str">
        <f>VLOOKUP(NSGRules[[#This Row],[NSGID]], NSGGroups[], 12, FALSE)</f>
        <v>prod</v>
      </c>
      <c r="R50" t="str">
        <f>VLOOKUP(NSGRules[[#This Row],[NSGID]], NSGGroups[], 11, FALSE)</f>
        <v>Prod2</v>
      </c>
      <c r="S5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'NSG_App_120_SLG_prod_ia' | Set-AzureNetworkSecurityRule -Name 'All_Internet.Inbound.Deny' -Type Inbound -Priority 100 -Action Deny -SourceAddressPrefix 'INTERNET'  -SourcePortRange '*' -DestinationAddressPrefix '*' -DestinationPortRange '*' -Protocol TCP</v>
      </c>
      <c r="T5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'NSG_App_120_SLG_prod_ia' | Set-AzureNetworkSecurityGroupToSubnet -VirtualNetworkName $VNETName_Prod2 -SubnetName 'App_120_SLG_prod_ia'</v>
      </c>
    </row>
    <row r="51" spans="1:20" hidden="1" x14ac:dyDescent="0.45">
      <c r="A51" t="s">
        <v>1127</v>
      </c>
      <c r="B51" t="s">
        <v>1078</v>
      </c>
      <c r="C51" t="str">
        <f>VLOOKUP(NSGRules[[#This Row],[NSGID]], NSGGroups[], 4, FALSE)</f>
        <v>NSG_Database_130_SLG_prod_ia</v>
      </c>
      <c r="D51" t="str">
        <f>NSGRules[[#This Row],[Application]]&amp;"."&amp;NSGRules[[#This Row],[Type]]&amp;"."&amp;NSGRules[[#This Row],[Action]]</f>
        <v>All_Internet.Inbound.Deny</v>
      </c>
      <c r="E51" t="s">
        <v>1171</v>
      </c>
      <c r="F51" t="s">
        <v>624</v>
      </c>
      <c r="G51">
        <v>100</v>
      </c>
      <c r="H51" t="s">
        <v>1180</v>
      </c>
      <c r="I51" t="s">
        <v>1153</v>
      </c>
      <c r="J51" t="s">
        <v>1154</v>
      </c>
      <c r="K51" t="s">
        <v>1154</v>
      </c>
      <c r="L51" t="s">
        <v>1154</v>
      </c>
      <c r="M51" t="s">
        <v>1155</v>
      </c>
      <c r="N51">
        <f>VLOOKUP(NSGRules[[#This Row],[NSGID]], NSGGroups[], 8, FALSE)</f>
        <v>1</v>
      </c>
      <c r="O51">
        <f>VLOOKUP(NSGRules[[#This Row],[NSGID]], NSGGroups[], 3, FALSE)</f>
        <v>130</v>
      </c>
      <c r="P51" t="str">
        <f>VLOOKUP(NSGRules[[#This Row],[NSGID]], NSGGroups[], 6, FALSE)</f>
        <v>Database_130_SLG_prod_ia</v>
      </c>
      <c r="Q51" t="str">
        <f>VLOOKUP(NSGRules[[#This Row],[NSGID]], NSGGroups[], 12, FALSE)</f>
        <v>prod</v>
      </c>
      <c r="R51" t="str">
        <f>VLOOKUP(NSGRules[[#This Row],[NSGID]], NSGGroups[], 11, FALSE)</f>
        <v>Prod2</v>
      </c>
      <c r="S5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'NSG_Database_130_SLG_prod_ia' | Set-AzureNetworkSecurityRule -Name 'All_Internet.Inbound.Deny' -Type Inbound -Priority 100 -Action Deny -SourceAddressPrefix 'INTERNET'  -SourcePortRange '*' -DestinationAddressPrefix '*' -DestinationPortRange '*' -Protocol TCP</v>
      </c>
      <c r="T5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'NSG_Database_130_SLG_prod_ia' | Set-AzureNetworkSecurityGroupToSubnet -VirtualNetworkName $VNETName_Prod2 -SubnetName 'Database_130_SLG_prod_ia'</v>
      </c>
    </row>
    <row r="52" spans="1:20" x14ac:dyDescent="0.45">
      <c r="A52" t="s">
        <v>1128</v>
      </c>
      <c r="B52" t="s">
        <v>1079</v>
      </c>
      <c r="C52" t="str">
        <f>VLOOKUP(NSGRules[[#This Row],[NSGID]], NSGGroups[], 4, FALSE)</f>
        <v>NSG_DMZ_150_SLG_prod_ia</v>
      </c>
      <c r="D52" t="str">
        <f>NSGRules[[#This Row],[Application]]&amp;"."&amp;NSGRules[[#This Row],[Type]]&amp;"."&amp;NSGRules[[#This Row],[Action]]</f>
        <v>All_Internet.Inbound.Allow</v>
      </c>
      <c r="E52" t="s">
        <v>1171</v>
      </c>
      <c r="F52" t="s">
        <v>624</v>
      </c>
      <c r="G52">
        <v>100</v>
      </c>
      <c r="H52" t="s">
        <v>625</v>
      </c>
      <c r="I52" t="s">
        <v>1153</v>
      </c>
      <c r="J52">
        <v>443</v>
      </c>
      <c r="K52" t="str">
        <f>VLOOKUP(NSGRules[[#This Row],[NSGID]], NSGGroups[], 13, FALSE)</f>
        <v>10.130.70.0/24</v>
      </c>
      <c r="L52">
        <v>443</v>
      </c>
      <c r="M52" t="s">
        <v>1155</v>
      </c>
      <c r="N52">
        <f>VLOOKUP(NSGRules[[#This Row],[NSGID]], NSGGroups[], 8, FALSE)</f>
        <v>2</v>
      </c>
      <c r="O52">
        <f>VLOOKUP(NSGRules[[#This Row],[NSGID]], NSGGroups[], 3, FALSE)</f>
        <v>150</v>
      </c>
      <c r="P52" t="str">
        <f>VLOOKUP(NSGRules[[#This Row],[NSGID]], NSGGroups[], 6, FALSE)</f>
        <v>DMZ_150_SLG_prod_ia</v>
      </c>
      <c r="Q52" t="str">
        <f>VLOOKUP(NSGRules[[#This Row],[NSGID]], NSGGroups[], 12, FALSE)</f>
        <v>prod</v>
      </c>
      <c r="R52" t="str">
        <f>VLOOKUP(NSGRules[[#This Row],[NSGID]], NSGGroups[], 11, FALSE)</f>
        <v>Prod2</v>
      </c>
      <c r="S5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'NSG_DMZ_150_SLG_prod_ia' | Set-AzureNetworkSecurityRule -Name 'All_Internet.Inbound.Allow' -Type Inbound -Priority 100 -Action Allow -SourceAddressPrefix 'INTERNET'  -SourcePortRange '443' -DestinationAddressPrefix '10.130.70.0/24' -DestinationPortRange '443' -Protocol TCP</v>
      </c>
      <c r="T5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'NSG_DMZ_150_SLG_prod_ia' | Set-AzureNetworkSecurityGroupToSubnet -VirtualNetworkName $VNETName_Prod2 -SubnetName 'DMZ_150_SLG_prod_ia'</v>
      </c>
    </row>
    <row r="53" spans="1:20" hidden="1" x14ac:dyDescent="0.45">
      <c r="A53" t="s">
        <v>1129</v>
      </c>
      <c r="B53" t="s">
        <v>1080</v>
      </c>
      <c r="C53" t="str">
        <f>VLOOKUP(NSGRules[[#This Row],[NSGID]], NSGGroups[], 4, FALSE)</f>
        <v>NSG_User_Tier0_160_SLG_prod_ia</v>
      </c>
      <c r="D53" t="str">
        <f>NSGRules[[#This Row],[Application]]&amp;"."&amp;NSGRules[[#This Row],[Type]]&amp;"."&amp;NSGRules[[#This Row],[Action]]</f>
        <v>All_Internet.Inbound.Deny</v>
      </c>
      <c r="E53" t="s">
        <v>1171</v>
      </c>
      <c r="F53" t="s">
        <v>624</v>
      </c>
      <c r="G53">
        <v>100</v>
      </c>
      <c r="H53" t="s">
        <v>1180</v>
      </c>
      <c r="I53" t="s">
        <v>1153</v>
      </c>
      <c r="J53" t="s">
        <v>1154</v>
      </c>
      <c r="K53" t="s">
        <v>1154</v>
      </c>
      <c r="L53" t="s">
        <v>1154</v>
      </c>
      <c r="M53" t="s">
        <v>1155</v>
      </c>
      <c r="N53">
        <f>VLOOKUP(NSGRules[[#This Row],[NSGID]], NSGGroups[], 8, FALSE)</f>
        <v>0</v>
      </c>
      <c r="O53">
        <f>VLOOKUP(NSGRules[[#This Row],[NSGID]], NSGGroups[], 3, FALSE)</f>
        <v>160</v>
      </c>
      <c r="P53" t="str">
        <f>VLOOKUP(NSGRules[[#This Row],[NSGID]], NSGGroups[], 6, FALSE)</f>
        <v>User_Tier0_160_SLG_prod_ia</v>
      </c>
      <c r="Q53" t="str">
        <f>VLOOKUP(NSGRules[[#This Row],[NSGID]], NSGGroups[], 12, FALSE)</f>
        <v>prod</v>
      </c>
      <c r="R53" t="str">
        <f>VLOOKUP(NSGRules[[#This Row],[NSGID]], NSGGroups[], 11, FALSE)</f>
        <v>Prod2</v>
      </c>
      <c r="S5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'NSG_User_Tier0_160_SLG_prod_ia' | Set-AzureNetworkSecurityRule -Name 'All_Internet.Inbound.Deny' -Type Inbound -Priority 100 -Action Deny -SourceAddressPrefix 'INTERNET'  -SourcePortRange '*' -DestinationAddressPrefix '*' -DestinationPortRange '*' -Protocol TCP</v>
      </c>
      <c r="T5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'NSG_User_Tier0_160_SLG_prod_ia' | Set-AzureNetworkSecurityGroupToSubnet -VirtualNetworkName $VNETName_Prod2 -SubnetName 'User_Tier0_160_SLG_prod_ia'</v>
      </c>
    </row>
    <row r="54" spans="1:20" hidden="1" x14ac:dyDescent="0.45">
      <c r="A54" t="s">
        <v>1130</v>
      </c>
      <c r="B54" t="s">
        <v>1081</v>
      </c>
      <c r="C54" t="str">
        <f>VLOOKUP(NSGRules[[#This Row],[NSGID]], NSGGroups[], 4, FALSE)</f>
        <v>NSG_Users_Tier1_161_SLG_prod_ia</v>
      </c>
      <c r="D54" t="str">
        <f>NSGRules[[#This Row],[Application]]&amp;"."&amp;NSGRules[[#This Row],[Type]]&amp;"."&amp;NSGRules[[#This Row],[Action]]</f>
        <v>All_Internet.Inbound.Deny</v>
      </c>
      <c r="E54" t="s">
        <v>1171</v>
      </c>
      <c r="F54" t="s">
        <v>624</v>
      </c>
      <c r="G54">
        <v>100</v>
      </c>
      <c r="H54" t="s">
        <v>1180</v>
      </c>
      <c r="I54" t="s">
        <v>1153</v>
      </c>
      <c r="J54" t="s">
        <v>1154</v>
      </c>
      <c r="K54" t="s">
        <v>1154</v>
      </c>
      <c r="L54" t="s">
        <v>1154</v>
      </c>
      <c r="M54" t="s">
        <v>1155</v>
      </c>
      <c r="N54">
        <f>VLOOKUP(NSGRules[[#This Row],[NSGID]], NSGGroups[], 8, FALSE)</f>
        <v>1</v>
      </c>
      <c r="O54">
        <f>VLOOKUP(NSGRules[[#This Row],[NSGID]], NSGGroups[], 3, FALSE)</f>
        <v>161</v>
      </c>
      <c r="P54" t="str">
        <f>VLOOKUP(NSGRules[[#This Row],[NSGID]], NSGGroups[], 6, FALSE)</f>
        <v>Users_Tier1_161_SLG_prod_ia</v>
      </c>
      <c r="Q54" t="str">
        <f>VLOOKUP(NSGRules[[#This Row],[NSGID]], NSGGroups[], 12, FALSE)</f>
        <v>prod</v>
      </c>
      <c r="R54" t="str">
        <f>VLOOKUP(NSGRules[[#This Row],[NSGID]], NSGGroups[], 11, FALSE)</f>
        <v>Prod2</v>
      </c>
      <c r="S5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'NSG_Users_Tier1_161_SLG_prod_ia' | Set-AzureNetworkSecurityRule -Name 'All_Internet.Inbound.Deny' -Type Inbound -Priority 100 -Action Deny -SourceAddressPrefix 'INTERNET'  -SourcePortRange '*' -DestinationAddressPrefix '*' -DestinationPortRange '*' -Protocol TCP</v>
      </c>
      <c r="T5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'NSG_Users_Tier1_161_SLG_prod_ia' | Set-AzureNetworkSecurityGroupToSubnet -VirtualNetworkName $VNETName_Prod2 -SubnetName 'Users_Tier1_161_SLG_prod_ia'</v>
      </c>
    </row>
    <row r="55" spans="1:20" hidden="1" x14ac:dyDescent="0.45">
      <c r="A55" t="s">
        <v>1131</v>
      </c>
      <c r="B55" t="s">
        <v>1082</v>
      </c>
      <c r="C55" t="str">
        <f>VLOOKUP(NSGRules[[#This Row],[NSGID]], NSGGroups[], 4, FALSE)</f>
        <v>NSG_Users_Tier2_162_SLG_prod_ia</v>
      </c>
      <c r="D55" t="str">
        <f>NSGRules[[#This Row],[Application]]&amp;"."&amp;NSGRules[[#This Row],[Type]]&amp;"."&amp;NSGRules[[#This Row],[Action]]</f>
        <v>All_Internet.Inbound.Deny</v>
      </c>
      <c r="E55" t="s">
        <v>1171</v>
      </c>
      <c r="F55" t="s">
        <v>624</v>
      </c>
      <c r="G55">
        <v>100</v>
      </c>
      <c r="H55" t="s">
        <v>1180</v>
      </c>
      <c r="I55" t="s">
        <v>1153</v>
      </c>
      <c r="J55" t="s">
        <v>1154</v>
      </c>
      <c r="K55" t="s">
        <v>1154</v>
      </c>
      <c r="L55" t="s">
        <v>1154</v>
      </c>
      <c r="M55" t="s">
        <v>1155</v>
      </c>
      <c r="N55">
        <f>VLOOKUP(NSGRules[[#This Row],[NSGID]], NSGGroups[], 8, FALSE)</f>
        <v>2</v>
      </c>
      <c r="O55">
        <f>VLOOKUP(NSGRules[[#This Row],[NSGID]], NSGGroups[], 3, FALSE)</f>
        <v>162</v>
      </c>
      <c r="P55" t="str">
        <f>VLOOKUP(NSGRules[[#This Row],[NSGID]], NSGGroups[], 6, FALSE)</f>
        <v>Users_Tier2_162_SLG_prod_ia</v>
      </c>
      <c r="Q55" t="str">
        <f>VLOOKUP(NSGRules[[#This Row],[NSGID]], NSGGroups[], 12, FALSE)</f>
        <v>prod</v>
      </c>
      <c r="R55" t="str">
        <f>VLOOKUP(NSGRules[[#This Row],[NSGID]], NSGGroups[], 11, FALSE)</f>
        <v>Prod2</v>
      </c>
      <c r="S5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'NSG_Users_Tier2_162_SLG_prod_ia' | Set-AzureNetworkSecurityRule -Name 'All_Internet.Inbound.Deny' -Type Inbound -Priority 100 -Action Deny -SourceAddressPrefix 'INTERNET'  -SourcePortRange '*' -DestinationAddressPrefix '*' -DestinationPortRange '*' -Protocol TCP</v>
      </c>
      <c r="T5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'NSG_Users_Tier2_162_SLG_prod_ia' | Set-AzureNetworkSecurityGroupToSubnet -VirtualNetworkName $VNETName_Prod2 -SubnetName 'Users_Tier2_162_SLG_prod_ia'</v>
      </c>
    </row>
    <row r="56" spans="1:20" hidden="1" x14ac:dyDescent="0.45">
      <c r="A56" t="s">
        <v>1133</v>
      </c>
      <c r="B56" t="s">
        <v>1084</v>
      </c>
      <c r="C56" t="str">
        <f>VLOOKUP(NSGRules[[#This Row],[NSGID]], NSGGroups[], 4, FALSE)</f>
        <v>NSG_Services_600_SLG_Srvcs_va</v>
      </c>
      <c r="D56" t="str">
        <f>NSGRules[[#This Row],[Application]]&amp;"."&amp;NSGRules[[#This Row],[Type]]&amp;"."&amp;NSGRules[[#This Row],[Action]]</f>
        <v>All_Internet.Inbound.Deny</v>
      </c>
      <c r="E56" t="s">
        <v>1171</v>
      </c>
      <c r="F56" t="s">
        <v>624</v>
      </c>
      <c r="G56">
        <v>100</v>
      </c>
      <c r="H56" t="s">
        <v>1180</v>
      </c>
      <c r="I56" t="s">
        <v>1153</v>
      </c>
      <c r="J56" t="s">
        <v>1154</v>
      </c>
      <c r="K56" t="s">
        <v>1154</v>
      </c>
      <c r="L56" t="s">
        <v>1154</v>
      </c>
      <c r="M56" t="s">
        <v>1155</v>
      </c>
      <c r="N56">
        <f>VLOOKUP(NSGRules[[#This Row],[NSGID]], NSGGroups[], 8, FALSE)</f>
        <v>0</v>
      </c>
      <c r="O56">
        <f>VLOOKUP(NSGRules[[#This Row],[NSGID]], NSGGroups[], 3, FALSE)</f>
        <v>600</v>
      </c>
      <c r="P56" t="str">
        <f>VLOOKUP(NSGRules[[#This Row],[NSGID]], NSGGroups[], 6, FALSE)</f>
        <v>Services_600_SLG_Srvcs_va</v>
      </c>
      <c r="Q56" t="str">
        <f>VLOOKUP(NSGRules[[#This Row],[NSGID]], NSGGroups[], 12, FALSE)</f>
        <v>Srvcs</v>
      </c>
      <c r="R56" t="str">
        <f>VLOOKUP(NSGRules[[#This Row],[NSGID]], NSGGroups[], 11, FALSE)</f>
        <v>Services1</v>
      </c>
      <c r="S5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'NSG_Services_600_SLG_Srvcs_va' | Set-AzureNetworkSecurityRule -Name 'All_Internet.Inbound.Deny' -Type Inbound -Priority 100 -Action Deny -SourceAddressPrefix 'INTERNET'  -SourcePortRange '*' -DestinationAddressPrefix '*' -DestinationPortRange '*' -Protocol TCP</v>
      </c>
      <c r="T5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'NSG_Services_600_SLG_Srvcs_va' | Set-AzureNetworkSecurityGroupToSubnet -VirtualNetworkName $VNETName_Services1 -SubnetName 'Services_600_SLG_Srvcs_va'</v>
      </c>
    </row>
    <row r="57" spans="1:20" x14ac:dyDescent="0.45">
      <c r="A57" t="s">
        <v>1134</v>
      </c>
      <c r="B57" t="s">
        <v>1085</v>
      </c>
      <c r="C57" t="str">
        <f>VLOOKUP(NSGRules[[#This Row],[NSGID]], NSGGroups[], 4, FALSE)</f>
        <v>NSG_DMZ_650_SLG_Srvcs_va</v>
      </c>
      <c r="D57" t="str">
        <f>NSGRules[[#This Row],[Application]]&amp;"."&amp;NSGRules[[#This Row],[Type]]&amp;"."&amp;NSGRules[[#This Row],[Action]]</f>
        <v>All_Internet.Inbound.Allow</v>
      </c>
      <c r="E57" t="s">
        <v>1171</v>
      </c>
      <c r="F57" t="s">
        <v>624</v>
      </c>
      <c r="G57">
        <v>100</v>
      </c>
      <c r="H57" t="s">
        <v>625</v>
      </c>
      <c r="I57" t="s">
        <v>1153</v>
      </c>
      <c r="J57">
        <v>443</v>
      </c>
      <c r="K57" t="str">
        <f>VLOOKUP(NSGRules[[#This Row],[NSGID]], NSGGroups[], 13, FALSE)</f>
        <v>10.130.58.0/24</v>
      </c>
      <c r="L57">
        <v>443</v>
      </c>
      <c r="M57" t="s">
        <v>1155</v>
      </c>
      <c r="N57">
        <f>VLOOKUP(NSGRules[[#This Row],[NSGID]], NSGGroups[], 8, FALSE)</f>
        <v>2</v>
      </c>
      <c r="O57">
        <f>VLOOKUP(NSGRules[[#This Row],[NSGID]], NSGGroups[], 3, FALSE)</f>
        <v>650</v>
      </c>
      <c r="P57" t="str">
        <f>VLOOKUP(NSGRules[[#This Row],[NSGID]], NSGGroups[], 6, FALSE)</f>
        <v>DMZ_650_SLG_Srvcs_va</v>
      </c>
      <c r="Q57" t="str">
        <f>VLOOKUP(NSGRules[[#This Row],[NSGID]], NSGGroups[], 12, FALSE)</f>
        <v>Srvcs</v>
      </c>
      <c r="R57" t="str">
        <f>VLOOKUP(NSGRules[[#This Row],[NSGID]], NSGGroups[], 11, FALSE)</f>
        <v>Services1</v>
      </c>
      <c r="S5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'NSG_DMZ_650_SLG_Srvcs_va' | Set-AzureNetworkSecurityRule -Name 'All_Internet.Inbound.Allow' -Type Inbound -Priority 100 -Action Allow -SourceAddressPrefix 'INTERNET'  -SourcePortRange '443' -DestinationAddressPrefix '10.130.58.0/24' -DestinationPortRange '443' -Protocol TCP</v>
      </c>
      <c r="T5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'NSG_DMZ_650_SLG_Srvcs_va' | Set-AzureNetworkSecurityGroupToSubnet -VirtualNetworkName $VNETName_Services1 -SubnetName 'DMZ_650_SLG_Srvcs_va'</v>
      </c>
    </row>
    <row r="58" spans="1:20" hidden="1" x14ac:dyDescent="0.45">
      <c r="A58" t="s">
        <v>1135</v>
      </c>
      <c r="B58" t="s">
        <v>1086</v>
      </c>
      <c r="C58" t="str">
        <f>VLOOKUP(NSGRules[[#This Row],[NSGID]], NSGGroups[], 4, FALSE)</f>
        <v>NSG_Users_Tier1_661_SLG_Srvcs_va</v>
      </c>
      <c r="D58" t="str">
        <f>NSGRules[[#This Row],[Application]]&amp;"."&amp;NSGRules[[#This Row],[Type]]&amp;"."&amp;NSGRules[[#This Row],[Action]]</f>
        <v>All_Internet.Inbound.Deny</v>
      </c>
      <c r="E58" t="s">
        <v>1171</v>
      </c>
      <c r="F58" t="s">
        <v>624</v>
      </c>
      <c r="G58">
        <v>100</v>
      </c>
      <c r="H58" t="s">
        <v>1180</v>
      </c>
      <c r="I58" t="s">
        <v>1153</v>
      </c>
      <c r="J58" t="s">
        <v>1154</v>
      </c>
      <c r="K58" t="s">
        <v>1154</v>
      </c>
      <c r="L58" t="s">
        <v>1154</v>
      </c>
      <c r="M58" t="s">
        <v>1155</v>
      </c>
      <c r="N58">
        <f>VLOOKUP(NSGRules[[#This Row],[NSGID]], NSGGroups[], 8, FALSE)</f>
        <v>1</v>
      </c>
      <c r="O58">
        <f>VLOOKUP(NSGRules[[#This Row],[NSGID]], NSGGroups[], 3, FALSE)</f>
        <v>661</v>
      </c>
      <c r="P58" t="str">
        <f>VLOOKUP(NSGRules[[#This Row],[NSGID]], NSGGroups[], 6, FALSE)</f>
        <v>Users_Tier1_661_SLG_Srvcs_va</v>
      </c>
      <c r="Q58" t="str">
        <f>VLOOKUP(NSGRules[[#This Row],[NSGID]], NSGGroups[], 12, FALSE)</f>
        <v>Srvcs</v>
      </c>
      <c r="R58" t="str">
        <f>VLOOKUP(NSGRules[[#This Row],[NSGID]], NSGGroups[], 11, FALSE)</f>
        <v>Services1</v>
      </c>
      <c r="S5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'NSG_Users_Tier1_661_SLG_Srvcs_va' | Set-AzureNetworkSecurityRule -Name 'All_Internet.Inbound.Deny' -Type Inbound -Priority 100 -Action Deny -SourceAddressPrefix 'INTERNET'  -SourcePortRange '*' -DestinationAddressPrefix '*' -DestinationPortRange '*' -Protocol TCP</v>
      </c>
      <c r="T5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'NSG_Users_Tier1_661_SLG_Srvcs_va' | Set-AzureNetworkSecurityGroupToSubnet -VirtualNetworkName $VNETName_Services1 -SubnetName 'Users_Tier1_661_SLG_Srvcs_va'</v>
      </c>
    </row>
    <row r="59" spans="1:20" hidden="1" x14ac:dyDescent="0.45">
      <c r="A59" t="s">
        <v>1136</v>
      </c>
      <c r="B59" t="s">
        <v>1087</v>
      </c>
      <c r="C59" t="str">
        <f>VLOOKUP(NSGRules[[#This Row],[NSGID]], NSGGroups[], 4, FALSE)</f>
        <v>NSG_Future_670_SLG_Srvcs_va</v>
      </c>
      <c r="D59" t="str">
        <f>NSGRules[[#This Row],[Application]]&amp;"."&amp;NSGRules[[#This Row],[Type]]&amp;"."&amp;NSGRules[[#This Row],[Action]]</f>
        <v>All_Internet.Inbound.Deny</v>
      </c>
      <c r="E59" t="s">
        <v>1171</v>
      </c>
      <c r="F59" t="s">
        <v>624</v>
      </c>
      <c r="G59">
        <v>100</v>
      </c>
      <c r="H59" t="s">
        <v>1180</v>
      </c>
      <c r="I59" t="s">
        <v>1153</v>
      </c>
      <c r="J59" t="s">
        <v>1154</v>
      </c>
      <c r="K59" t="s">
        <v>1154</v>
      </c>
      <c r="L59" t="s">
        <v>1154</v>
      </c>
      <c r="M59" t="s">
        <v>1155</v>
      </c>
      <c r="N59">
        <f>VLOOKUP(NSGRules[[#This Row],[NSGID]], NSGGroups[], 8, FALSE)</f>
        <v>0</v>
      </c>
      <c r="O59">
        <f>VLOOKUP(NSGRules[[#This Row],[NSGID]], NSGGroups[], 3, FALSE)</f>
        <v>670</v>
      </c>
      <c r="P59" t="str">
        <f>VLOOKUP(NSGRules[[#This Row],[NSGID]], NSGGroups[], 6, FALSE)</f>
        <v>Future_670_SLG_Srvcs_va</v>
      </c>
      <c r="Q59" t="str">
        <f>VLOOKUP(NSGRules[[#This Row],[NSGID]], NSGGroups[], 12, FALSE)</f>
        <v>Srvcs</v>
      </c>
      <c r="R59" t="str">
        <f>VLOOKUP(NSGRules[[#This Row],[NSGID]], NSGGroups[], 11, FALSE)</f>
        <v>Services1</v>
      </c>
      <c r="S5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'NSG_Future_670_SLG_Srvcs_va' | Set-AzureNetworkSecurityRule -Name 'All_Internet.Inbound.Deny' -Type Inbound -Priority 100 -Action Deny -SourceAddressPrefix 'INTERNET'  -SourcePortRange '*' -DestinationAddressPrefix '*' -DestinationPortRange '*' -Protocol TCP</v>
      </c>
      <c r="T5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'NSG_Future_670_SLG_Srvcs_va' | Set-AzureNetworkSecurityGroupToSubnet -VirtualNetworkName $VNETName_Services1 -SubnetName 'Future_670_SLG_Srvcs_va'</v>
      </c>
    </row>
    <row r="60" spans="1:20" hidden="1" x14ac:dyDescent="0.45">
      <c r="A60" t="s">
        <v>1137</v>
      </c>
      <c r="B60" t="s">
        <v>1088</v>
      </c>
      <c r="C60" t="str">
        <f>VLOOKUP(NSGRules[[#This Row],[NSGID]], NSGGroups[], 4, FALSE)</f>
        <v>NSG_Services_600_SLG_Srvcs_ia</v>
      </c>
      <c r="D60" t="str">
        <f>NSGRules[[#This Row],[Application]]&amp;"."&amp;NSGRules[[#This Row],[Type]]&amp;"."&amp;NSGRules[[#This Row],[Action]]</f>
        <v>All_Internet.Inbound.Deny</v>
      </c>
      <c r="E60" t="s">
        <v>1171</v>
      </c>
      <c r="F60" t="s">
        <v>624</v>
      </c>
      <c r="G60">
        <v>100</v>
      </c>
      <c r="H60" t="s">
        <v>1180</v>
      </c>
      <c r="I60" t="s">
        <v>1153</v>
      </c>
      <c r="J60" t="s">
        <v>1154</v>
      </c>
      <c r="K60" t="s">
        <v>1154</v>
      </c>
      <c r="L60" t="s">
        <v>1154</v>
      </c>
      <c r="M60" t="s">
        <v>1155</v>
      </c>
      <c r="N60">
        <f>VLOOKUP(NSGRules[[#This Row],[NSGID]], NSGGroups[], 8, FALSE)</f>
        <v>0</v>
      </c>
      <c r="O60">
        <f>VLOOKUP(NSGRules[[#This Row],[NSGID]], NSGGroups[], 3, FALSE)</f>
        <v>600</v>
      </c>
      <c r="P60" t="str">
        <f>VLOOKUP(NSGRules[[#This Row],[NSGID]], NSGGroups[], 6, FALSE)</f>
        <v>Services_600_SLG_Srvcs_ia</v>
      </c>
      <c r="Q60" t="str">
        <f>VLOOKUP(NSGRules[[#This Row],[NSGID]], NSGGroups[], 12, FALSE)</f>
        <v>Srvcs</v>
      </c>
      <c r="R60" t="str">
        <f>VLOOKUP(NSGRules[[#This Row],[NSGID]], NSGGroups[], 11, FALSE)</f>
        <v>Services2</v>
      </c>
      <c r="S6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'NSG_Services_600_SLG_Srvcs_ia' | Set-AzureNetworkSecurityRule -Name 'All_Internet.Inbound.Deny' -Type Inbound -Priority 100 -Action Deny -SourceAddressPrefix 'INTERNET'  -SourcePortRange '*' -DestinationAddressPrefix '*' -DestinationPortRange '*' -Protocol TCP</v>
      </c>
      <c r="T6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'NSG_Services_600_SLG_Srvcs_ia' | Set-AzureNetworkSecurityGroupToSubnet -VirtualNetworkName $VNETName_Services2 -SubnetName 'Services_600_SLG_Srvcs_ia'</v>
      </c>
    </row>
    <row r="61" spans="1:20" x14ac:dyDescent="0.45">
      <c r="A61" t="s">
        <v>1138</v>
      </c>
      <c r="B61" t="s">
        <v>1089</v>
      </c>
      <c r="C61" t="str">
        <f>VLOOKUP(NSGRules[[#This Row],[NSGID]], NSGGroups[], 4, FALSE)</f>
        <v>NSG_DMZ_650_SLG_Srvcs_ia</v>
      </c>
      <c r="D61" t="str">
        <f>NSGRules[[#This Row],[Application]]&amp;"."&amp;NSGRules[[#This Row],[Type]]&amp;"."&amp;NSGRules[[#This Row],[Action]]</f>
        <v>All_Internet.Inbound.Allow</v>
      </c>
      <c r="E61" t="s">
        <v>1171</v>
      </c>
      <c r="F61" t="s">
        <v>624</v>
      </c>
      <c r="G61">
        <v>100</v>
      </c>
      <c r="H61" t="s">
        <v>625</v>
      </c>
      <c r="I61" t="s">
        <v>1153</v>
      </c>
      <c r="J61">
        <v>443</v>
      </c>
      <c r="K61" t="str">
        <f>VLOOKUP(NSGRules[[#This Row],[NSGID]], NSGGroups[], 13, FALSE)</f>
        <v>10.130.122.0/24</v>
      </c>
      <c r="L61">
        <v>443</v>
      </c>
      <c r="M61" t="s">
        <v>1155</v>
      </c>
      <c r="N61">
        <f>VLOOKUP(NSGRules[[#This Row],[NSGID]], NSGGroups[], 8, FALSE)</f>
        <v>2</v>
      </c>
      <c r="O61">
        <f>VLOOKUP(NSGRules[[#This Row],[NSGID]], NSGGroups[], 3, FALSE)</f>
        <v>650</v>
      </c>
      <c r="P61" t="str">
        <f>VLOOKUP(NSGRules[[#This Row],[NSGID]], NSGGroups[], 6, FALSE)</f>
        <v>DMZ_650_SLG_Srvcs_ia</v>
      </c>
      <c r="Q61" t="str">
        <f>VLOOKUP(NSGRules[[#This Row],[NSGID]], NSGGroups[], 12, FALSE)</f>
        <v>Srvcs</v>
      </c>
      <c r="R61" t="str">
        <f>VLOOKUP(NSGRules[[#This Row],[NSGID]], NSGGroups[], 11, FALSE)</f>
        <v>Services2</v>
      </c>
      <c r="S6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'NSG_DMZ_650_SLG_Srvcs_ia' | Set-AzureNetworkSecurityRule -Name 'All_Internet.Inbound.Allow' -Type Inbound -Priority 100 -Action Allow -SourceAddressPrefix 'INTERNET'  -SourcePortRange '443' -DestinationAddressPrefix '10.130.122.0/24' -DestinationPortRange '443' -Protocol TCP</v>
      </c>
      <c r="T6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'NSG_DMZ_650_SLG_Srvcs_ia' | Set-AzureNetworkSecurityGroupToSubnet -VirtualNetworkName $VNETName_Services2 -SubnetName 'DMZ_650_SLG_Srvcs_ia'</v>
      </c>
    </row>
    <row r="62" spans="1:20" hidden="1" x14ac:dyDescent="0.45">
      <c r="A62" t="s">
        <v>1132</v>
      </c>
      <c r="B62" t="s">
        <v>1083</v>
      </c>
      <c r="C62" t="str">
        <f>VLOOKUP(NSGRules[[#This Row],[NSGID]], NSGGroups[], 4, FALSE)</f>
        <v>NSG_User_Tier0_660_SLG_Srvcs_ia</v>
      </c>
      <c r="D62" t="str">
        <f>NSGRules[[#This Row],[Application]]&amp;"."&amp;NSGRules[[#This Row],[Type]]&amp;"."&amp;NSGRules[[#This Row],[Action]]</f>
        <v>All_Internet.Inbound.Deny</v>
      </c>
      <c r="E62" t="s">
        <v>1171</v>
      </c>
      <c r="F62" t="s">
        <v>624</v>
      </c>
      <c r="G62">
        <v>100</v>
      </c>
      <c r="H62" t="s">
        <v>1180</v>
      </c>
      <c r="I62" t="s">
        <v>1153</v>
      </c>
      <c r="J62" t="s">
        <v>1154</v>
      </c>
      <c r="K62" t="s">
        <v>1154</v>
      </c>
      <c r="L62" t="s">
        <v>1154</v>
      </c>
      <c r="M62" t="s">
        <v>1155</v>
      </c>
      <c r="N62">
        <f>VLOOKUP(NSGRules[[#This Row],[NSGID]], NSGGroups[], 8, FALSE)</f>
        <v>0</v>
      </c>
      <c r="O62">
        <f>VLOOKUP(NSGRules[[#This Row],[NSGID]], NSGGroups[], 3, FALSE)</f>
        <v>660</v>
      </c>
      <c r="P62" t="str">
        <f>VLOOKUP(NSGRules[[#This Row],[NSGID]], NSGGroups[], 6, FALSE)</f>
        <v>User_Tier0_660_SLG_Srvcs_ia</v>
      </c>
      <c r="Q62" t="str">
        <f>VLOOKUP(NSGRules[[#This Row],[NSGID]], NSGGroups[], 12, FALSE)</f>
        <v>Srvcs</v>
      </c>
      <c r="R62" t="str">
        <f>VLOOKUP(NSGRules[[#This Row],[NSGID]], NSGGroups[], 11, FALSE)</f>
        <v>Services2</v>
      </c>
      <c r="S6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'NSG_User_Tier0_660_SLG_Srvcs_ia' | Set-AzureNetworkSecurityRule -Name 'All_Internet.Inbound.Deny' -Type Inbound -Priority 100 -Action Deny -SourceAddressPrefix 'INTERNET'  -SourcePortRange '*' -DestinationAddressPrefix '*' -DestinationPortRange '*' -Protocol TCP</v>
      </c>
      <c r="T6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'NSG_User_Tier0_660_SLG_Srvcs_ia' | Set-AzureNetworkSecurityGroupToSubnet -VirtualNetworkName $VNETName_Services2 -SubnetName 'User_Tier0_660_SLG_Srvcs_ia'</v>
      </c>
    </row>
    <row r="63" spans="1:20" hidden="1" x14ac:dyDescent="0.45">
      <c r="A63" t="s">
        <v>1139</v>
      </c>
      <c r="B63" t="s">
        <v>1090</v>
      </c>
      <c r="C63" t="str">
        <f>VLOOKUP(NSGRules[[#This Row],[NSGID]], NSGGroups[], 4, FALSE)</f>
        <v>NSG_Users_Tier1_661_SLG_Srvcs_ia</v>
      </c>
      <c r="D63" t="str">
        <f>NSGRules[[#This Row],[Application]]&amp;"."&amp;NSGRules[[#This Row],[Type]]&amp;"."&amp;NSGRules[[#This Row],[Action]]</f>
        <v>All_Internet.Inbound.Deny</v>
      </c>
      <c r="E63" t="s">
        <v>1171</v>
      </c>
      <c r="F63" t="s">
        <v>624</v>
      </c>
      <c r="G63">
        <v>100</v>
      </c>
      <c r="H63" t="s">
        <v>1180</v>
      </c>
      <c r="I63" t="s">
        <v>1153</v>
      </c>
      <c r="J63" t="s">
        <v>1154</v>
      </c>
      <c r="K63" t="s">
        <v>1154</v>
      </c>
      <c r="L63" t="s">
        <v>1154</v>
      </c>
      <c r="M63" t="s">
        <v>1155</v>
      </c>
      <c r="N63">
        <f>VLOOKUP(NSGRules[[#This Row],[NSGID]], NSGGroups[], 8, FALSE)</f>
        <v>1</v>
      </c>
      <c r="O63">
        <f>VLOOKUP(NSGRules[[#This Row],[NSGID]], NSGGroups[], 3, FALSE)</f>
        <v>661</v>
      </c>
      <c r="P63" t="str">
        <f>VLOOKUP(NSGRules[[#This Row],[NSGID]], NSGGroups[], 6, FALSE)</f>
        <v>Users_Tier1_661_SLG_Srvcs_ia</v>
      </c>
      <c r="Q63" t="str">
        <f>VLOOKUP(NSGRules[[#This Row],[NSGID]], NSGGroups[], 12, FALSE)</f>
        <v>Srvcs</v>
      </c>
      <c r="R63" t="str">
        <f>VLOOKUP(NSGRules[[#This Row],[NSGID]], NSGGroups[], 11, FALSE)</f>
        <v>Services2</v>
      </c>
      <c r="S6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'NSG_Users_Tier1_661_SLG_Srvcs_ia' | Set-AzureNetworkSecurityRule -Name 'All_Internet.Inbound.Deny' -Type Inbound -Priority 100 -Action Deny -SourceAddressPrefix 'INTERNET'  -SourcePortRange '*' -DestinationAddressPrefix '*' -DestinationPortRange '*' -Protocol TCP</v>
      </c>
      <c r="T6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'NSG_Users_Tier1_661_SLG_Srvcs_ia' | Set-AzureNetworkSecurityGroupToSubnet -VirtualNetworkName $VNETName_Services2 -SubnetName 'Users_Tier1_661_SLG_Srvcs_ia'</v>
      </c>
    </row>
    <row r="64" spans="1:20" hidden="1" x14ac:dyDescent="0.45">
      <c r="A64" t="s">
        <v>1140</v>
      </c>
      <c r="B64" t="s">
        <v>1091</v>
      </c>
      <c r="C64" t="str">
        <f>VLOOKUP(NSGRules[[#This Row],[NSGID]], NSGGroups[], 4, FALSE)</f>
        <v>NSG_Storage_500_SLG_Storage_va</v>
      </c>
      <c r="D64" t="str">
        <f>NSGRules[[#This Row],[Application]]&amp;"."&amp;NSGRules[[#This Row],[Type]]&amp;"."&amp;NSGRules[[#This Row],[Action]]</f>
        <v>All_Internet.Inbound.Deny</v>
      </c>
      <c r="E64" t="s">
        <v>1171</v>
      </c>
      <c r="F64" t="s">
        <v>624</v>
      </c>
      <c r="G64">
        <v>100</v>
      </c>
      <c r="H64" t="s">
        <v>1180</v>
      </c>
      <c r="I64" t="s">
        <v>1153</v>
      </c>
      <c r="J64" t="s">
        <v>1154</v>
      </c>
      <c r="K64" t="s">
        <v>1154</v>
      </c>
      <c r="L64" t="s">
        <v>1154</v>
      </c>
      <c r="M64" t="s">
        <v>1155</v>
      </c>
      <c r="N64">
        <f>VLOOKUP(NSGRules[[#This Row],[NSGID]], NSGGroups[], 8, FALSE)</f>
        <v>0</v>
      </c>
      <c r="O64">
        <f>VLOOKUP(NSGRules[[#This Row],[NSGID]], NSGGroups[], 3, FALSE)</f>
        <v>500</v>
      </c>
      <c r="P64" t="str">
        <f>VLOOKUP(NSGRules[[#This Row],[NSGID]], NSGGroups[], 6, FALSE)</f>
        <v>Storage_500_SLG_Storage_va</v>
      </c>
      <c r="Q64" t="str">
        <f>VLOOKUP(NSGRules[[#This Row],[NSGID]], NSGGroups[], 12, FALSE)</f>
        <v>Storage</v>
      </c>
      <c r="R64" t="str">
        <f>VLOOKUP(NSGRules[[#This Row],[NSGID]], NSGGroups[], 11, FALSE)</f>
        <v>Storage1</v>
      </c>
      <c r="S6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'NSG_Storage_500_SLG_Storage_va' | Set-AzureNetworkSecurityRule -Name 'All_Internet.Inbound.Deny' -Type Inbound -Priority 100 -Action Deny -SourceAddressPrefix 'INTERNET'  -SourcePortRange '*' -DestinationAddressPrefix '*' -DestinationPortRange '*' -Protocol TCP</v>
      </c>
      <c r="T6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'NSG_Storage_500_SLG_Storage_va' | Set-AzureNetworkSecurityGroupToSubnet -VirtualNetworkName $VNETName_Storage1 -SubnetName 'Storage_500_SLG_Storage_va'</v>
      </c>
    </row>
    <row r="65" spans="1:20" hidden="1" x14ac:dyDescent="0.45">
      <c r="A65" t="s">
        <v>1141</v>
      </c>
      <c r="B65" t="s">
        <v>1092</v>
      </c>
      <c r="C65" t="str">
        <f>VLOOKUP(NSGRules[[#This Row],[NSGID]], NSGGroups[], 4, FALSE)</f>
        <v>NSG_User_Tier0_560_SLG_Storage_va</v>
      </c>
      <c r="D65" t="str">
        <f>NSGRules[[#This Row],[Application]]&amp;"."&amp;NSGRules[[#This Row],[Type]]&amp;"."&amp;NSGRules[[#This Row],[Action]]</f>
        <v>All_Internet.Inbound.Deny</v>
      </c>
      <c r="E65" t="s">
        <v>1171</v>
      </c>
      <c r="F65" t="s">
        <v>624</v>
      </c>
      <c r="G65">
        <v>100</v>
      </c>
      <c r="H65" t="s">
        <v>1180</v>
      </c>
      <c r="I65" t="s">
        <v>1153</v>
      </c>
      <c r="J65" t="s">
        <v>1154</v>
      </c>
      <c r="K65" t="s">
        <v>1154</v>
      </c>
      <c r="L65" t="s">
        <v>1154</v>
      </c>
      <c r="M65" t="s">
        <v>1155</v>
      </c>
      <c r="N65">
        <f>VLOOKUP(NSGRules[[#This Row],[NSGID]], NSGGroups[], 8, FALSE)</f>
        <v>0</v>
      </c>
      <c r="O65">
        <f>VLOOKUP(NSGRules[[#This Row],[NSGID]], NSGGroups[], 3, FALSE)</f>
        <v>560</v>
      </c>
      <c r="P65" t="str">
        <f>VLOOKUP(NSGRules[[#This Row],[NSGID]], NSGGroups[], 6, FALSE)</f>
        <v>User_Tier0_560_SLG_Storage_va</v>
      </c>
      <c r="Q65" t="str">
        <f>VLOOKUP(NSGRules[[#This Row],[NSGID]], NSGGroups[], 12, FALSE)</f>
        <v>Storage</v>
      </c>
      <c r="R65" t="str">
        <f>VLOOKUP(NSGRules[[#This Row],[NSGID]], NSGGroups[], 11, FALSE)</f>
        <v>Storage1</v>
      </c>
      <c r="S6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'NSG_User_Tier0_560_SLG_Storage_va' | Set-AzureNetworkSecurityRule -Name 'All_Internet.Inbound.Deny' -Type Inbound -Priority 100 -Action Deny -SourceAddressPrefix 'INTERNET'  -SourcePortRange '*' -DestinationAddressPrefix '*' -DestinationPortRange '*' -Protocol TCP</v>
      </c>
      <c r="T6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'NSG_User_Tier0_560_SLG_Storage_va' | Set-AzureNetworkSecurityGroupToSubnet -VirtualNetworkName $VNETName_Storage1 -SubnetName 'User_Tier0_560_SLG_Storage_va'</v>
      </c>
    </row>
    <row r="66" spans="1:20" hidden="1" x14ac:dyDescent="0.45">
      <c r="A66" t="s">
        <v>1142</v>
      </c>
      <c r="B66" t="s">
        <v>1093</v>
      </c>
      <c r="C66" t="str">
        <f>VLOOKUP(NSGRules[[#This Row],[NSGID]], NSGGroups[], 4, FALSE)</f>
        <v>NSG_Users_Tier1_561_SLG_Storage_va</v>
      </c>
      <c r="D66" t="str">
        <f>NSGRules[[#This Row],[Application]]&amp;"."&amp;NSGRules[[#This Row],[Type]]&amp;"."&amp;NSGRules[[#This Row],[Action]]</f>
        <v>All_Internet.Inbound.Deny</v>
      </c>
      <c r="E66" t="s">
        <v>1171</v>
      </c>
      <c r="F66" t="s">
        <v>624</v>
      </c>
      <c r="G66">
        <v>100</v>
      </c>
      <c r="H66" t="s">
        <v>1180</v>
      </c>
      <c r="I66" t="s">
        <v>1153</v>
      </c>
      <c r="J66" t="s">
        <v>1154</v>
      </c>
      <c r="K66" t="s">
        <v>1154</v>
      </c>
      <c r="L66" t="s">
        <v>1154</v>
      </c>
      <c r="M66" t="s">
        <v>1155</v>
      </c>
      <c r="N66">
        <f>VLOOKUP(NSGRules[[#This Row],[NSGID]], NSGGroups[], 8, FALSE)</f>
        <v>1</v>
      </c>
      <c r="O66">
        <f>VLOOKUP(NSGRules[[#This Row],[NSGID]], NSGGroups[], 3, FALSE)</f>
        <v>561</v>
      </c>
      <c r="P66" t="str">
        <f>VLOOKUP(NSGRules[[#This Row],[NSGID]], NSGGroups[], 6, FALSE)</f>
        <v>Users_Tier1_561_SLG_Storage_va</v>
      </c>
      <c r="Q66" t="str">
        <f>VLOOKUP(NSGRules[[#This Row],[NSGID]], NSGGroups[], 12, FALSE)</f>
        <v>Storage</v>
      </c>
      <c r="R66" t="str">
        <f>VLOOKUP(NSGRules[[#This Row],[NSGID]], NSGGroups[], 11, FALSE)</f>
        <v>Storage1</v>
      </c>
      <c r="S6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'NSG_Users_Tier1_561_SLG_Storage_va' | Set-AzureNetworkSecurityRule -Name 'All_Internet.Inbound.Deny' -Type Inbound -Priority 100 -Action Deny -SourceAddressPrefix 'INTERNET'  -SourcePortRange '*' -DestinationAddressPrefix '*' -DestinationPortRange '*' -Protocol TCP</v>
      </c>
      <c r="T6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'NSG_Users_Tier1_561_SLG_Storage_va' | Set-AzureNetworkSecurityGroupToSubnet -VirtualNetworkName $VNETName_Storage1 -SubnetName 'Users_Tier1_561_SLG_Storage_va'</v>
      </c>
    </row>
    <row r="67" spans="1:20" hidden="1" x14ac:dyDescent="0.45">
      <c r="A67" t="s">
        <v>1143</v>
      </c>
      <c r="B67" t="s">
        <v>1094</v>
      </c>
      <c r="C67" t="str">
        <f>VLOOKUP(NSGRules[[#This Row],[NSGID]], NSGGroups[], 4, FALSE)</f>
        <v>NSG_Storage_500_SLG_Storage_ia</v>
      </c>
      <c r="D67" t="str">
        <f>NSGRules[[#This Row],[Application]]&amp;"."&amp;NSGRules[[#This Row],[Type]]&amp;"."&amp;NSGRules[[#This Row],[Action]]</f>
        <v>All_Internet.Inbound.Deny</v>
      </c>
      <c r="E67" t="s">
        <v>1171</v>
      </c>
      <c r="F67" t="s">
        <v>624</v>
      </c>
      <c r="G67">
        <v>100</v>
      </c>
      <c r="H67" t="s">
        <v>1180</v>
      </c>
      <c r="I67" t="s">
        <v>1153</v>
      </c>
      <c r="J67" t="s">
        <v>1154</v>
      </c>
      <c r="K67" t="s">
        <v>1154</v>
      </c>
      <c r="L67" t="s">
        <v>1154</v>
      </c>
      <c r="M67" t="s">
        <v>1155</v>
      </c>
      <c r="N67">
        <f>VLOOKUP(NSGRules[[#This Row],[NSGID]], NSGGroups[], 8, FALSE)</f>
        <v>0</v>
      </c>
      <c r="O67">
        <f>VLOOKUP(NSGRules[[#This Row],[NSGID]], NSGGroups[], 3, FALSE)</f>
        <v>500</v>
      </c>
      <c r="P67" t="str">
        <f>VLOOKUP(NSGRules[[#This Row],[NSGID]], NSGGroups[], 6, FALSE)</f>
        <v>Storage_500_SLG_Storage_ia</v>
      </c>
      <c r="Q67" t="str">
        <f>VLOOKUP(NSGRules[[#This Row],[NSGID]], NSGGroups[], 12, FALSE)</f>
        <v>Storage</v>
      </c>
      <c r="R67" t="str">
        <f>VLOOKUP(NSGRules[[#This Row],[NSGID]], NSGGroups[], 11, FALSE)</f>
        <v>Storage2</v>
      </c>
      <c r="S6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'NSG_Storage_500_SLG_Storage_ia' | Set-AzureNetworkSecurityRule -Name 'All_Internet.Inbound.Deny' -Type Inbound -Priority 100 -Action Deny -SourceAddressPrefix 'INTERNET'  -SourcePortRange '*' -DestinationAddressPrefix '*' -DestinationPortRange '*' -Protocol TCP</v>
      </c>
      <c r="T6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'NSG_Storage_500_SLG_Storage_ia' | Set-AzureNetworkSecurityGroupToSubnet -VirtualNetworkName $VNETName_Storage2 -SubnetName 'Storage_500_SLG_Storage_ia'</v>
      </c>
    </row>
    <row r="68" spans="1:20" hidden="1" x14ac:dyDescent="0.45">
      <c r="A68" t="s">
        <v>1144</v>
      </c>
      <c r="B68" t="s">
        <v>1095</v>
      </c>
      <c r="C68" t="str">
        <f>VLOOKUP(NSGRules[[#This Row],[NSGID]], NSGGroups[], 4, FALSE)</f>
        <v>NSG_User_Tier0_560_SLG_Storage_ia</v>
      </c>
      <c r="D68" t="str">
        <f>NSGRules[[#This Row],[Application]]&amp;"."&amp;NSGRules[[#This Row],[Type]]&amp;"."&amp;NSGRules[[#This Row],[Action]]</f>
        <v>All_Internet.Inbound.Deny</v>
      </c>
      <c r="E68" t="s">
        <v>1171</v>
      </c>
      <c r="F68" t="s">
        <v>624</v>
      </c>
      <c r="G68">
        <v>100</v>
      </c>
      <c r="H68" t="s">
        <v>1180</v>
      </c>
      <c r="I68" t="s">
        <v>1153</v>
      </c>
      <c r="J68" t="s">
        <v>1154</v>
      </c>
      <c r="K68" t="s">
        <v>1154</v>
      </c>
      <c r="L68" t="s">
        <v>1154</v>
      </c>
      <c r="M68" t="s">
        <v>1155</v>
      </c>
      <c r="N68">
        <f>VLOOKUP(NSGRules[[#This Row],[NSGID]], NSGGroups[], 8, FALSE)</f>
        <v>0</v>
      </c>
      <c r="O68">
        <f>VLOOKUP(NSGRules[[#This Row],[NSGID]], NSGGroups[], 3, FALSE)</f>
        <v>560</v>
      </c>
      <c r="P68" t="str">
        <f>VLOOKUP(NSGRules[[#This Row],[NSGID]], NSGGroups[], 6, FALSE)</f>
        <v>User_Tier0_560_SLG_Storage_ia</v>
      </c>
      <c r="Q68" t="str">
        <f>VLOOKUP(NSGRules[[#This Row],[NSGID]], NSGGroups[], 12, FALSE)</f>
        <v>Storage</v>
      </c>
      <c r="R68" t="str">
        <f>VLOOKUP(NSGRules[[#This Row],[NSGID]], NSGGroups[], 11, FALSE)</f>
        <v>Storage2</v>
      </c>
      <c r="S6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'NSG_User_Tier0_560_SLG_Storage_ia' | Set-AzureNetworkSecurityRule -Name 'All_Internet.Inbound.Deny' -Type Inbound -Priority 100 -Action Deny -SourceAddressPrefix 'INTERNET'  -SourcePortRange '*' -DestinationAddressPrefix '*' -DestinationPortRange '*' -Protocol TCP</v>
      </c>
      <c r="T6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'NSG_User_Tier0_560_SLG_Storage_ia' | Set-AzureNetworkSecurityGroupToSubnet -VirtualNetworkName $VNETName_Storage2 -SubnetName 'User_Tier0_560_SLG_Storage_ia'</v>
      </c>
    </row>
    <row r="69" spans="1:20" hidden="1" x14ac:dyDescent="0.45">
      <c r="A69" t="s">
        <v>1145</v>
      </c>
      <c r="B69" t="s">
        <v>1096</v>
      </c>
      <c r="C69" t="str">
        <f>VLOOKUP(NSGRules[[#This Row],[NSGID]], NSGGroups[], 4, FALSE)</f>
        <v>NSG_Users_Tier1_561_SLG_Storage_ia</v>
      </c>
      <c r="D69" t="str">
        <f>NSGRules[[#This Row],[Application]]&amp;"."&amp;NSGRules[[#This Row],[Type]]&amp;"."&amp;NSGRules[[#This Row],[Action]]</f>
        <v>All_Internet.Inbound.Deny</v>
      </c>
      <c r="E69" t="s">
        <v>1171</v>
      </c>
      <c r="F69" t="s">
        <v>624</v>
      </c>
      <c r="G69">
        <v>100</v>
      </c>
      <c r="H69" t="s">
        <v>1180</v>
      </c>
      <c r="I69" t="s">
        <v>1153</v>
      </c>
      <c r="J69" t="s">
        <v>1154</v>
      </c>
      <c r="K69" t="s">
        <v>1154</v>
      </c>
      <c r="L69" t="s">
        <v>1154</v>
      </c>
      <c r="M69" t="s">
        <v>1155</v>
      </c>
      <c r="N69">
        <f>VLOOKUP(NSGRules[[#This Row],[NSGID]], NSGGroups[], 8, FALSE)</f>
        <v>1</v>
      </c>
      <c r="O69">
        <f>VLOOKUP(NSGRules[[#This Row],[NSGID]], NSGGroups[], 3, FALSE)</f>
        <v>561</v>
      </c>
      <c r="P69" t="str">
        <f>VLOOKUP(NSGRules[[#This Row],[NSGID]], NSGGroups[], 6, FALSE)</f>
        <v>Users_Tier1_561_SLG_Storage_ia</v>
      </c>
      <c r="Q69" t="str">
        <f>VLOOKUP(NSGRules[[#This Row],[NSGID]], NSGGroups[], 12, FALSE)</f>
        <v>Storage</v>
      </c>
      <c r="R69" t="str">
        <f>VLOOKUP(NSGRules[[#This Row],[NSGID]], NSGGroups[], 11, FALSE)</f>
        <v>Storage2</v>
      </c>
      <c r="S6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'NSG_Users_Tier1_561_SLG_Storage_ia' | Set-AzureNetworkSecurityRule -Name 'All_Internet.Inbound.Deny' -Type Inbound -Priority 100 -Action Deny -SourceAddressPrefix 'INTERNET'  -SourcePortRange '*' -DestinationAddressPrefix '*' -DestinationPortRange '*' -Protocol TCP</v>
      </c>
      <c r="T6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'NSG_Users_Tier1_561_SLG_Storage_ia' | Set-AzureNetworkSecurityGroupToSubnet -VirtualNetworkName $VNETName_Storage2 -SubnetName 'Users_Tier1_561_SLG_Storage_ia'</v>
      </c>
    </row>
    <row r="70" spans="1:20" hidden="1" x14ac:dyDescent="0.45">
      <c r="A70" t="s">
        <v>1355</v>
      </c>
      <c r="B70" t="s">
        <v>590</v>
      </c>
      <c r="C70" t="str">
        <f>VLOOKUP(NSGRules[[#This Row],[NSGID]], NSGGroups[], 4, FALSE)</f>
        <v>NSG_Web_210_SLG_CJIS_va</v>
      </c>
      <c r="D70" t="str">
        <f>NSGRules[[#This Row],[Application]]&amp;"."&amp;NSGRules[[#This Row],[Type]]&amp;"."&amp;NSGRules[[#This Row],[Action]]</f>
        <v>All_Internet.Inbound.Deny</v>
      </c>
      <c r="E70" t="s">
        <v>1171</v>
      </c>
      <c r="F70" t="s">
        <v>624</v>
      </c>
      <c r="G70">
        <v>100</v>
      </c>
      <c r="H70" t="s">
        <v>1180</v>
      </c>
      <c r="I70" t="s">
        <v>1153</v>
      </c>
      <c r="J70" t="s">
        <v>1154</v>
      </c>
      <c r="K70" t="s">
        <v>1154</v>
      </c>
      <c r="L70" t="s">
        <v>1154</v>
      </c>
      <c r="M70" t="s">
        <v>1155</v>
      </c>
      <c r="N70">
        <f>VLOOKUP(NSGRules[[#This Row],[NSGID]], NSGGroups[], 8, FALSE)</f>
        <v>2</v>
      </c>
      <c r="O70">
        <f>VLOOKUP(NSGRules[[#This Row],[NSGID]], NSGGroups[], 3, FALSE)</f>
        <v>210</v>
      </c>
      <c r="P70" t="str">
        <f>VLOOKUP(NSGRules[[#This Row],[NSGID]], NSGGroups[], 6, FALSE)</f>
        <v>Web_210_SLG_CJIS_va</v>
      </c>
      <c r="Q70" t="str">
        <f>VLOOKUP(NSGRules[[#This Row],[NSGID]], NSGGroups[], 12, FALSE)</f>
        <v>CJIS</v>
      </c>
      <c r="R70" t="str">
        <f>VLOOKUP(NSGRules[[#This Row],[NSGID]], NSGGroups[], 11, FALSE)</f>
        <v>CJIS1</v>
      </c>
      <c r="S7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'NSG_Web_210_SLG_CJIS_va' | Set-AzureNetworkSecurityRule -Name 'All_Internet.Inbound.Deny' -Type Inbound -Priority 100 -Action Deny -SourceAddressPrefix 'INTERNET'  -SourcePortRange '*' -DestinationAddressPrefix '*' -DestinationPortRange '*' -Protocol TCP</v>
      </c>
      <c r="T7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'NSG_Web_210_SLG_CJIS_va' | Set-AzureNetworkSecurityGroupToSubnet -VirtualNetworkName $VNETName_CJIS1 -SubnetName 'Web_210_SLG_CJIS_va'</v>
      </c>
    </row>
    <row r="71" spans="1:20" hidden="1" x14ac:dyDescent="0.45">
      <c r="A71" t="s">
        <v>1356</v>
      </c>
      <c r="B71" t="s">
        <v>591</v>
      </c>
      <c r="C71" t="str">
        <f>VLOOKUP(NSGRules[[#This Row],[NSGID]], NSGGroups[], 4, FALSE)</f>
        <v>NSG_App_220_SLG_CJIS_va</v>
      </c>
      <c r="D71" t="str">
        <f>NSGRules[[#This Row],[Application]]&amp;"."&amp;NSGRules[[#This Row],[Type]]&amp;"."&amp;NSGRules[[#This Row],[Action]]</f>
        <v>All_Internet.Inbound.Deny</v>
      </c>
      <c r="E71" t="s">
        <v>1171</v>
      </c>
      <c r="F71" t="s">
        <v>624</v>
      </c>
      <c r="G71">
        <v>100</v>
      </c>
      <c r="H71" t="s">
        <v>1180</v>
      </c>
      <c r="I71" t="s">
        <v>1153</v>
      </c>
      <c r="J71" t="s">
        <v>1154</v>
      </c>
      <c r="K71" t="s">
        <v>1154</v>
      </c>
      <c r="L71" t="s">
        <v>1154</v>
      </c>
      <c r="M71" t="s">
        <v>1155</v>
      </c>
      <c r="N71">
        <f>VLOOKUP(NSGRules[[#This Row],[NSGID]], NSGGroups[], 8, FALSE)</f>
        <v>1</v>
      </c>
      <c r="O71">
        <f>VLOOKUP(NSGRules[[#This Row],[NSGID]], NSGGroups[], 3, FALSE)</f>
        <v>220</v>
      </c>
      <c r="P71" t="str">
        <f>VLOOKUP(NSGRules[[#This Row],[NSGID]], NSGGroups[], 6, FALSE)</f>
        <v>App_220_SLG_CJIS_va</v>
      </c>
      <c r="Q71" t="str">
        <f>VLOOKUP(NSGRules[[#This Row],[NSGID]], NSGGroups[], 12, FALSE)</f>
        <v>CJIS</v>
      </c>
      <c r="R71" t="str">
        <f>VLOOKUP(NSGRules[[#This Row],[NSGID]], NSGGroups[], 11, FALSE)</f>
        <v>CJIS1</v>
      </c>
      <c r="S7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'NSG_App_220_SLG_CJIS_va' | Set-AzureNetworkSecurityRule -Name 'All_Internet.Inbound.Deny' -Type Inbound -Priority 100 -Action Deny -SourceAddressPrefix 'INTERNET'  -SourcePortRange '*' -DestinationAddressPrefix '*' -DestinationPortRange '*' -Protocol TCP</v>
      </c>
      <c r="T7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'NSG_App_220_SLG_CJIS_va' | Set-AzureNetworkSecurityGroupToSubnet -VirtualNetworkName $VNETName_CJIS1 -SubnetName 'App_220_SLG_CJIS_va'</v>
      </c>
    </row>
    <row r="72" spans="1:20" hidden="1" x14ac:dyDescent="0.45">
      <c r="A72" t="s">
        <v>1357</v>
      </c>
      <c r="B72" t="s">
        <v>592</v>
      </c>
      <c r="C72" t="str">
        <f>VLOOKUP(NSGRules[[#This Row],[NSGID]], NSGGroups[], 4, FALSE)</f>
        <v>NSG_DB_230_SLG_CJIS_va</v>
      </c>
      <c r="D72" t="str">
        <f>NSGRules[[#This Row],[Application]]&amp;"."&amp;NSGRules[[#This Row],[Type]]&amp;"."&amp;NSGRules[[#This Row],[Action]]</f>
        <v>All_Internet.Inbound.Deny</v>
      </c>
      <c r="E72" t="s">
        <v>1171</v>
      </c>
      <c r="F72" t="s">
        <v>624</v>
      </c>
      <c r="G72">
        <v>100</v>
      </c>
      <c r="H72" t="s">
        <v>1180</v>
      </c>
      <c r="I72" t="s">
        <v>1153</v>
      </c>
      <c r="J72" t="s">
        <v>1154</v>
      </c>
      <c r="K72" t="s">
        <v>1154</v>
      </c>
      <c r="L72" t="s">
        <v>1154</v>
      </c>
      <c r="M72" t="s">
        <v>1155</v>
      </c>
      <c r="N72">
        <f>VLOOKUP(NSGRules[[#This Row],[NSGID]], NSGGroups[], 8, FALSE)</f>
        <v>1</v>
      </c>
      <c r="O72">
        <f>VLOOKUP(NSGRules[[#This Row],[NSGID]], NSGGroups[], 3, FALSE)</f>
        <v>230</v>
      </c>
      <c r="P72" t="str">
        <f>VLOOKUP(NSGRules[[#This Row],[NSGID]], NSGGroups[], 6, FALSE)</f>
        <v>DB_230_SLG_CJIS_va</v>
      </c>
      <c r="Q72" t="str">
        <f>VLOOKUP(NSGRules[[#This Row],[NSGID]], NSGGroups[], 12, FALSE)</f>
        <v>CJIS</v>
      </c>
      <c r="R72" t="str">
        <f>VLOOKUP(NSGRules[[#This Row],[NSGID]], NSGGroups[], 11, FALSE)</f>
        <v>CJIS1</v>
      </c>
      <c r="S7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'NSG_DB_230_SLG_CJIS_va' | Set-AzureNetworkSecurityRule -Name 'All_Internet.Inbound.Deny' -Type Inbound -Priority 100 -Action Deny -SourceAddressPrefix 'INTERNET'  -SourcePortRange '*' -DestinationAddressPrefix '*' -DestinationPortRange '*' -Protocol TCP</v>
      </c>
      <c r="T7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'NSG_DB_230_SLG_CJIS_va' | Set-AzureNetworkSecurityGroupToSubnet -VirtualNetworkName $VNETName_CJIS1 -SubnetName 'DB_230_SLG_CJIS_va'</v>
      </c>
    </row>
    <row r="73" spans="1:20" x14ac:dyDescent="0.45">
      <c r="A73" t="s">
        <v>1358</v>
      </c>
      <c r="B73" t="s">
        <v>593</v>
      </c>
      <c r="C73" t="str">
        <f>VLOOKUP(NSGRules[[#This Row],[NSGID]], NSGGroups[], 4, FALSE)</f>
        <v>NSG_DMZ_250_SLG_CJIS_va</v>
      </c>
      <c r="D73" t="str">
        <f>NSGRules[[#This Row],[Application]]&amp;"."&amp;NSGRules[[#This Row],[Type]]&amp;"."&amp;NSGRules[[#This Row],[Action]]</f>
        <v>HTTPS.Inbound.Allow</v>
      </c>
      <c r="E73" t="s">
        <v>1181</v>
      </c>
      <c r="F73" t="s">
        <v>624</v>
      </c>
      <c r="G73">
        <v>100</v>
      </c>
      <c r="H73" t="s">
        <v>625</v>
      </c>
      <c r="I73" t="s">
        <v>1153</v>
      </c>
      <c r="J73">
        <v>443</v>
      </c>
      <c r="K73" t="str">
        <f>VLOOKUP(NSGRules[[#This Row],[NSGID]], NSGGroups[], 13, FALSE)</f>
        <v>10.130.22.0/24</v>
      </c>
      <c r="L73">
        <v>443</v>
      </c>
      <c r="M73" t="s">
        <v>1155</v>
      </c>
      <c r="N73">
        <f>VLOOKUP(NSGRules[[#This Row],[NSGID]], NSGGroups[], 8, FALSE)</f>
        <v>2</v>
      </c>
      <c r="O73">
        <f>VLOOKUP(NSGRules[[#This Row],[NSGID]], NSGGroups[], 3, FALSE)</f>
        <v>250</v>
      </c>
      <c r="P73" t="str">
        <f>VLOOKUP(NSGRules[[#This Row],[NSGID]], NSGGroups[], 6, FALSE)</f>
        <v>DMZ_250_SLG_CJIS_va</v>
      </c>
      <c r="Q73" t="str">
        <f>VLOOKUP(NSGRules[[#This Row],[NSGID]], NSGGroups[], 12, FALSE)</f>
        <v>CJIS</v>
      </c>
      <c r="R73" t="str">
        <f>VLOOKUP(NSGRules[[#This Row],[NSGID]], NSGGroups[], 11, FALSE)</f>
        <v>CJIS1</v>
      </c>
      <c r="S7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'NSG_DMZ_250_SLG_CJIS_va' | Set-AzureNetworkSecurityRule -Name 'HTTPS.Inbound.Allow' -Type Inbound -Priority 100 -Action Allow -SourceAddressPrefix 'INTERNET'  -SourcePortRange '443' -DestinationAddressPrefix '10.130.22.0/24' -DestinationPortRange '443' -Protocol TCP</v>
      </c>
      <c r="T7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'NSG_DMZ_250_SLG_CJIS_va' | Set-AzureNetworkSecurityGroupToSubnet -VirtualNetworkName $VNETName_CJIS1 -SubnetName 'DMZ_250_SLG_CJIS_va'</v>
      </c>
    </row>
    <row r="74" spans="1:20" hidden="1" x14ac:dyDescent="0.45">
      <c r="A74" t="s">
        <v>1359</v>
      </c>
      <c r="B74" t="s">
        <v>594</v>
      </c>
      <c r="C74" t="str">
        <f>VLOOKUP(NSGRules[[#This Row],[NSGID]], NSGGroups[], 4, FALSE)</f>
        <v>NSG_User_Tier0_260_SLG_CJIS_va</v>
      </c>
      <c r="D74" t="str">
        <f>NSGRules[[#This Row],[Application]]&amp;"."&amp;NSGRules[[#This Row],[Type]]&amp;"."&amp;NSGRules[[#This Row],[Action]]</f>
        <v>All_Internet.Inbound.Deny</v>
      </c>
      <c r="E74" t="s">
        <v>1171</v>
      </c>
      <c r="F74" t="s">
        <v>624</v>
      </c>
      <c r="G74">
        <v>100</v>
      </c>
      <c r="H74" t="s">
        <v>1180</v>
      </c>
      <c r="I74" t="s">
        <v>1153</v>
      </c>
      <c r="J74" t="s">
        <v>1154</v>
      </c>
      <c r="K74" t="s">
        <v>1154</v>
      </c>
      <c r="L74" t="s">
        <v>1154</v>
      </c>
      <c r="M74" t="s">
        <v>1155</v>
      </c>
      <c r="N74">
        <f>VLOOKUP(NSGRules[[#This Row],[NSGID]], NSGGroups[], 8, FALSE)</f>
        <v>0</v>
      </c>
      <c r="O74">
        <f>VLOOKUP(NSGRules[[#This Row],[NSGID]], NSGGroups[], 3, FALSE)</f>
        <v>260</v>
      </c>
      <c r="P74" t="str">
        <f>VLOOKUP(NSGRules[[#This Row],[NSGID]], NSGGroups[], 6, FALSE)</f>
        <v>User_Tier0_260_SLG_CJIS_va</v>
      </c>
      <c r="Q74" t="str">
        <f>VLOOKUP(NSGRules[[#This Row],[NSGID]], NSGGroups[], 12, FALSE)</f>
        <v>CJIS</v>
      </c>
      <c r="R74" t="str">
        <f>VLOOKUP(NSGRules[[#This Row],[NSGID]], NSGGroups[], 11, FALSE)</f>
        <v>CJIS1</v>
      </c>
      <c r="S7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'NSG_User_Tier0_260_SLG_CJIS_va' | Set-AzureNetworkSecurityRule -Name 'All_Internet.Inbound.Deny' -Type Inbound -Priority 100 -Action Deny -SourceAddressPrefix 'INTERNET'  -SourcePortRange '*' -DestinationAddressPrefix '*' -DestinationPortRange '*' -Protocol TCP</v>
      </c>
      <c r="T7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'NSG_User_Tier0_260_SLG_CJIS_va' | Set-AzureNetworkSecurityGroupToSubnet -VirtualNetworkName $VNETName_CJIS1 -SubnetName 'User_Tier0_260_SLG_CJIS_va'</v>
      </c>
    </row>
    <row r="75" spans="1:20" hidden="1" x14ac:dyDescent="0.45">
      <c r="A75" t="s">
        <v>1360</v>
      </c>
      <c r="B75" t="s">
        <v>595</v>
      </c>
      <c r="C75" t="str">
        <f>VLOOKUP(NSGRules[[#This Row],[NSGID]], NSGGroups[], 4, FALSE)</f>
        <v>NSG_Users_Tier1_261_SLG_CJIS_va</v>
      </c>
      <c r="D75" t="str">
        <f>NSGRules[[#This Row],[Application]]&amp;"."&amp;NSGRules[[#This Row],[Type]]&amp;"."&amp;NSGRules[[#This Row],[Action]]</f>
        <v>All_Internet.Inbound.Deny</v>
      </c>
      <c r="E75" t="s">
        <v>1171</v>
      </c>
      <c r="F75" t="s">
        <v>624</v>
      </c>
      <c r="G75">
        <v>100</v>
      </c>
      <c r="H75" t="s">
        <v>1180</v>
      </c>
      <c r="I75" t="s">
        <v>1153</v>
      </c>
      <c r="J75" t="s">
        <v>1154</v>
      </c>
      <c r="K75" t="s">
        <v>1154</v>
      </c>
      <c r="L75" t="s">
        <v>1154</v>
      </c>
      <c r="M75" t="s">
        <v>1155</v>
      </c>
      <c r="N75">
        <f>VLOOKUP(NSGRules[[#This Row],[NSGID]], NSGGroups[], 8, FALSE)</f>
        <v>1</v>
      </c>
      <c r="O75">
        <f>VLOOKUP(NSGRules[[#This Row],[NSGID]], NSGGroups[], 3, FALSE)</f>
        <v>261</v>
      </c>
      <c r="P75" t="str">
        <f>VLOOKUP(NSGRules[[#This Row],[NSGID]], NSGGroups[], 6, FALSE)</f>
        <v>Users_Tier1_261_SLG_CJIS_va</v>
      </c>
      <c r="Q75" t="str">
        <f>VLOOKUP(NSGRules[[#This Row],[NSGID]], NSGGroups[], 12, FALSE)</f>
        <v>CJIS</v>
      </c>
      <c r="R75" t="str">
        <f>VLOOKUP(NSGRules[[#This Row],[NSGID]], NSGGroups[], 11, FALSE)</f>
        <v>CJIS1</v>
      </c>
      <c r="S7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'NSG_Users_Tier1_261_SLG_CJIS_va' | Set-AzureNetworkSecurityRule -Name 'All_Internet.Inbound.Deny' -Type Inbound -Priority 100 -Action Deny -SourceAddressPrefix 'INTERNET'  -SourcePortRange '*' -DestinationAddressPrefix '*' -DestinationPortRange '*' -Protocol TCP</v>
      </c>
      <c r="T7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'NSG_Users_Tier1_261_SLG_CJIS_va' | Set-AzureNetworkSecurityGroupToSubnet -VirtualNetworkName $VNETName_CJIS1 -SubnetName 'Users_Tier1_261_SLG_CJIS_va'</v>
      </c>
    </row>
    <row r="76" spans="1:20" hidden="1" x14ac:dyDescent="0.45">
      <c r="A76" t="s">
        <v>1361</v>
      </c>
      <c r="B76" t="s">
        <v>596</v>
      </c>
      <c r="C76" t="str">
        <f>VLOOKUP(NSGRules[[#This Row],[NSGID]], NSGGroups[], 4, FALSE)</f>
        <v>NSG_Web_210_SLG_CJIS_ia</v>
      </c>
      <c r="D76" t="str">
        <f>NSGRules[[#This Row],[Application]]&amp;"."&amp;NSGRules[[#This Row],[Type]]&amp;"."&amp;NSGRules[[#This Row],[Action]]</f>
        <v>All_Internet.Inbound.Deny</v>
      </c>
      <c r="E76" t="s">
        <v>1171</v>
      </c>
      <c r="F76" t="s">
        <v>624</v>
      </c>
      <c r="G76">
        <v>100</v>
      </c>
      <c r="H76" t="s">
        <v>1180</v>
      </c>
      <c r="I76" t="s">
        <v>1153</v>
      </c>
      <c r="J76" t="s">
        <v>1154</v>
      </c>
      <c r="K76" t="s">
        <v>1154</v>
      </c>
      <c r="L76" t="s">
        <v>1154</v>
      </c>
      <c r="M76" t="s">
        <v>1155</v>
      </c>
      <c r="N76">
        <f>VLOOKUP(NSGRules[[#This Row],[NSGID]], NSGGroups[], 8, FALSE)</f>
        <v>2</v>
      </c>
      <c r="O76">
        <f>VLOOKUP(NSGRules[[#This Row],[NSGID]], NSGGroups[], 3, FALSE)</f>
        <v>210</v>
      </c>
      <c r="P76" t="str">
        <f>VLOOKUP(NSGRules[[#This Row],[NSGID]], NSGGroups[], 6, FALSE)</f>
        <v>Web_210_SLG_CJIS_ia</v>
      </c>
      <c r="Q76" t="str">
        <f>VLOOKUP(NSGRules[[#This Row],[NSGID]], NSGGroups[], 12, FALSE)</f>
        <v>CJIS</v>
      </c>
      <c r="R76" t="str">
        <f>VLOOKUP(NSGRules[[#This Row],[NSGID]], NSGGroups[], 11, FALSE)</f>
        <v>CJIS2</v>
      </c>
      <c r="S7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'NSG_Web_210_SLG_CJIS_ia' | Set-AzureNetworkSecurityRule -Name 'All_Internet.Inbound.Deny' -Type Inbound -Priority 100 -Action Deny -SourceAddressPrefix 'INTERNET'  -SourcePortRange '*' -DestinationAddressPrefix '*' -DestinationPortRange '*' -Protocol TCP</v>
      </c>
      <c r="T7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'NSG_Web_210_SLG_CJIS_ia' | Set-AzureNetworkSecurityGroupToSubnet -VirtualNetworkName $VNETName_CJIS2 -SubnetName 'Web_210_SLG_CJIS_ia'</v>
      </c>
    </row>
    <row r="77" spans="1:20" hidden="1" x14ac:dyDescent="0.45">
      <c r="A77" t="s">
        <v>1362</v>
      </c>
      <c r="B77" t="s">
        <v>597</v>
      </c>
      <c r="C77" t="str">
        <f>VLOOKUP(NSGRules[[#This Row],[NSGID]], NSGGroups[], 4, FALSE)</f>
        <v>NSG_App_220_SLG_CJIS_ia</v>
      </c>
      <c r="D77" t="str">
        <f>NSGRules[[#This Row],[Application]]&amp;"."&amp;NSGRules[[#This Row],[Type]]&amp;"."&amp;NSGRules[[#This Row],[Action]]</f>
        <v>All_Internet.Inbound.Deny</v>
      </c>
      <c r="E77" t="s">
        <v>1171</v>
      </c>
      <c r="F77" t="s">
        <v>624</v>
      </c>
      <c r="G77">
        <v>100</v>
      </c>
      <c r="H77" t="s">
        <v>1180</v>
      </c>
      <c r="I77" t="s">
        <v>1153</v>
      </c>
      <c r="J77" t="s">
        <v>1154</v>
      </c>
      <c r="K77" t="s">
        <v>1154</v>
      </c>
      <c r="L77" t="s">
        <v>1154</v>
      </c>
      <c r="M77" t="s">
        <v>1155</v>
      </c>
      <c r="N77">
        <f>VLOOKUP(NSGRules[[#This Row],[NSGID]], NSGGroups[], 8, FALSE)</f>
        <v>1</v>
      </c>
      <c r="O77">
        <f>VLOOKUP(NSGRules[[#This Row],[NSGID]], NSGGroups[], 3, FALSE)</f>
        <v>220</v>
      </c>
      <c r="P77" t="str">
        <f>VLOOKUP(NSGRules[[#This Row],[NSGID]], NSGGroups[], 6, FALSE)</f>
        <v>App_220_SLG_CJIS_ia</v>
      </c>
      <c r="Q77" t="str">
        <f>VLOOKUP(NSGRules[[#This Row],[NSGID]], NSGGroups[], 12, FALSE)</f>
        <v>CJIS</v>
      </c>
      <c r="R77" t="str">
        <f>VLOOKUP(NSGRules[[#This Row],[NSGID]], NSGGroups[], 11, FALSE)</f>
        <v>CJIS2</v>
      </c>
      <c r="S7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'NSG_App_220_SLG_CJIS_ia' | Set-AzureNetworkSecurityRule -Name 'All_Internet.Inbound.Deny' -Type Inbound -Priority 100 -Action Deny -SourceAddressPrefix 'INTERNET'  -SourcePortRange '*' -DestinationAddressPrefix '*' -DestinationPortRange '*' -Protocol TCP</v>
      </c>
      <c r="T7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'NSG_App_220_SLG_CJIS_ia' | Set-AzureNetworkSecurityGroupToSubnet -VirtualNetworkName $VNETName_CJIS2 -SubnetName 'App_220_SLG_CJIS_ia'</v>
      </c>
    </row>
    <row r="78" spans="1:20" hidden="1" x14ac:dyDescent="0.45">
      <c r="A78" t="s">
        <v>1363</v>
      </c>
      <c r="B78" t="s">
        <v>598</v>
      </c>
      <c r="C78" t="str">
        <f>VLOOKUP(NSGRules[[#This Row],[NSGID]], NSGGroups[], 4, FALSE)</f>
        <v>NSG_Database_230_SLG_CJIS_ia</v>
      </c>
      <c r="D78" t="str">
        <f>NSGRules[[#This Row],[Application]]&amp;"."&amp;NSGRules[[#This Row],[Type]]&amp;"."&amp;NSGRules[[#This Row],[Action]]</f>
        <v>All_Internet.Inbound.Deny</v>
      </c>
      <c r="E78" t="s">
        <v>1171</v>
      </c>
      <c r="F78" t="s">
        <v>624</v>
      </c>
      <c r="G78">
        <v>100</v>
      </c>
      <c r="H78" t="s">
        <v>1180</v>
      </c>
      <c r="I78" t="s">
        <v>1153</v>
      </c>
      <c r="J78" t="s">
        <v>1154</v>
      </c>
      <c r="K78" t="s">
        <v>1154</v>
      </c>
      <c r="L78" t="s">
        <v>1154</v>
      </c>
      <c r="M78" t="s">
        <v>1155</v>
      </c>
      <c r="N78">
        <f>VLOOKUP(NSGRules[[#This Row],[NSGID]], NSGGroups[], 8, FALSE)</f>
        <v>1</v>
      </c>
      <c r="O78">
        <f>VLOOKUP(NSGRules[[#This Row],[NSGID]], NSGGroups[], 3, FALSE)</f>
        <v>230</v>
      </c>
      <c r="P78" t="str">
        <f>VLOOKUP(NSGRules[[#This Row],[NSGID]], NSGGroups[], 6, FALSE)</f>
        <v>Database_230_SLG_CJIS_ia</v>
      </c>
      <c r="Q78" t="str">
        <f>VLOOKUP(NSGRules[[#This Row],[NSGID]], NSGGroups[], 12, FALSE)</f>
        <v>CJIS</v>
      </c>
      <c r="R78" t="str">
        <f>VLOOKUP(NSGRules[[#This Row],[NSGID]], NSGGroups[], 11, FALSE)</f>
        <v>CJIS2</v>
      </c>
      <c r="S7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'NSG_Database_230_SLG_CJIS_ia' | Set-AzureNetworkSecurityRule -Name 'All_Internet.Inbound.Deny' -Type Inbound -Priority 100 -Action Deny -SourceAddressPrefix 'INTERNET'  -SourcePortRange '*' -DestinationAddressPrefix '*' -DestinationPortRange '*' -Protocol TCP</v>
      </c>
      <c r="T7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'NSG_Database_230_SLG_CJIS_ia' | Set-AzureNetworkSecurityGroupToSubnet -VirtualNetworkName $VNETName_CJIS2 -SubnetName 'Database_230_SLG_CJIS_ia'</v>
      </c>
    </row>
    <row r="79" spans="1:20" x14ac:dyDescent="0.45">
      <c r="A79" t="s">
        <v>1364</v>
      </c>
      <c r="B79" t="s">
        <v>599</v>
      </c>
      <c r="C79" t="str">
        <f>VLOOKUP(NSGRules[[#This Row],[NSGID]], NSGGroups[], 4, FALSE)</f>
        <v>NSG_DMZ_250_SLG_CJIS_ia</v>
      </c>
      <c r="D79" t="str">
        <f>NSGRules[[#This Row],[Application]]&amp;"."&amp;NSGRules[[#This Row],[Type]]&amp;"."&amp;NSGRules[[#This Row],[Action]]</f>
        <v>HTTPS.Inbound.Allow</v>
      </c>
      <c r="E79" t="s">
        <v>1181</v>
      </c>
      <c r="F79" t="s">
        <v>624</v>
      </c>
      <c r="G79">
        <v>100</v>
      </c>
      <c r="H79" t="s">
        <v>625</v>
      </c>
      <c r="I79" t="s">
        <v>1153</v>
      </c>
      <c r="J79">
        <v>443</v>
      </c>
      <c r="K79" t="str">
        <f>VLOOKUP(NSGRules[[#This Row],[NSGID]], NSGGroups[], 13, FALSE)</f>
        <v>10.130.86.0/24</v>
      </c>
      <c r="L79">
        <v>443</v>
      </c>
      <c r="M79" t="s">
        <v>1155</v>
      </c>
      <c r="N79">
        <f>VLOOKUP(NSGRules[[#This Row],[NSGID]], NSGGroups[], 8, FALSE)</f>
        <v>2</v>
      </c>
      <c r="O79">
        <f>VLOOKUP(NSGRules[[#This Row],[NSGID]], NSGGroups[], 3, FALSE)</f>
        <v>250</v>
      </c>
      <c r="P79" t="str">
        <f>VLOOKUP(NSGRules[[#This Row],[NSGID]], NSGGroups[], 6, FALSE)</f>
        <v>DMZ_250_SLG_CJIS_ia</v>
      </c>
      <c r="Q79" t="str">
        <f>VLOOKUP(NSGRules[[#This Row],[NSGID]], NSGGroups[], 12, FALSE)</f>
        <v>CJIS</v>
      </c>
      <c r="R79" t="str">
        <f>VLOOKUP(NSGRules[[#This Row],[NSGID]], NSGGroups[], 11, FALSE)</f>
        <v>CJIS2</v>
      </c>
      <c r="S7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'NSG_DMZ_250_SLG_CJIS_ia' | Set-AzureNetworkSecurityRule -Name 'HTTPS.Inbound.Allow' -Type Inbound -Priority 100 -Action Allow -SourceAddressPrefix 'INTERNET'  -SourcePortRange '443' -DestinationAddressPrefix '10.130.86.0/24' -DestinationPortRange '443' -Protocol TCP</v>
      </c>
      <c r="T7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'NSG_DMZ_250_SLG_CJIS_ia' | Set-AzureNetworkSecurityGroupToSubnet -VirtualNetworkName $VNETName_CJIS2 -SubnetName 'DMZ_250_SLG_CJIS_ia'</v>
      </c>
    </row>
    <row r="80" spans="1:20" hidden="1" x14ac:dyDescent="0.45">
      <c r="A80" t="s">
        <v>1365</v>
      </c>
      <c r="B80" t="s">
        <v>600</v>
      </c>
      <c r="C80" t="str">
        <f>VLOOKUP(NSGRules[[#This Row],[NSGID]], NSGGroups[], 4, FALSE)</f>
        <v>NSG_User_Tier0_260_SLG_CJIS_ia</v>
      </c>
      <c r="D80" t="str">
        <f>NSGRules[[#This Row],[Application]]&amp;"."&amp;NSGRules[[#This Row],[Type]]&amp;"."&amp;NSGRules[[#This Row],[Action]]</f>
        <v>All_Internet.Inbound.Deny</v>
      </c>
      <c r="E80" t="s">
        <v>1171</v>
      </c>
      <c r="F80" t="s">
        <v>624</v>
      </c>
      <c r="G80">
        <v>100</v>
      </c>
      <c r="H80" t="s">
        <v>1180</v>
      </c>
      <c r="I80" t="s">
        <v>1153</v>
      </c>
      <c r="J80" t="s">
        <v>1154</v>
      </c>
      <c r="K80" t="s">
        <v>1154</v>
      </c>
      <c r="L80" t="s">
        <v>1154</v>
      </c>
      <c r="M80" t="s">
        <v>1155</v>
      </c>
      <c r="N80">
        <f>VLOOKUP(NSGRules[[#This Row],[NSGID]], NSGGroups[], 8, FALSE)</f>
        <v>0</v>
      </c>
      <c r="O80">
        <f>VLOOKUP(NSGRules[[#This Row],[NSGID]], NSGGroups[], 3, FALSE)</f>
        <v>260</v>
      </c>
      <c r="P80" t="str">
        <f>VLOOKUP(NSGRules[[#This Row],[NSGID]], NSGGroups[], 6, FALSE)</f>
        <v>User_Tier0_260_SLG_CJIS_ia</v>
      </c>
      <c r="Q80" t="str">
        <f>VLOOKUP(NSGRules[[#This Row],[NSGID]], NSGGroups[], 12, FALSE)</f>
        <v>CJIS</v>
      </c>
      <c r="R80" t="str">
        <f>VLOOKUP(NSGRules[[#This Row],[NSGID]], NSGGroups[], 11, FALSE)</f>
        <v>CJIS2</v>
      </c>
      <c r="S8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'NSG_User_Tier0_260_SLG_CJIS_ia' | Set-AzureNetworkSecurityRule -Name 'All_Internet.Inbound.Deny' -Type Inbound -Priority 100 -Action Deny -SourceAddressPrefix 'INTERNET'  -SourcePortRange '*' -DestinationAddressPrefix '*' -DestinationPortRange '*' -Protocol TCP</v>
      </c>
      <c r="T8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'NSG_User_Tier0_260_SLG_CJIS_ia' | Set-AzureNetworkSecurityGroupToSubnet -VirtualNetworkName $VNETName_CJIS2 -SubnetName 'User_Tier0_260_SLG_CJIS_ia'</v>
      </c>
    </row>
    <row r="81" spans="1:20" hidden="1" x14ac:dyDescent="0.45">
      <c r="A81" t="s">
        <v>1366</v>
      </c>
      <c r="B81" t="s">
        <v>1040</v>
      </c>
      <c r="C81" t="str">
        <f>VLOOKUP(NSGRules[[#This Row],[NSGID]], NSGGroups[], 4, FALSE)</f>
        <v>NSG_User_Tier1_261_SLG_CJIS_ia</v>
      </c>
      <c r="D81" t="str">
        <f>NSGRules[[#This Row],[Application]]&amp;"."&amp;NSGRules[[#This Row],[Type]]&amp;"."&amp;NSGRules[[#This Row],[Action]]</f>
        <v>All_Internet.Inbound.Deny</v>
      </c>
      <c r="E81" t="s">
        <v>1171</v>
      </c>
      <c r="F81" t="s">
        <v>624</v>
      </c>
      <c r="G81">
        <v>100</v>
      </c>
      <c r="H81" t="s">
        <v>1180</v>
      </c>
      <c r="I81" t="s">
        <v>1153</v>
      </c>
      <c r="J81" t="s">
        <v>1154</v>
      </c>
      <c r="K81" t="s">
        <v>1154</v>
      </c>
      <c r="L81" t="s">
        <v>1154</v>
      </c>
      <c r="M81" t="s">
        <v>1155</v>
      </c>
      <c r="N81">
        <f>VLOOKUP(NSGRules[[#This Row],[NSGID]], NSGGroups[], 8, FALSE)</f>
        <v>1</v>
      </c>
      <c r="O81">
        <f>VLOOKUP(NSGRules[[#This Row],[NSGID]], NSGGroups[], 3, FALSE)</f>
        <v>261</v>
      </c>
      <c r="P81" t="str">
        <f>VLOOKUP(NSGRules[[#This Row],[NSGID]], NSGGroups[], 6, FALSE)</f>
        <v>User_Tier1_261_SLG_CJIS_ia</v>
      </c>
      <c r="Q81" t="str">
        <f>VLOOKUP(NSGRules[[#This Row],[NSGID]], NSGGroups[], 12, FALSE)</f>
        <v>CJIS</v>
      </c>
      <c r="R81" t="str">
        <f>VLOOKUP(NSGRules[[#This Row],[NSGID]], NSGGroups[], 11, FALSE)</f>
        <v>CJIS2</v>
      </c>
      <c r="S8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'NSG_User_Tier1_261_SLG_CJIS_ia' | Set-AzureNetworkSecurityRule -Name 'All_Internet.Inbound.Deny' -Type Inbound -Priority 100 -Action Deny -SourceAddressPrefix 'INTERNET'  -SourcePortRange '*' -DestinationAddressPrefix '*' -DestinationPortRange '*' -Protocol TCP</v>
      </c>
      <c r="T8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'NSG_User_Tier1_261_SLG_CJIS_ia' | Set-AzureNetworkSecurityGroupToSubnet -VirtualNetworkName $VNETName_CJIS2 -SubnetName 'User_Tier1_261_SLG_CJIS_ia'</v>
      </c>
    </row>
    <row r="82" spans="1:20" hidden="1" x14ac:dyDescent="0.45">
      <c r="A82" t="s">
        <v>1367</v>
      </c>
      <c r="B82" t="s">
        <v>1041</v>
      </c>
      <c r="C82" t="str">
        <f>VLOOKUP(NSGRules[[#This Row],[NSGID]], NSGGroups[], 4, FALSE)</f>
        <v>NSG_Web_310_SLG_Test_va</v>
      </c>
      <c r="D82" t="str">
        <f>NSGRules[[#This Row],[Application]]&amp;"."&amp;NSGRules[[#This Row],[Type]]&amp;"."&amp;NSGRules[[#This Row],[Action]]</f>
        <v>All_Internet.Inbound.Deny</v>
      </c>
      <c r="E82" t="s">
        <v>1171</v>
      </c>
      <c r="F82" t="s">
        <v>624</v>
      </c>
      <c r="G82">
        <v>100</v>
      </c>
      <c r="H82" t="s">
        <v>1180</v>
      </c>
      <c r="I82" t="s">
        <v>1153</v>
      </c>
      <c r="J82" t="s">
        <v>1154</v>
      </c>
      <c r="K82" t="s">
        <v>1154</v>
      </c>
      <c r="L82" t="s">
        <v>1154</v>
      </c>
      <c r="M82" t="s">
        <v>1155</v>
      </c>
      <c r="N82">
        <f>VLOOKUP(NSGRules[[#This Row],[NSGID]], NSGGroups[], 8, FALSE)</f>
        <v>2</v>
      </c>
      <c r="O82">
        <f>VLOOKUP(NSGRules[[#This Row],[NSGID]], NSGGroups[], 3, FALSE)</f>
        <v>310</v>
      </c>
      <c r="P82" t="str">
        <f>VLOOKUP(NSGRules[[#This Row],[NSGID]], NSGGroups[], 6, FALSE)</f>
        <v>Web_310_SLG_Test_va</v>
      </c>
      <c r="Q82" t="str">
        <f>VLOOKUP(NSGRules[[#This Row],[NSGID]], NSGGroups[], 12, FALSE)</f>
        <v>Test</v>
      </c>
      <c r="R82" t="str">
        <f>VLOOKUP(NSGRules[[#This Row],[NSGID]], NSGGroups[], 11, FALSE)</f>
        <v>PreProd1</v>
      </c>
      <c r="S8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'NSG_Web_310_SLG_Test_va' | Set-AzureNetworkSecurityRule -Name 'All_Internet.Inbound.Deny' -Type Inbound -Priority 100 -Action Deny -SourceAddressPrefix 'INTERNET'  -SourcePortRange '*' -DestinationAddressPrefix '*' -DestinationPortRange '*' -Protocol TCP</v>
      </c>
      <c r="T8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'NSG_Web_310_SLG_Test_va' | Set-AzureNetworkSecurityGroupToSubnet -VirtualNetworkName $VNETName_PreProd1 -SubnetName 'Web_310_SLG_Test_va'</v>
      </c>
    </row>
    <row r="83" spans="1:20" hidden="1" x14ac:dyDescent="0.45">
      <c r="A83" t="s">
        <v>1368</v>
      </c>
      <c r="B83" t="s">
        <v>1042</v>
      </c>
      <c r="C83" t="str">
        <f>VLOOKUP(NSGRules[[#This Row],[NSGID]], NSGGroups[], 4, FALSE)</f>
        <v>NSG_App_320_SLG_Test_va</v>
      </c>
      <c r="D83" t="str">
        <f>NSGRules[[#This Row],[Application]]&amp;"."&amp;NSGRules[[#This Row],[Type]]&amp;"."&amp;NSGRules[[#This Row],[Action]]</f>
        <v>All_Internet.Inbound.Deny</v>
      </c>
      <c r="E83" t="s">
        <v>1171</v>
      </c>
      <c r="F83" t="s">
        <v>624</v>
      </c>
      <c r="G83">
        <v>100</v>
      </c>
      <c r="H83" t="s">
        <v>1180</v>
      </c>
      <c r="I83" t="s">
        <v>1153</v>
      </c>
      <c r="J83" t="s">
        <v>1154</v>
      </c>
      <c r="K83" t="s">
        <v>1154</v>
      </c>
      <c r="L83" t="s">
        <v>1154</v>
      </c>
      <c r="M83" t="s">
        <v>1155</v>
      </c>
      <c r="N83">
        <f>VLOOKUP(NSGRules[[#This Row],[NSGID]], NSGGroups[], 8, FALSE)</f>
        <v>1</v>
      </c>
      <c r="O83">
        <f>VLOOKUP(NSGRules[[#This Row],[NSGID]], NSGGroups[], 3, FALSE)</f>
        <v>320</v>
      </c>
      <c r="P83" t="str">
        <f>VLOOKUP(NSGRules[[#This Row],[NSGID]], NSGGroups[], 6, FALSE)</f>
        <v>App_320_SLG_Test_va</v>
      </c>
      <c r="Q83" t="str">
        <f>VLOOKUP(NSGRules[[#This Row],[NSGID]], NSGGroups[], 12, FALSE)</f>
        <v>Test</v>
      </c>
      <c r="R83" t="str">
        <f>VLOOKUP(NSGRules[[#This Row],[NSGID]], NSGGroups[], 11, FALSE)</f>
        <v>PreProd1</v>
      </c>
      <c r="S8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'NSG_App_320_SLG_Test_va' | Set-AzureNetworkSecurityRule -Name 'All_Internet.Inbound.Deny' -Type Inbound -Priority 100 -Action Deny -SourceAddressPrefix 'INTERNET'  -SourcePortRange '*' -DestinationAddressPrefix '*' -DestinationPortRange '*' -Protocol TCP</v>
      </c>
      <c r="T8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'NSG_App_320_SLG_Test_va' | Set-AzureNetworkSecurityGroupToSubnet -VirtualNetworkName $VNETName_PreProd1 -SubnetName 'App_320_SLG_Test_va'</v>
      </c>
    </row>
    <row r="84" spans="1:20" hidden="1" x14ac:dyDescent="0.45">
      <c r="A84" t="s">
        <v>1369</v>
      </c>
      <c r="B84" t="s">
        <v>1043</v>
      </c>
      <c r="C84" t="str">
        <f>VLOOKUP(NSGRules[[#This Row],[NSGID]], NSGGroups[], 4, FALSE)</f>
        <v>NSG_Database_330_SLG_Test_va</v>
      </c>
      <c r="D84" t="str">
        <f>NSGRules[[#This Row],[Application]]&amp;"."&amp;NSGRules[[#This Row],[Type]]&amp;"."&amp;NSGRules[[#This Row],[Action]]</f>
        <v>All_Internet.Inbound.Deny</v>
      </c>
      <c r="E84" t="s">
        <v>1171</v>
      </c>
      <c r="F84" t="s">
        <v>624</v>
      </c>
      <c r="G84">
        <v>100</v>
      </c>
      <c r="H84" t="s">
        <v>1180</v>
      </c>
      <c r="I84" t="s">
        <v>1153</v>
      </c>
      <c r="J84" t="s">
        <v>1154</v>
      </c>
      <c r="K84" t="s">
        <v>1154</v>
      </c>
      <c r="L84" t="s">
        <v>1154</v>
      </c>
      <c r="M84" t="s">
        <v>1155</v>
      </c>
      <c r="N84">
        <f>VLOOKUP(NSGRules[[#This Row],[NSGID]], NSGGroups[], 8, FALSE)</f>
        <v>1</v>
      </c>
      <c r="O84">
        <f>VLOOKUP(NSGRules[[#This Row],[NSGID]], NSGGroups[], 3, FALSE)</f>
        <v>330</v>
      </c>
      <c r="P84" t="str">
        <f>VLOOKUP(NSGRules[[#This Row],[NSGID]], NSGGroups[], 6, FALSE)</f>
        <v>Database_330_SLG_Test_va</v>
      </c>
      <c r="Q84" t="str">
        <f>VLOOKUP(NSGRules[[#This Row],[NSGID]], NSGGroups[], 12, FALSE)</f>
        <v>Test</v>
      </c>
      <c r="R84" t="str">
        <f>VLOOKUP(NSGRules[[#This Row],[NSGID]], NSGGroups[], 11, FALSE)</f>
        <v>PreProd1</v>
      </c>
      <c r="S8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'NSG_Database_330_SLG_Test_va' | Set-AzureNetworkSecurityRule -Name 'All_Internet.Inbound.Deny' -Type Inbound -Priority 100 -Action Deny -SourceAddressPrefix 'INTERNET'  -SourcePortRange '*' -DestinationAddressPrefix '*' -DestinationPortRange '*' -Protocol TCP</v>
      </c>
      <c r="T8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'NSG_Database_330_SLG_Test_va' | Set-AzureNetworkSecurityGroupToSubnet -VirtualNetworkName $VNETName_PreProd1 -SubnetName 'Database_330_SLG_Test_va'</v>
      </c>
    </row>
    <row r="85" spans="1:20" x14ac:dyDescent="0.45">
      <c r="A85" t="s">
        <v>1370</v>
      </c>
      <c r="B85" t="s">
        <v>1044</v>
      </c>
      <c r="C85" t="str">
        <f>VLOOKUP(NSGRules[[#This Row],[NSGID]], NSGGroups[], 4, FALSE)</f>
        <v>NSG_DMZ_350_SLG_Test_va</v>
      </c>
      <c r="D85" t="str">
        <f>NSGRules[[#This Row],[Application]]&amp;"."&amp;NSGRules[[#This Row],[Type]]&amp;"."&amp;NSGRules[[#This Row],[Action]]</f>
        <v>HTTPS.Inbound.Allow</v>
      </c>
      <c r="E85" t="s">
        <v>1181</v>
      </c>
      <c r="F85" t="s">
        <v>624</v>
      </c>
      <c r="G85">
        <v>100</v>
      </c>
      <c r="H85" t="s">
        <v>625</v>
      </c>
      <c r="I85" t="s">
        <v>1153</v>
      </c>
      <c r="J85">
        <v>443</v>
      </c>
      <c r="K85" t="str">
        <f>VLOOKUP(NSGRules[[#This Row],[NSGID]], NSGGroups[], 13, FALSE)</f>
        <v>10.130.35.0/24</v>
      </c>
      <c r="L85">
        <v>443</v>
      </c>
      <c r="M85" t="s">
        <v>1155</v>
      </c>
      <c r="N85">
        <f>VLOOKUP(NSGRules[[#This Row],[NSGID]], NSGGroups[], 8, FALSE)</f>
        <v>2</v>
      </c>
      <c r="O85">
        <f>VLOOKUP(NSGRules[[#This Row],[NSGID]], NSGGroups[], 3, FALSE)</f>
        <v>350</v>
      </c>
      <c r="P85" t="str">
        <f>VLOOKUP(NSGRules[[#This Row],[NSGID]], NSGGroups[], 6, FALSE)</f>
        <v>DMZ_350_SLG_Test_va</v>
      </c>
      <c r="Q85" t="str">
        <f>VLOOKUP(NSGRules[[#This Row],[NSGID]], NSGGroups[], 12, FALSE)</f>
        <v>Test</v>
      </c>
      <c r="R85" t="str">
        <f>VLOOKUP(NSGRules[[#This Row],[NSGID]], NSGGroups[], 11, FALSE)</f>
        <v>PreProd1</v>
      </c>
      <c r="S8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'NSG_DMZ_350_SLG_Test_va' | Set-AzureNetworkSecurityRule -Name 'HTTPS.Inbound.Allow' -Type Inbound -Priority 100 -Action Allow -SourceAddressPrefix 'INTERNET'  -SourcePortRange '443' -DestinationAddressPrefix '10.130.35.0/24' -DestinationPortRange '443' -Protocol TCP</v>
      </c>
      <c r="T8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'NSG_DMZ_350_SLG_Test_va' | Set-AzureNetworkSecurityGroupToSubnet -VirtualNetworkName $VNETName_PreProd1 -SubnetName 'DMZ_350_SLG_Test_va'</v>
      </c>
    </row>
    <row r="86" spans="1:20" hidden="1" x14ac:dyDescent="0.45">
      <c r="A86" t="s">
        <v>1371</v>
      </c>
      <c r="B86" t="s">
        <v>1045</v>
      </c>
      <c r="C86" t="str">
        <f>VLOOKUP(NSGRules[[#This Row],[NSGID]], NSGGroups[], 4, FALSE)</f>
        <v>NSG_User_Tier0_360_SLG_Test_va</v>
      </c>
      <c r="D86" t="str">
        <f>NSGRules[[#This Row],[Application]]&amp;"."&amp;NSGRules[[#This Row],[Type]]&amp;"."&amp;NSGRules[[#This Row],[Action]]</f>
        <v>All_Internet.Inbound.Deny</v>
      </c>
      <c r="E86" t="s">
        <v>1171</v>
      </c>
      <c r="F86" t="s">
        <v>624</v>
      </c>
      <c r="G86">
        <v>100</v>
      </c>
      <c r="H86" t="s">
        <v>1180</v>
      </c>
      <c r="I86" t="s">
        <v>1153</v>
      </c>
      <c r="J86" t="s">
        <v>1154</v>
      </c>
      <c r="K86" t="s">
        <v>1154</v>
      </c>
      <c r="L86" t="s">
        <v>1154</v>
      </c>
      <c r="M86" t="s">
        <v>1155</v>
      </c>
      <c r="N86">
        <f>VLOOKUP(NSGRules[[#This Row],[NSGID]], NSGGroups[], 8, FALSE)</f>
        <v>0</v>
      </c>
      <c r="O86">
        <f>VLOOKUP(NSGRules[[#This Row],[NSGID]], NSGGroups[], 3, FALSE)</f>
        <v>360</v>
      </c>
      <c r="P86" t="str">
        <f>VLOOKUP(NSGRules[[#This Row],[NSGID]], NSGGroups[], 6, FALSE)</f>
        <v>User_Tier0_360_SLG_Test_va</v>
      </c>
      <c r="Q86" t="str">
        <f>VLOOKUP(NSGRules[[#This Row],[NSGID]], NSGGroups[], 12, FALSE)</f>
        <v>Test</v>
      </c>
      <c r="R86" t="str">
        <f>VLOOKUP(NSGRules[[#This Row],[NSGID]], NSGGroups[], 11, FALSE)</f>
        <v>PreProd1</v>
      </c>
      <c r="S8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'NSG_User_Tier0_360_SLG_Test_va' | Set-AzureNetworkSecurityRule -Name 'All_Internet.Inbound.Deny' -Type Inbound -Priority 100 -Action Deny -SourceAddressPrefix 'INTERNET'  -SourcePortRange '*' -DestinationAddressPrefix '*' -DestinationPortRange '*' -Protocol TCP</v>
      </c>
      <c r="T8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'NSG_User_Tier0_360_SLG_Test_va' | Set-AzureNetworkSecurityGroupToSubnet -VirtualNetworkName $VNETName_PreProd1 -SubnetName 'User_Tier0_360_SLG_Test_va'</v>
      </c>
    </row>
    <row r="87" spans="1:20" hidden="1" x14ac:dyDescent="0.45">
      <c r="A87" t="s">
        <v>1372</v>
      </c>
      <c r="B87" t="s">
        <v>1046</v>
      </c>
      <c r="C87" t="str">
        <f>VLOOKUP(NSGRules[[#This Row],[NSGID]], NSGGroups[], 4, FALSE)</f>
        <v>NSG_Users_Tier1_361_SLG_Test_va</v>
      </c>
      <c r="D87" t="str">
        <f>NSGRules[[#This Row],[Application]]&amp;"."&amp;NSGRules[[#This Row],[Type]]&amp;"."&amp;NSGRules[[#This Row],[Action]]</f>
        <v>All_Internet.Inbound.Deny</v>
      </c>
      <c r="E87" t="s">
        <v>1171</v>
      </c>
      <c r="F87" t="s">
        <v>624</v>
      </c>
      <c r="G87">
        <v>100</v>
      </c>
      <c r="H87" t="s">
        <v>1180</v>
      </c>
      <c r="I87" t="s">
        <v>1153</v>
      </c>
      <c r="J87" t="s">
        <v>1154</v>
      </c>
      <c r="K87" t="s">
        <v>1154</v>
      </c>
      <c r="L87" t="s">
        <v>1154</v>
      </c>
      <c r="M87" t="s">
        <v>1155</v>
      </c>
      <c r="N87">
        <f>VLOOKUP(NSGRules[[#This Row],[NSGID]], NSGGroups[], 8, FALSE)</f>
        <v>1</v>
      </c>
      <c r="O87">
        <f>VLOOKUP(NSGRules[[#This Row],[NSGID]], NSGGroups[], 3, FALSE)</f>
        <v>361</v>
      </c>
      <c r="P87" t="str">
        <f>VLOOKUP(NSGRules[[#This Row],[NSGID]], NSGGroups[], 6, FALSE)</f>
        <v>Users_Tier1_361_SLG_Test_va</v>
      </c>
      <c r="Q87" t="str">
        <f>VLOOKUP(NSGRules[[#This Row],[NSGID]], NSGGroups[], 12, FALSE)</f>
        <v>Test</v>
      </c>
      <c r="R87" t="str">
        <f>VLOOKUP(NSGRules[[#This Row],[NSGID]], NSGGroups[], 11, FALSE)</f>
        <v>PreProd1</v>
      </c>
      <c r="S8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'NSG_Users_Tier1_361_SLG_Test_va' | Set-AzureNetworkSecurityRule -Name 'All_Internet.Inbound.Deny' -Type Inbound -Priority 100 -Action Deny -SourceAddressPrefix 'INTERNET'  -SourcePortRange '*' -DestinationAddressPrefix '*' -DestinationPortRange '*' -Protocol TCP</v>
      </c>
      <c r="T8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'NSG_Users_Tier1_361_SLG_Test_va' | Set-AzureNetworkSecurityGroupToSubnet -VirtualNetworkName $VNETName_PreProd1 -SubnetName 'Users_Tier1_361_SLG_Test_va'</v>
      </c>
    </row>
    <row r="88" spans="1:20" hidden="1" x14ac:dyDescent="0.45">
      <c r="A88" t="s">
        <v>1373</v>
      </c>
      <c r="B88" t="s">
        <v>1047</v>
      </c>
      <c r="C88" t="str">
        <f>VLOOKUP(NSGRules[[#This Row],[NSGID]], NSGGroups[], 4, FALSE)</f>
        <v>NSG_Users_Tier2_362_SLG_Test_va</v>
      </c>
      <c r="D88" t="str">
        <f>NSGRules[[#This Row],[Application]]&amp;"."&amp;NSGRules[[#This Row],[Type]]&amp;"."&amp;NSGRules[[#This Row],[Action]]</f>
        <v>All_Internet.Inbound.Deny</v>
      </c>
      <c r="E88" t="s">
        <v>1171</v>
      </c>
      <c r="F88" t="s">
        <v>624</v>
      </c>
      <c r="G88">
        <v>100</v>
      </c>
      <c r="H88" t="s">
        <v>1180</v>
      </c>
      <c r="I88" t="s">
        <v>1153</v>
      </c>
      <c r="J88" t="s">
        <v>1154</v>
      </c>
      <c r="K88" t="s">
        <v>1154</v>
      </c>
      <c r="L88" t="s">
        <v>1154</v>
      </c>
      <c r="M88" t="s">
        <v>1155</v>
      </c>
      <c r="N88">
        <f>VLOOKUP(NSGRules[[#This Row],[NSGID]], NSGGroups[], 8, FALSE)</f>
        <v>2</v>
      </c>
      <c r="O88">
        <f>VLOOKUP(NSGRules[[#This Row],[NSGID]], NSGGroups[], 3, FALSE)</f>
        <v>362</v>
      </c>
      <c r="P88" t="str">
        <f>VLOOKUP(NSGRules[[#This Row],[NSGID]], NSGGroups[], 6, FALSE)</f>
        <v>Users_Tier2_362_SLG_Test_va</v>
      </c>
      <c r="Q88" t="str">
        <f>VLOOKUP(NSGRules[[#This Row],[NSGID]], NSGGroups[], 12, FALSE)</f>
        <v>Test</v>
      </c>
      <c r="R88" t="str">
        <f>VLOOKUP(NSGRules[[#This Row],[NSGID]], NSGGroups[], 11, FALSE)</f>
        <v>PreProd1</v>
      </c>
      <c r="S8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'NSG_Users_Tier2_362_SLG_Test_va' | Set-AzureNetworkSecurityRule -Name 'All_Internet.Inbound.Deny' -Type Inbound -Priority 100 -Action Deny -SourceAddressPrefix 'INTERNET'  -SourcePortRange '*' -DestinationAddressPrefix '*' -DestinationPortRange '*' -Protocol TCP</v>
      </c>
      <c r="T8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'NSG_Users_Tier2_362_SLG_Test_va' | Set-AzureNetworkSecurityGroupToSubnet -VirtualNetworkName $VNETName_PreProd1 -SubnetName 'Users_Tier2_362_SLG_Test_va'</v>
      </c>
    </row>
    <row r="89" spans="1:20" hidden="1" x14ac:dyDescent="0.45">
      <c r="A89" t="s">
        <v>1374</v>
      </c>
      <c r="B89" t="s">
        <v>1048</v>
      </c>
      <c r="C89" t="str">
        <f>VLOOKUP(NSGRules[[#This Row],[NSGID]], NSGGroups[], 4, FALSE)</f>
        <v>NSG_User_Tier0_363_SLG_Dev_va</v>
      </c>
      <c r="D89" t="str">
        <f>NSGRules[[#This Row],[Application]]&amp;"."&amp;NSGRules[[#This Row],[Type]]&amp;"."&amp;NSGRules[[#This Row],[Action]]</f>
        <v>All_Internet.Inbound.Deny</v>
      </c>
      <c r="E89" t="s">
        <v>1171</v>
      </c>
      <c r="F89" t="s">
        <v>624</v>
      </c>
      <c r="G89">
        <v>100</v>
      </c>
      <c r="H89" t="s">
        <v>1180</v>
      </c>
      <c r="I89" t="s">
        <v>1153</v>
      </c>
      <c r="J89" t="s">
        <v>1154</v>
      </c>
      <c r="K89" t="s">
        <v>1154</v>
      </c>
      <c r="L89" t="s">
        <v>1154</v>
      </c>
      <c r="M89" t="s">
        <v>1155</v>
      </c>
      <c r="N89">
        <f>VLOOKUP(NSGRules[[#This Row],[NSGID]], NSGGroups[], 8, FALSE)</f>
        <v>0</v>
      </c>
      <c r="O89">
        <f>VLOOKUP(NSGRules[[#This Row],[NSGID]], NSGGroups[], 3, FALSE)</f>
        <v>363</v>
      </c>
      <c r="P89" t="str">
        <f>VLOOKUP(NSGRules[[#This Row],[NSGID]], NSGGroups[], 6, FALSE)</f>
        <v>User_Tier0_363_SLG_Dev_va</v>
      </c>
      <c r="Q89" t="str">
        <f>VLOOKUP(NSGRules[[#This Row],[NSGID]], NSGGroups[], 12, FALSE)</f>
        <v>Dev</v>
      </c>
      <c r="R89" t="str">
        <f>VLOOKUP(NSGRules[[#This Row],[NSGID]], NSGGroups[], 11, FALSE)</f>
        <v>PreProd1</v>
      </c>
      <c r="S8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'NSG_User_Tier0_363_SLG_Dev_va' | Set-AzureNetworkSecurityRule -Name 'All_Internet.Inbound.Deny' -Type Inbound -Priority 100 -Action Deny -SourceAddressPrefix 'INTERNET'  -SourcePortRange '*' -DestinationAddressPrefix '*' -DestinationPortRange '*' -Protocol TCP</v>
      </c>
      <c r="T8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'NSG_User_Tier0_363_SLG_Dev_va' | Set-AzureNetworkSecurityGroupToSubnet -VirtualNetworkName $VNETName_PreProd1 -SubnetName 'User_Tier0_363_SLG_Dev_va'</v>
      </c>
    </row>
    <row r="90" spans="1:20" hidden="1" x14ac:dyDescent="0.45">
      <c r="A90" t="s">
        <v>1375</v>
      </c>
      <c r="B90" t="s">
        <v>1049</v>
      </c>
      <c r="C90" t="str">
        <f>VLOOKUP(NSGRules[[#This Row],[NSGID]], NSGGroups[], 4, FALSE)</f>
        <v>NSG_User_Tier1_364_SLG_Dev_va</v>
      </c>
      <c r="D90" t="str">
        <f>NSGRules[[#This Row],[Application]]&amp;"."&amp;NSGRules[[#This Row],[Type]]&amp;"."&amp;NSGRules[[#This Row],[Action]]</f>
        <v>All_Internet.Inbound.Deny</v>
      </c>
      <c r="E90" t="s">
        <v>1171</v>
      </c>
      <c r="F90" t="s">
        <v>624</v>
      </c>
      <c r="G90">
        <v>100</v>
      </c>
      <c r="H90" t="s">
        <v>1180</v>
      </c>
      <c r="I90" t="s">
        <v>1153</v>
      </c>
      <c r="J90" t="s">
        <v>1154</v>
      </c>
      <c r="K90" t="s">
        <v>1154</v>
      </c>
      <c r="L90" t="s">
        <v>1154</v>
      </c>
      <c r="M90" t="s">
        <v>1155</v>
      </c>
      <c r="N90">
        <f>VLOOKUP(NSGRules[[#This Row],[NSGID]], NSGGroups[], 8, FALSE)</f>
        <v>1</v>
      </c>
      <c r="O90">
        <f>VLOOKUP(NSGRules[[#This Row],[NSGID]], NSGGroups[], 3, FALSE)</f>
        <v>364</v>
      </c>
      <c r="P90" t="str">
        <f>VLOOKUP(NSGRules[[#This Row],[NSGID]], NSGGroups[], 6, FALSE)</f>
        <v>User_Tier1_364_SLG_Dev_va</v>
      </c>
      <c r="Q90" t="str">
        <f>VLOOKUP(NSGRules[[#This Row],[NSGID]], NSGGroups[], 12, FALSE)</f>
        <v>Dev</v>
      </c>
      <c r="R90" t="str">
        <f>VLOOKUP(NSGRules[[#This Row],[NSGID]], NSGGroups[], 11, FALSE)</f>
        <v>PreProd1</v>
      </c>
      <c r="S9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'NSG_User_Tier1_364_SLG_Dev_va' | Set-AzureNetworkSecurityRule -Name 'All_Internet.Inbound.Deny' -Type Inbound -Priority 100 -Action Deny -SourceAddressPrefix 'INTERNET'  -SourcePortRange '*' -DestinationAddressPrefix '*' -DestinationPortRange '*' -Protocol TCP</v>
      </c>
      <c r="T9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'NSG_User_Tier1_364_SLG_Dev_va' | Set-AzureNetworkSecurityGroupToSubnet -VirtualNetworkName $VNETName_PreProd1 -SubnetName 'User_Tier1_364_SLG_Dev_va'</v>
      </c>
    </row>
    <row r="91" spans="1:20" hidden="1" x14ac:dyDescent="0.45">
      <c r="A91" t="s">
        <v>1376</v>
      </c>
      <c r="B91" t="s">
        <v>1050</v>
      </c>
      <c r="C91" t="str">
        <f>VLOOKUP(NSGRules[[#This Row],[NSGID]], NSGGroups[], 4, FALSE)</f>
        <v>NSG_User_Tier2_364_SLG_Dev_va</v>
      </c>
      <c r="D91" t="str">
        <f>NSGRules[[#This Row],[Application]]&amp;"."&amp;NSGRules[[#This Row],[Type]]&amp;"."&amp;NSGRules[[#This Row],[Action]]</f>
        <v>All_Internet.Inbound.Deny</v>
      </c>
      <c r="E91" t="s">
        <v>1171</v>
      </c>
      <c r="F91" t="s">
        <v>624</v>
      </c>
      <c r="G91">
        <v>100</v>
      </c>
      <c r="H91" t="s">
        <v>1180</v>
      </c>
      <c r="I91" t="s">
        <v>1153</v>
      </c>
      <c r="J91" t="s">
        <v>1154</v>
      </c>
      <c r="K91" t="s">
        <v>1154</v>
      </c>
      <c r="L91" t="s">
        <v>1154</v>
      </c>
      <c r="M91" t="s">
        <v>1155</v>
      </c>
      <c r="N91">
        <f>VLOOKUP(NSGRules[[#This Row],[NSGID]], NSGGroups[], 8, FALSE)</f>
        <v>2</v>
      </c>
      <c r="O91">
        <f>VLOOKUP(NSGRules[[#This Row],[NSGID]], NSGGroups[], 3, FALSE)</f>
        <v>364</v>
      </c>
      <c r="P91" t="str">
        <f>VLOOKUP(NSGRules[[#This Row],[NSGID]], NSGGroups[], 6, FALSE)</f>
        <v>User_Tier2_364_SLG_Dev_va</v>
      </c>
      <c r="Q91" t="str">
        <f>VLOOKUP(NSGRules[[#This Row],[NSGID]], NSGGroups[], 12, FALSE)</f>
        <v>Dev</v>
      </c>
      <c r="R91" t="str">
        <f>VLOOKUP(NSGRules[[#This Row],[NSGID]], NSGGroups[], 11, FALSE)</f>
        <v>PreProd1</v>
      </c>
      <c r="S9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'NSG_User_Tier2_364_SLG_Dev_va' | Set-AzureNetworkSecurityRule -Name 'All_Internet.Inbound.Deny' -Type Inbound -Priority 100 -Action Deny -SourceAddressPrefix 'INTERNET'  -SourcePortRange '*' -DestinationAddressPrefix '*' -DestinationPortRange '*' -Protocol TCP</v>
      </c>
      <c r="T9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'NSG_User_Tier2_364_SLG_Dev_va' | Set-AzureNetworkSecurityGroupToSubnet -VirtualNetworkName $VNETName_PreProd1 -SubnetName 'User_Tier2_364_SLG_Dev_va'</v>
      </c>
    </row>
    <row r="92" spans="1:20" hidden="1" x14ac:dyDescent="0.45">
      <c r="A92" t="s">
        <v>1377</v>
      </c>
      <c r="B92" t="s">
        <v>1051</v>
      </c>
      <c r="C92" t="str">
        <f>VLOOKUP(NSGRules[[#This Row],[NSGID]], NSGGroups[], 4, FALSE)</f>
        <v>NSG_Web_410_SLG_Dev_va</v>
      </c>
      <c r="D92" t="str">
        <f>NSGRules[[#This Row],[Application]]&amp;"."&amp;NSGRules[[#This Row],[Type]]&amp;"."&amp;NSGRules[[#This Row],[Action]]</f>
        <v>All_Internet.Inbound.Deny</v>
      </c>
      <c r="E92" t="s">
        <v>1171</v>
      </c>
      <c r="F92" t="s">
        <v>624</v>
      </c>
      <c r="G92">
        <v>100</v>
      </c>
      <c r="H92" t="s">
        <v>1180</v>
      </c>
      <c r="I92" t="s">
        <v>1153</v>
      </c>
      <c r="J92" t="s">
        <v>1154</v>
      </c>
      <c r="K92" t="s">
        <v>1154</v>
      </c>
      <c r="L92" t="s">
        <v>1154</v>
      </c>
      <c r="M92" t="s">
        <v>1155</v>
      </c>
      <c r="N92">
        <f>VLOOKUP(NSGRules[[#This Row],[NSGID]], NSGGroups[], 8, FALSE)</f>
        <v>2</v>
      </c>
      <c r="O92">
        <f>VLOOKUP(NSGRules[[#This Row],[NSGID]], NSGGroups[], 3, FALSE)</f>
        <v>410</v>
      </c>
      <c r="P92" t="str">
        <f>VLOOKUP(NSGRules[[#This Row],[NSGID]], NSGGroups[], 6, FALSE)</f>
        <v>Web_410_SLG_Dev_va</v>
      </c>
      <c r="Q92" t="str">
        <f>VLOOKUP(NSGRules[[#This Row],[NSGID]], NSGGroups[], 12, FALSE)</f>
        <v>Dev</v>
      </c>
      <c r="R92" t="str">
        <f>VLOOKUP(NSGRules[[#This Row],[NSGID]], NSGGroups[], 11, FALSE)</f>
        <v>PreProd1</v>
      </c>
      <c r="S9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'NSG_Web_410_SLG_Dev_va' | Set-AzureNetworkSecurityRule -Name 'All_Internet.Inbound.Deny' -Type Inbound -Priority 100 -Action Deny -SourceAddressPrefix 'INTERNET'  -SourcePortRange '*' -DestinationAddressPrefix '*' -DestinationPortRange '*' -Protocol TCP</v>
      </c>
      <c r="T9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'NSG_Web_410_SLG_Dev_va' | Set-AzureNetworkSecurityGroupToSubnet -VirtualNetworkName $VNETName_PreProd1 -SubnetName 'Web_410_SLG_Dev_va'</v>
      </c>
    </row>
    <row r="93" spans="1:20" hidden="1" x14ac:dyDescent="0.45">
      <c r="A93" t="s">
        <v>1378</v>
      </c>
      <c r="B93" t="s">
        <v>1052</v>
      </c>
      <c r="C93" t="str">
        <f>VLOOKUP(NSGRules[[#This Row],[NSGID]], NSGGroups[], 4, FALSE)</f>
        <v>NSG_App_420_SLG_Dev_va</v>
      </c>
      <c r="D93" t="str">
        <f>NSGRules[[#This Row],[Application]]&amp;"."&amp;NSGRules[[#This Row],[Type]]&amp;"."&amp;NSGRules[[#This Row],[Action]]</f>
        <v>All_Internet.Inbound.Deny</v>
      </c>
      <c r="E93" t="s">
        <v>1171</v>
      </c>
      <c r="F93" t="s">
        <v>624</v>
      </c>
      <c r="G93">
        <v>100</v>
      </c>
      <c r="H93" t="s">
        <v>1180</v>
      </c>
      <c r="I93" t="s">
        <v>1153</v>
      </c>
      <c r="J93" t="s">
        <v>1154</v>
      </c>
      <c r="K93" t="s">
        <v>1154</v>
      </c>
      <c r="L93" t="s">
        <v>1154</v>
      </c>
      <c r="M93" t="s">
        <v>1155</v>
      </c>
      <c r="N93">
        <f>VLOOKUP(NSGRules[[#This Row],[NSGID]], NSGGroups[], 8, FALSE)</f>
        <v>1</v>
      </c>
      <c r="O93">
        <f>VLOOKUP(NSGRules[[#This Row],[NSGID]], NSGGroups[], 3, FALSE)</f>
        <v>420</v>
      </c>
      <c r="P93" t="str">
        <f>VLOOKUP(NSGRules[[#This Row],[NSGID]], NSGGroups[], 6, FALSE)</f>
        <v>App_420_SLG_Dev_va</v>
      </c>
      <c r="Q93" t="str">
        <f>VLOOKUP(NSGRules[[#This Row],[NSGID]], NSGGroups[], 12, FALSE)</f>
        <v>Dev</v>
      </c>
      <c r="R93" t="str">
        <f>VLOOKUP(NSGRules[[#This Row],[NSGID]], NSGGroups[], 11, FALSE)</f>
        <v>PreProd1</v>
      </c>
      <c r="S9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'NSG_App_420_SLG_Dev_va' | Set-AzureNetworkSecurityRule -Name 'All_Internet.Inbound.Deny' -Type Inbound -Priority 100 -Action Deny -SourceAddressPrefix 'INTERNET'  -SourcePortRange '*' -DestinationAddressPrefix '*' -DestinationPortRange '*' -Protocol TCP</v>
      </c>
      <c r="T9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'NSG_App_420_SLG_Dev_va' | Set-AzureNetworkSecurityGroupToSubnet -VirtualNetworkName $VNETName_PreProd1 -SubnetName 'App_420_SLG_Dev_va'</v>
      </c>
    </row>
    <row r="94" spans="1:20" hidden="1" x14ac:dyDescent="0.45">
      <c r="A94" t="s">
        <v>1379</v>
      </c>
      <c r="B94" t="s">
        <v>1053</v>
      </c>
      <c r="C94" t="str">
        <f>VLOOKUP(NSGRules[[#This Row],[NSGID]], NSGGroups[], 4, FALSE)</f>
        <v>NSG_Database_430_SLG_Dev_va</v>
      </c>
      <c r="D94" t="str">
        <f>NSGRules[[#This Row],[Application]]&amp;"."&amp;NSGRules[[#This Row],[Type]]&amp;"."&amp;NSGRules[[#This Row],[Action]]</f>
        <v>All_Internet.Inbound.Deny</v>
      </c>
      <c r="E94" t="s">
        <v>1171</v>
      </c>
      <c r="F94" t="s">
        <v>624</v>
      </c>
      <c r="G94">
        <v>100</v>
      </c>
      <c r="H94" t="s">
        <v>1180</v>
      </c>
      <c r="I94" t="s">
        <v>1153</v>
      </c>
      <c r="J94" t="s">
        <v>1154</v>
      </c>
      <c r="K94" t="s">
        <v>1154</v>
      </c>
      <c r="L94" t="s">
        <v>1154</v>
      </c>
      <c r="M94" t="s">
        <v>1155</v>
      </c>
      <c r="N94">
        <f>VLOOKUP(NSGRules[[#This Row],[NSGID]], NSGGroups[], 8, FALSE)</f>
        <v>1</v>
      </c>
      <c r="O94">
        <f>VLOOKUP(NSGRules[[#This Row],[NSGID]], NSGGroups[], 3, FALSE)</f>
        <v>430</v>
      </c>
      <c r="P94" t="str">
        <f>VLOOKUP(NSGRules[[#This Row],[NSGID]], NSGGroups[], 6, FALSE)</f>
        <v>Database_430_SLG_Dev_va</v>
      </c>
      <c r="Q94" t="str">
        <f>VLOOKUP(NSGRules[[#This Row],[NSGID]], NSGGroups[], 12, FALSE)</f>
        <v>Dev</v>
      </c>
      <c r="R94" t="str">
        <f>VLOOKUP(NSGRules[[#This Row],[NSGID]], NSGGroups[], 11, FALSE)</f>
        <v>PreProd1</v>
      </c>
      <c r="S9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'NSG_Database_430_SLG_Dev_va' | Set-AzureNetworkSecurityRule -Name 'All_Internet.Inbound.Deny' -Type Inbound -Priority 100 -Action Deny -SourceAddressPrefix 'INTERNET'  -SourcePortRange '*' -DestinationAddressPrefix '*' -DestinationPortRange '*' -Protocol TCP</v>
      </c>
      <c r="T9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'NSG_Database_430_SLG_Dev_va' | Set-AzureNetworkSecurityGroupToSubnet -VirtualNetworkName $VNETName_PreProd1 -SubnetName 'Database_430_SLG_Dev_va'</v>
      </c>
    </row>
    <row r="95" spans="1:20" x14ac:dyDescent="0.45">
      <c r="A95" t="s">
        <v>1380</v>
      </c>
      <c r="B95" t="s">
        <v>1054</v>
      </c>
      <c r="C95" t="str">
        <f>VLOOKUP(NSGRules[[#This Row],[NSGID]], NSGGroups[], 4, FALSE)</f>
        <v>NSG_DMZ_450_SLG_Dev_va</v>
      </c>
      <c r="D95" t="str">
        <f>NSGRules[[#This Row],[Application]]&amp;"."&amp;NSGRules[[#This Row],[Type]]&amp;"."&amp;NSGRules[[#This Row],[Action]]</f>
        <v>HTTPS.Inbound.Allow</v>
      </c>
      <c r="E95" t="s">
        <v>1181</v>
      </c>
      <c r="F95" t="s">
        <v>624</v>
      </c>
      <c r="G95">
        <v>100</v>
      </c>
      <c r="H95" t="s">
        <v>625</v>
      </c>
      <c r="I95" t="s">
        <v>1153</v>
      </c>
      <c r="J95">
        <v>443</v>
      </c>
      <c r="K95" t="str">
        <f>VLOOKUP(NSGRules[[#This Row],[NSGID]], NSGGroups[], 13, FALSE)</f>
        <v>10.130.43.0/24</v>
      </c>
      <c r="L95">
        <v>443</v>
      </c>
      <c r="M95" t="s">
        <v>1155</v>
      </c>
      <c r="N95">
        <f>VLOOKUP(NSGRules[[#This Row],[NSGID]], NSGGroups[], 8, FALSE)</f>
        <v>2</v>
      </c>
      <c r="O95">
        <f>VLOOKUP(NSGRules[[#This Row],[NSGID]], NSGGroups[], 3, FALSE)</f>
        <v>450</v>
      </c>
      <c r="P95" t="str">
        <f>VLOOKUP(NSGRules[[#This Row],[NSGID]], NSGGroups[], 6, FALSE)</f>
        <v>DMZ_450_SLG_Dev_va</v>
      </c>
      <c r="Q95" t="str">
        <f>VLOOKUP(NSGRules[[#This Row],[NSGID]], NSGGroups[], 12, FALSE)</f>
        <v>Dev</v>
      </c>
      <c r="R95" t="str">
        <f>VLOOKUP(NSGRules[[#This Row],[NSGID]], NSGGroups[], 11, FALSE)</f>
        <v>PreProd1</v>
      </c>
      <c r="S9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'NSG_DMZ_450_SLG_Dev_va' | Set-AzureNetworkSecurityRule -Name 'HTTPS.Inbound.Allow' -Type Inbound -Priority 100 -Action Allow -SourceAddressPrefix 'INTERNET'  -SourcePortRange '443' -DestinationAddressPrefix '10.130.43.0/24' -DestinationPortRange '443' -Protocol TCP</v>
      </c>
      <c r="T9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'NSG_DMZ_450_SLG_Dev_va' | Set-AzureNetworkSecurityGroupToSubnet -VirtualNetworkName $VNETName_PreProd1 -SubnetName 'DMZ_450_SLG_Dev_va'</v>
      </c>
    </row>
    <row r="96" spans="1:20" hidden="1" x14ac:dyDescent="0.45">
      <c r="A96" t="s">
        <v>1381</v>
      </c>
      <c r="B96" t="s">
        <v>1055</v>
      </c>
      <c r="C96" t="str">
        <f>VLOOKUP(NSGRules[[#This Row],[NSGID]], NSGGroups[], 4, FALSE)</f>
        <v>NSG_Web_310_SLG_Test_ia</v>
      </c>
      <c r="D96" t="str">
        <f>NSGRules[[#This Row],[Application]]&amp;"."&amp;NSGRules[[#This Row],[Type]]&amp;"."&amp;NSGRules[[#This Row],[Action]]</f>
        <v>All_Internet.Inbound.Deny</v>
      </c>
      <c r="E96" t="s">
        <v>1171</v>
      </c>
      <c r="F96" t="s">
        <v>624</v>
      </c>
      <c r="G96">
        <v>100</v>
      </c>
      <c r="H96" t="s">
        <v>1180</v>
      </c>
      <c r="I96" t="s">
        <v>1153</v>
      </c>
      <c r="J96" t="s">
        <v>1154</v>
      </c>
      <c r="K96" t="s">
        <v>1154</v>
      </c>
      <c r="L96" t="s">
        <v>1154</v>
      </c>
      <c r="M96" t="s">
        <v>1155</v>
      </c>
      <c r="N96">
        <f>VLOOKUP(NSGRules[[#This Row],[NSGID]], NSGGroups[], 8, FALSE)</f>
        <v>2</v>
      </c>
      <c r="O96">
        <f>VLOOKUP(NSGRules[[#This Row],[NSGID]], NSGGroups[], 3, FALSE)</f>
        <v>310</v>
      </c>
      <c r="P96" t="str">
        <f>VLOOKUP(NSGRules[[#This Row],[NSGID]], NSGGroups[], 6, FALSE)</f>
        <v>Web_310_SLG_Test_ia</v>
      </c>
      <c r="Q96" t="str">
        <f>VLOOKUP(NSGRules[[#This Row],[NSGID]], NSGGroups[], 12, FALSE)</f>
        <v>Test</v>
      </c>
      <c r="R96" t="str">
        <f>VLOOKUP(NSGRules[[#This Row],[NSGID]], NSGGroups[], 11, FALSE)</f>
        <v>PreProd2</v>
      </c>
      <c r="S9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'NSG_Web_310_SLG_Test_ia' | Set-AzureNetworkSecurityRule -Name 'All_Internet.Inbound.Deny' -Type Inbound -Priority 100 -Action Deny -SourceAddressPrefix 'INTERNET'  -SourcePortRange '*' -DestinationAddressPrefix '*' -DestinationPortRange '*' -Protocol TCP</v>
      </c>
      <c r="T9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'NSG_Web_310_SLG_Test_ia' | Set-AzureNetworkSecurityGroupToSubnet -VirtualNetworkName $VNETName_PreProd2 -SubnetName 'Web_310_SLG_Test_ia'</v>
      </c>
    </row>
    <row r="97" spans="1:20" hidden="1" x14ac:dyDescent="0.45">
      <c r="A97" t="s">
        <v>1382</v>
      </c>
      <c r="B97" t="s">
        <v>1056</v>
      </c>
      <c r="C97" t="str">
        <f>VLOOKUP(NSGRules[[#This Row],[NSGID]], NSGGroups[], 4, FALSE)</f>
        <v>NSG_App_320_SLG_Test_ia</v>
      </c>
      <c r="D97" t="str">
        <f>NSGRules[[#This Row],[Application]]&amp;"."&amp;NSGRules[[#This Row],[Type]]&amp;"."&amp;NSGRules[[#This Row],[Action]]</f>
        <v>All_Internet.Inbound.Deny</v>
      </c>
      <c r="E97" t="s">
        <v>1171</v>
      </c>
      <c r="F97" t="s">
        <v>624</v>
      </c>
      <c r="G97">
        <v>100</v>
      </c>
      <c r="H97" t="s">
        <v>1180</v>
      </c>
      <c r="I97" t="s">
        <v>1153</v>
      </c>
      <c r="J97" t="s">
        <v>1154</v>
      </c>
      <c r="K97" t="s">
        <v>1154</v>
      </c>
      <c r="L97" t="s">
        <v>1154</v>
      </c>
      <c r="M97" t="s">
        <v>1155</v>
      </c>
      <c r="N97">
        <f>VLOOKUP(NSGRules[[#This Row],[NSGID]], NSGGroups[], 8, FALSE)</f>
        <v>1</v>
      </c>
      <c r="O97">
        <f>VLOOKUP(NSGRules[[#This Row],[NSGID]], NSGGroups[], 3, FALSE)</f>
        <v>320</v>
      </c>
      <c r="P97" t="str">
        <f>VLOOKUP(NSGRules[[#This Row],[NSGID]], NSGGroups[], 6, FALSE)</f>
        <v>App_320_SLG_Test_ia</v>
      </c>
      <c r="Q97" t="str">
        <f>VLOOKUP(NSGRules[[#This Row],[NSGID]], NSGGroups[], 12, FALSE)</f>
        <v>Test</v>
      </c>
      <c r="R97" t="str">
        <f>VLOOKUP(NSGRules[[#This Row],[NSGID]], NSGGroups[], 11, FALSE)</f>
        <v>PreProd2</v>
      </c>
      <c r="S9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'NSG_App_320_SLG_Test_ia' | Set-AzureNetworkSecurityRule -Name 'All_Internet.Inbound.Deny' -Type Inbound -Priority 100 -Action Deny -SourceAddressPrefix 'INTERNET'  -SourcePortRange '*' -DestinationAddressPrefix '*' -DestinationPortRange '*' -Protocol TCP</v>
      </c>
      <c r="T9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'NSG_App_320_SLG_Test_ia' | Set-AzureNetworkSecurityGroupToSubnet -VirtualNetworkName $VNETName_PreProd2 -SubnetName 'App_320_SLG_Test_ia'</v>
      </c>
    </row>
    <row r="98" spans="1:20" hidden="1" x14ac:dyDescent="0.45">
      <c r="A98" t="s">
        <v>1383</v>
      </c>
      <c r="B98" t="s">
        <v>1057</v>
      </c>
      <c r="C98" t="str">
        <f>VLOOKUP(NSGRules[[#This Row],[NSGID]], NSGGroups[], 4, FALSE)</f>
        <v>NSG_Database_330_SLG_Test_ia</v>
      </c>
      <c r="D98" t="str">
        <f>NSGRules[[#This Row],[Application]]&amp;"."&amp;NSGRules[[#This Row],[Type]]&amp;"."&amp;NSGRules[[#This Row],[Action]]</f>
        <v>All_Internet.Inbound.Deny</v>
      </c>
      <c r="E98" t="s">
        <v>1171</v>
      </c>
      <c r="F98" t="s">
        <v>624</v>
      </c>
      <c r="G98">
        <v>100</v>
      </c>
      <c r="H98" t="s">
        <v>1180</v>
      </c>
      <c r="I98" t="s">
        <v>1153</v>
      </c>
      <c r="J98" t="s">
        <v>1154</v>
      </c>
      <c r="K98" t="s">
        <v>1154</v>
      </c>
      <c r="L98" t="s">
        <v>1154</v>
      </c>
      <c r="M98" t="s">
        <v>1155</v>
      </c>
      <c r="N98">
        <f>VLOOKUP(NSGRules[[#This Row],[NSGID]], NSGGroups[], 8, FALSE)</f>
        <v>1</v>
      </c>
      <c r="O98">
        <f>VLOOKUP(NSGRules[[#This Row],[NSGID]], NSGGroups[], 3, FALSE)</f>
        <v>330</v>
      </c>
      <c r="P98" t="str">
        <f>VLOOKUP(NSGRules[[#This Row],[NSGID]], NSGGroups[], 6, FALSE)</f>
        <v>Database_330_SLG_Test_ia</v>
      </c>
      <c r="Q98" t="str">
        <f>VLOOKUP(NSGRules[[#This Row],[NSGID]], NSGGroups[], 12, FALSE)</f>
        <v>Test</v>
      </c>
      <c r="R98" t="str">
        <f>VLOOKUP(NSGRules[[#This Row],[NSGID]], NSGGroups[], 11, FALSE)</f>
        <v>PreProd2</v>
      </c>
      <c r="S9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'NSG_Database_330_SLG_Test_ia' | Set-AzureNetworkSecurityRule -Name 'All_Internet.Inbound.Deny' -Type Inbound -Priority 100 -Action Deny -SourceAddressPrefix 'INTERNET'  -SourcePortRange '*' -DestinationAddressPrefix '*' -DestinationPortRange '*' -Protocol TCP</v>
      </c>
      <c r="T9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'NSG_Database_330_SLG_Test_ia' | Set-AzureNetworkSecurityGroupToSubnet -VirtualNetworkName $VNETName_PreProd2 -SubnetName 'Database_330_SLG_Test_ia'</v>
      </c>
    </row>
    <row r="99" spans="1:20" x14ac:dyDescent="0.45">
      <c r="A99" t="s">
        <v>1384</v>
      </c>
      <c r="B99" t="s">
        <v>1058</v>
      </c>
      <c r="C99" t="str">
        <f>VLOOKUP(NSGRules[[#This Row],[NSGID]], NSGGroups[], 4, FALSE)</f>
        <v>NSG_DMZ_350_SLG_Test_ia</v>
      </c>
      <c r="D99" t="str">
        <f>NSGRules[[#This Row],[Application]]&amp;"."&amp;NSGRules[[#This Row],[Type]]&amp;"."&amp;NSGRules[[#This Row],[Action]]</f>
        <v>HTTPS.Inbound.Allow</v>
      </c>
      <c r="E99" t="s">
        <v>1181</v>
      </c>
      <c r="F99" t="s">
        <v>624</v>
      </c>
      <c r="G99">
        <v>100</v>
      </c>
      <c r="H99" t="s">
        <v>625</v>
      </c>
      <c r="I99" t="s">
        <v>1153</v>
      </c>
      <c r="J99">
        <v>443</v>
      </c>
      <c r="K99" t="str">
        <f>VLOOKUP(NSGRules[[#This Row],[NSGID]], NSGGroups[], 13, FALSE)</f>
        <v>10.130.99.0/24</v>
      </c>
      <c r="L99">
        <v>443</v>
      </c>
      <c r="M99" t="s">
        <v>1155</v>
      </c>
      <c r="N99">
        <f>VLOOKUP(NSGRules[[#This Row],[NSGID]], NSGGroups[], 8, FALSE)</f>
        <v>2</v>
      </c>
      <c r="O99">
        <f>VLOOKUP(NSGRules[[#This Row],[NSGID]], NSGGroups[], 3, FALSE)</f>
        <v>350</v>
      </c>
      <c r="P99" t="str">
        <f>VLOOKUP(NSGRules[[#This Row],[NSGID]], NSGGroups[], 6, FALSE)</f>
        <v>DMZ_350_SLG_Test_ia</v>
      </c>
      <c r="Q99" t="str">
        <f>VLOOKUP(NSGRules[[#This Row],[NSGID]], NSGGroups[], 12, FALSE)</f>
        <v>Test</v>
      </c>
      <c r="R99" t="str">
        <f>VLOOKUP(NSGRules[[#This Row],[NSGID]], NSGGroups[], 11, FALSE)</f>
        <v>PreProd2</v>
      </c>
      <c r="S9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'NSG_DMZ_350_SLG_Test_ia' | Set-AzureNetworkSecurityRule -Name 'HTTPS.Inbound.Allow' -Type Inbound -Priority 100 -Action Allow -SourceAddressPrefix 'INTERNET'  -SourcePortRange '443' -DestinationAddressPrefix '10.130.99.0/24' -DestinationPortRange '443' -Protocol TCP</v>
      </c>
      <c r="T9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'NSG_DMZ_350_SLG_Test_ia' | Set-AzureNetworkSecurityGroupToSubnet -VirtualNetworkName $VNETName_PreProd2 -SubnetName 'DMZ_350_SLG_Test_ia'</v>
      </c>
    </row>
    <row r="100" spans="1:20" hidden="1" x14ac:dyDescent="0.45">
      <c r="A100" t="s">
        <v>1385</v>
      </c>
      <c r="B100" t="s">
        <v>1059</v>
      </c>
      <c r="C100" t="str">
        <f>VLOOKUP(NSGRules[[#This Row],[NSGID]], NSGGroups[], 4, FALSE)</f>
        <v>NSG_Users_Tier0_360_SLG_Test_ia</v>
      </c>
      <c r="D100" t="str">
        <f>NSGRules[[#This Row],[Application]]&amp;"."&amp;NSGRules[[#This Row],[Type]]&amp;"."&amp;NSGRules[[#This Row],[Action]]</f>
        <v>All_Internet.Inbound.Deny</v>
      </c>
      <c r="E100" t="s">
        <v>1171</v>
      </c>
      <c r="F100" t="s">
        <v>624</v>
      </c>
      <c r="G100">
        <v>100</v>
      </c>
      <c r="H100" t="s">
        <v>1180</v>
      </c>
      <c r="I100" t="s">
        <v>1153</v>
      </c>
      <c r="J100" t="s">
        <v>1154</v>
      </c>
      <c r="K100" t="s">
        <v>1154</v>
      </c>
      <c r="L100" t="s">
        <v>1154</v>
      </c>
      <c r="M100" t="s">
        <v>1155</v>
      </c>
      <c r="N100">
        <f>VLOOKUP(NSGRules[[#This Row],[NSGID]], NSGGroups[], 8, FALSE)</f>
        <v>0</v>
      </c>
      <c r="O100">
        <f>VLOOKUP(NSGRules[[#This Row],[NSGID]], NSGGroups[], 3, FALSE)</f>
        <v>360</v>
      </c>
      <c r="P100" t="str">
        <f>VLOOKUP(NSGRules[[#This Row],[NSGID]], NSGGroups[], 6, FALSE)</f>
        <v>Users_Tier0_360_SLG_Test_ia</v>
      </c>
      <c r="Q100" t="str">
        <f>VLOOKUP(NSGRules[[#This Row],[NSGID]], NSGGroups[], 12, FALSE)</f>
        <v>Test</v>
      </c>
      <c r="R100" t="str">
        <f>VLOOKUP(NSGRules[[#This Row],[NSGID]], NSGGroups[], 11, FALSE)</f>
        <v>PreProd2</v>
      </c>
      <c r="S10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'NSG_Users_Tier0_360_SLG_Test_ia' | Set-AzureNetworkSecurityRule -Name 'All_Internet.Inbound.Deny' -Type Inbound -Priority 100 -Action Deny -SourceAddressPrefix 'INTERNET'  -SourcePortRange '*' -DestinationAddressPrefix '*' -DestinationPortRange '*' -Protocol TCP</v>
      </c>
      <c r="T10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'NSG_Users_Tier0_360_SLG_Test_ia' | Set-AzureNetworkSecurityGroupToSubnet -VirtualNetworkName $VNETName_PreProd2 -SubnetName 'Users_Tier0_360_SLG_Test_ia'</v>
      </c>
    </row>
    <row r="101" spans="1:20" hidden="1" x14ac:dyDescent="0.45">
      <c r="A101" t="s">
        <v>1386</v>
      </c>
      <c r="B101" t="s">
        <v>1060</v>
      </c>
      <c r="C101" t="str">
        <f>VLOOKUP(NSGRules[[#This Row],[NSGID]], NSGGroups[], 4, FALSE)</f>
        <v>NSG_Users_Tier1_361_SLG_Test_ia</v>
      </c>
      <c r="D101" t="str">
        <f>NSGRules[[#This Row],[Application]]&amp;"."&amp;NSGRules[[#This Row],[Type]]&amp;"."&amp;NSGRules[[#This Row],[Action]]</f>
        <v>All_Internet.Inbound.Deny</v>
      </c>
      <c r="E101" t="s">
        <v>1171</v>
      </c>
      <c r="F101" t="s">
        <v>624</v>
      </c>
      <c r="G101">
        <v>100</v>
      </c>
      <c r="H101" t="s">
        <v>1180</v>
      </c>
      <c r="I101" t="s">
        <v>1153</v>
      </c>
      <c r="J101" t="s">
        <v>1154</v>
      </c>
      <c r="K101" t="s">
        <v>1154</v>
      </c>
      <c r="L101" t="s">
        <v>1154</v>
      </c>
      <c r="M101" t="s">
        <v>1155</v>
      </c>
      <c r="N101">
        <f>VLOOKUP(NSGRules[[#This Row],[NSGID]], NSGGroups[], 8, FALSE)</f>
        <v>1</v>
      </c>
      <c r="O101">
        <f>VLOOKUP(NSGRules[[#This Row],[NSGID]], NSGGroups[], 3, FALSE)</f>
        <v>361</v>
      </c>
      <c r="P101" t="str">
        <f>VLOOKUP(NSGRules[[#This Row],[NSGID]], NSGGroups[], 6, FALSE)</f>
        <v>Users_Tier1_361_SLG_Test_ia</v>
      </c>
      <c r="Q101" t="str">
        <f>VLOOKUP(NSGRules[[#This Row],[NSGID]], NSGGroups[], 12, FALSE)</f>
        <v>Test</v>
      </c>
      <c r="R101" t="str">
        <f>VLOOKUP(NSGRules[[#This Row],[NSGID]], NSGGroups[], 11, FALSE)</f>
        <v>PreProd2</v>
      </c>
      <c r="S10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'NSG_Users_Tier1_361_SLG_Test_ia' | Set-AzureNetworkSecurityRule -Name 'All_Internet.Inbound.Deny' -Type Inbound -Priority 100 -Action Deny -SourceAddressPrefix 'INTERNET'  -SourcePortRange '*' -DestinationAddressPrefix '*' -DestinationPortRange '*' -Protocol TCP</v>
      </c>
      <c r="T10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'NSG_Users_Tier1_361_SLG_Test_ia' | Set-AzureNetworkSecurityGroupToSubnet -VirtualNetworkName $VNETName_PreProd2 -SubnetName 'Users_Tier1_361_SLG_Test_ia'</v>
      </c>
    </row>
    <row r="102" spans="1:20" hidden="1" x14ac:dyDescent="0.45">
      <c r="A102" t="s">
        <v>1387</v>
      </c>
      <c r="B102" t="s">
        <v>1061</v>
      </c>
      <c r="C102" t="str">
        <f>VLOOKUP(NSGRules[[#This Row],[NSGID]], NSGGroups[], 4, FALSE)</f>
        <v>NSG_Users_Tier2_362_SLG_Test_ia</v>
      </c>
      <c r="D102" t="str">
        <f>NSGRules[[#This Row],[Application]]&amp;"."&amp;NSGRules[[#This Row],[Type]]&amp;"."&amp;NSGRules[[#This Row],[Action]]</f>
        <v>All_Internet.Inbound.Deny</v>
      </c>
      <c r="E102" t="s">
        <v>1171</v>
      </c>
      <c r="F102" t="s">
        <v>624</v>
      </c>
      <c r="G102">
        <v>100</v>
      </c>
      <c r="H102" t="s">
        <v>1180</v>
      </c>
      <c r="I102" t="s">
        <v>1153</v>
      </c>
      <c r="J102" t="s">
        <v>1154</v>
      </c>
      <c r="K102" t="s">
        <v>1154</v>
      </c>
      <c r="L102" t="s">
        <v>1154</v>
      </c>
      <c r="M102" t="s">
        <v>1155</v>
      </c>
      <c r="N102">
        <f>VLOOKUP(NSGRules[[#This Row],[NSGID]], NSGGroups[], 8, FALSE)</f>
        <v>2</v>
      </c>
      <c r="O102">
        <f>VLOOKUP(NSGRules[[#This Row],[NSGID]], NSGGroups[], 3, FALSE)</f>
        <v>362</v>
      </c>
      <c r="P102" t="str">
        <f>VLOOKUP(NSGRules[[#This Row],[NSGID]], NSGGroups[], 6, FALSE)</f>
        <v>Users_Tier2_362_SLG_Test_ia</v>
      </c>
      <c r="Q102" t="str">
        <f>VLOOKUP(NSGRules[[#This Row],[NSGID]], NSGGroups[], 12, FALSE)</f>
        <v>Test</v>
      </c>
      <c r="R102" t="str">
        <f>VLOOKUP(NSGRules[[#This Row],[NSGID]], NSGGroups[], 11, FALSE)</f>
        <v>PreProd2</v>
      </c>
      <c r="S10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'NSG_Users_Tier2_362_SLG_Test_ia' | Set-AzureNetworkSecurityRule -Name 'All_Internet.Inbound.Deny' -Type Inbound -Priority 100 -Action Deny -SourceAddressPrefix 'INTERNET'  -SourcePortRange '*' -DestinationAddressPrefix '*' -DestinationPortRange '*' -Protocol TCP</v>
      </c>
      <c r="T10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'NSG_Users_Tier2_362_SLG_Test_ia' | Set-AzureNetworkSecurityGroupToSubnet -VirtualNetworkName $VNETName_PreProd2 -SubnetName 'Users_Tier2_362_SLG_Test_ia'</v>
      </c>
    </row>
    <row r="103" spans="1:20" hidden="1" x14ac:dyDescent="0.45">
      <c r="A103" t="s">
        <v>1388</v>
      </c>
      <c r="B103" t="s">
        <v>1062</v>
      </c>
      <c r="C103" t="str">
        <f>VLOOKUP(NSGRules[[#This Row],[NSGID]], NSGGroups[], 4, FALSE)</f>
        <v>NSG_Users_Tier0_363_SLG_Dev_ia</v>
      </c>
      <c r="D103" t="str">
        <f>NSGRules[[#This Row],[Application]]&amp;"."&amp;NSGRules[[#This Row],[Type]]&amp;"."&amp;NSGRules[[#This Row],[Action]]</f>
        <v>All_Internet.Inbound.Deny</v>
      </c>
      <c r="E103" t="s">
        <v>1171</v>
      </c>
      <c r="F103" t="s">
        <v>624</v>
      </c>
      <c r="G103">
        <v>100</v>
      </c>
      <c r="H103" t="s">
        <v>1180</v>
      </c>
      <c r="I103" t="s">
        <v>1153</v>
      </c>
      <c r="J103" t="s">
        <v>1154</v>
      </c>
      <c r="K103" t="s">
        <v>1154</v>
      </c>
      <c r="L103" t="s">
        <v>1154</v>
      </c>
      <c r="M103" t="s">
        <v>1155</v>
      </c>
      <c r="N103">
        <f>VLOOKUP(NSGRules[[#This Row],[NSGID]], NSGGroups[], 8, FALSE)</f>
        <v>0</v>
      </c>
      <c r="O103">
        <f>VLOOKUP(NSGRules[[#This Row],[NSGID]], NSGGroups[], 3, FALSE)</f>
        <v>363</v>
      </c>
      <c r="P103" t="str">
        <f>VLOOKUP(NSGRules[[#This Row],[NSGID]], NSGGroups[], 6, FALSE)</f>
        <v>Users_Tier0_363_SLG_Dev_ia</v>
      </c>
      <c r="Q103" t="str">
        <f>VLOOKUP(NSGRules[[#This Row],[NSGID]], NSGGroups[], 12, FALSE)</f>
        <v>Dev</v>
      </c>
      <c r="R103" t="str">
        <f>VLOOKUP(NSGRules[[#This Row],[NSGID]], NSGGroups[], 11, FALSE)</f>
        <v>PreProd2</v>
      </c>
      <c r="S10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'NSG_Users_Tier0_363_SLG_Dev_ia' | Set-AzureNetworkSecurityRule -Name 'All_Internet.Inbound.Deny' -Type Inbound -Priority 100 -Action Deny -SourceAddressPrefix 'INTERNET'  -SourcePortRange '*' -DestinationAddressPrefix '*' -DestinationPortRange '*' -Protocol TCP</v>
      </c>
      <c r="T10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'NSG_Users_Tier0_363_SLG_Dev_ia' | Set-AzureNetworkSecurityGroupToSubnet -VirtualNetworkName $VNETName_PreProd2 -SubnetName 'Users_Tier0_363_SLG_Dev_ia'</v>
      </c>
    </row>
    <row r="104" spans="1:20" hidden="1" x14ac:dyDescent="0.45">
      <c r="A104" t="s">
        <v>1389</v>
      </c>
      <c r="B104" t="s">
        <v>1063</v>
      </c>
      <c r="C104" t="str">
        <f>VLOOKUP(NSGRules[[#This Row],[NSGID]], NSGGroups[], 4, FALSE)</f>
        <v>NSG_Users_Tier1_364_SLG_Dev_ia</v>
      </c>
      <c r="D104" t="str">
        <f>NSGRules[[#This Row],[Application]]&amp;"."&amp;NSGRules[[#This Row],[Type]]&amp;"."&amp;NSGRules[[#This Row],[Action]]</f>
        <v>All_Internet.Inbound.Deny</v>
      </c>
      <c r="E104" t="s">
        <v>1171</v>
      </c>
      <c r="F104" t="s">
        <v>624</v>
      </c>
      <c r="G104">
        <v>100</v>
      </c>
      <c r="H104" t="s">
        <v>1180</v>
      </c>
      <c r="I104" t="s">
        <v>1153</v>
      </c>
      <c r="J104" t="s">
        <v>1154</v>
      </c>
      <c r="K104" t="s">
        <v>1154</v>
      </c>
      <c r="L104" t="s">
        <v>1154</v>
      </c>
      <c r="M104" t="s">
        <v>1155</v>
      </c>
      <c r="N104">
        <f>VLOOKUP(NSGRules[[#This Row],[NSGID]], NSGGroups[], 8, FALSE)</f>
        <v>1</v>
      </c>
      <c r="O104">
        <f>VLOOKUP(NSGRules[[#This Row],[NSGID]], NSGGroups[], 3, FALSE)</f>
        <v>364</v>
      </c>
      <c r="P104" t="str">
        <f>VLOOKUP(NSGRules[[#This Row],[NSGID]], NSGGroups[], 6, FALSE)</f>
        <v>Users_Tier1_364_SLG_Dev_ia</v>
      </c>
      <c r="Q104" t="str">
        <f>VLOOKUP(NSGRules[[#This Row],[NSGID]], NSGGroups[], 12, FALSE)</f>
        <v>Dev</v>
      </c>
      <c r="R104" t="str">
        <f>VLOOKUP(NSGRules[[#This Row],[NSGID]], NSGGroups[], 11, FALSE)</f>
        <v>PreProd2</v>
      </c>
      <c r="S10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'NSG_Users_Tier1_364_SLG_Dev_ia' | Set-AzureNetworkSecurityRule -Name 'All_Internet.Inbound.Deny' -Type Inbound -Priority 100 -Action Deny -SourceAddressPrefix 'INTERNET'  -SourcePortRange '*' -DestinationAddressPrefix '*' -DestinationPortRange '*' -Protocol TCP</v>
      </c>
      <c r="T10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'NSG_Users_Tier1_364_SLG_Dev_ia' | Set-AzureNetworkSecurityGroupToSubnet -VirtualNetworkName $VNETName_PreProd2 -SubnetName 'Users_Tier1_364_SLG_Dev_ia'</v>
      </c>
    </row>
    <row r="105" spans="1:20" hidden="1" x14ac:dyDescent="0.45">
      <c r="A105" t="s">
        <v>1390</v>
      </c>
      <c r="B105" t="s">
        <v>1064</v>
      </c>
      <c r="C105" t="str">
        <f>VLOOKUP(NSGRules[[#This Row],[NSGID]], NSGGroups[], 4, FALSE)</f>
        <v>NSG_Users_Tier2_365_SLG_Dev_ia</v>
      </c>
      <c r="D105" t="str">
        <f>NSGRules[[#This Row],[Application]]&amp;"."&amp;NSGRules[[#This Row],[Type]]&amp;"."&amp;NSGRules[[#This Row],[Action]]</f>
        <v>All_Internet.Inbound.Deny</v>
      </c>
      <c r="E105" t="s">
        <v>1171</v>
      </c>
      <c r="F105" t="s">
        <v>624</v>
      </c>
      <c r="G105">
        <v>100</v>
      </c>
      <c r="H105" t="s">
        <v>1180</v>
      </c>
      <c r="I105" t="s">
        <v>1153</v>
      </c>
      <c r="J105" t="s">
        <v>1154</v>
      </c>
      <c r="K105" t="s">
        <v>1154</v>
      </c>
      <c r="L105" t="s">
        <v>1154</v>
      </c>
      <c r="M105" t="s">
        <v>1155</v>
      </c>
      <c r="N105">
        <f>VLOOKUP(NSGRules[[#This Row],[NSGID]], NSGGroups[], 8, FALSE)</f>
        <v>2</v>
      </c>
      <c r="O105">
        <f>VLOOKUP(NSGRules[[#This Row],[NSGID]], NSGGroups[], 3, FALSE)</f>
        <v>365</v>
      </c>
      <c r="P105" t="str">
        <f>VLOOKUP(NSGRules[[#This Row],[NSGID]], NSGGroups[], 6, FALSE)</f>
        <v>Users_Tier2_365_SLG_Dev_ia</v>
      </c>
      <c r="Q105" t="str">
        <f>VLOOKUP(NSGRules[[#This Row],[NSGID]], NSGGroups[], 12, FALSE)</f>
        <v>Dev</v>
      </c>
      <c r="R105" t="str">
        <f>VLOOKUP(NSGRules[[#This Row],[NSGID]], NSGGroups[], 11, FALSE)</f>
        <v>PreProd2</v>
      </c>
      <c r="S10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'NSG_Users_Tier2_365_SLG_Dev_ia' | Set-AzureNetworkSecurityRule -Name 'All_Internet.Inbound.Deny' -Type Inbound -Priority 100 -Action Deny -SourceAddressPrefix 'INTERNET'  -SourcePortRange '*' -DestinationAddressPrefix '*' -DestinationPortRange '*' -Protocol TCP</v>
      </c>
      <c r="T10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'NSG_Users_Tier2_365_SLG_Dev_ia' | Set-AzureNetworkSecurityGroupToSubnet -VirtualNetworkName $VNETName_PreProd2 -SubnetName 'Users_Tier2_365_SLG_Dev_ia'</v>
      </c>
    </row>
    <row r="106" spans="1:20" hidden="1" x14ac:dyDescent="0.45">
      <c r="A106" t="s">
        <v>1391</v>
      </c>
      <c r="B106" t="s">
        <v>1065</v>
      </c>
      <c r="C106" t="str">
        <f>VLOOKUP(NSGRules[[#This Row],[NSGID]], NSGGroups[], 4, FALSE)</f>
        <v>NSG_Web_410_SLG_Dev_ia</v>
      </c>
      <c r="D106" t="str">
        <f>NSGRules[[#This Row],[Application]]&amp;"."&amp;NSGRules[[#This Row],[Type]]&amp;"."&amp;NSGRules[[#This Row],[Action]]</f>
        <v>All_Internet.Inbound.Deny</v>
      </c>
      <c r="E106" t="s">
        <v>1171</v>
      </c>
      <c r="F106" t="s">
        <v>624</v>
      </c>
      <c r="G106">
        <v>100</v>
      </c>
      <c r="H106" t="s">
        <v>1180</v>
      </c>
      <c r="I106" t="s">
        <v>1153</v>
      </c>
      <c r="J106" t="s">
        <v>1154</v>
      </c>
      <c r="K106" t="s">
        <v>1154</v>
      </c>
      <c r="L106" t="s">
        <v>1154</v>
      </c>
      <c r="M106" t="s">
        <v>1155</v>
      </c>
      <c r="N106">
        <f>VLOOKUP(NSGRules[[#This Row],[NSGID]], NSGGroups[], 8, FALSE)</f>
        <v>2</v>
      </c>
      <c r="O106">
        <f>VLOOKUP(NSGRules[[#This Row],[NSGID]], NSGGroups[], 3, FALSE)</f>
        <v>410</v>
      </c>
      <c r="P106" t="str">
        <f>VLOOKUP(NSGRules[[#This Row],[NSGID]], NSGGroups[], 6, FALSE)</f>
        <v>Web_410_SLG_Dev_ia</v>
      </c>
      <c r="Q106" t="str">
        <f>VLOOKUP(NSGRules[[#This Row],[NSGID]], NSGGroups[], 12, FALSE)</f>
        <v>Dev</v>
      </c>
      <c r="R106" t="str">
        <f>VLOOKUP(NSGRules[[#This Row],[NSGID]], NSGGroups[], 11, FALSE)</f>
        <v>PreProd2</v>
      </c>
      <c r="S10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'NSG_Web_410_SLG_Dev_ia' | Set-AzureNetworkSecurityRule -Name 'All_Internet.Inbound.Deny' -Type Inbound -Priority 100 -Action Deny -SourceAddressPrefix 'INTERNET'  -SourcePortRange '*' -DestinationAddressPrefix '*' -DestinationPortRange '*' -Protocol TCP</v>
      </c>
      <c r="T10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'NSG_Web_410_SLG_Dev_ia' | Set-AzureNetworkSecurityGroupToSubnet -VirtualNetworkName $VNETName_PreProd2 -SubnetName 'Web_410_SLG_Dev_ia'</v>
      </c>
    </row>
    <row r="107" spans="1:20" hidden="1" x14ac:dyDescent="0.45">
      <c r="A107" t="s">
        <v>1392</v>
      </c>
      <c r="B107" t="s">
        <v>1066</v>
      </c>
      <c r="C107" t="str">
        <f>VLOOKUP(NSGRules[[#This Row],[NSGID]], NSGGroups[], 4, FALSE)</f>
        <v>NSG_App_420_SLG_Dev_ia</v>
      </c>
      <c r="D107" t="str">
        <f>NSGRules[[#This Row],[Application]]&amp;"."&amp;NSGRules[[#This Row],[Type]]&amp;"."&amp;NSGRules[[#This Row],[Action]]</f>
        <v>All_Internet.Inbound.Deny</v>
      </c>
      <c r="E107" t="s">
        <v>1171</v>
      </c>
      <c r="F107" t="s">
        <v>624</v>
      </c>
      <c r="G107">
        <v>100</v>
      </c>
      <c r="H107" t="s">
        <v>1180</v>
      </c>
      <c r="I107" t="s">
        <v>1153</v>
      </c>
      <c r="J107" t="s">
        <v>1154</v>
      </c>
      <c r="K107" t="s">
        <v>1154</v>
      </c>
      <c r="L107" t="s">
        <v>1154</v>
      </c>
      <c r="M107" t="s">
        <v>1155</v>
      </c>
      <c r="N107">
        <f>VLOOKUP(NSGRules[[#This Row],[NSGID]], NSGGroups[], 8, FALSE)</f>
        <v>1</v>
      </c>
      <c r="O107">
        <f>VLOOKUP(NSGRules[[#This Row],[NSGID]], NSGGroups[], 3, FALSE)</f>
        <v>420</v>
      </c>
      <c r="P107" t="str">
        <f>VLOOKUP(NSGRules[[#This Row],[NSGID]], NSGGroups[], 6, FALSE)</f>
        <v>App_420_SLG_Dev_ia</v>
      </c>
      <c r="Q107" t="str">
        <f>VLOOKUP(NSGRules[[#This Row],[NSGID]], NSGGroups[], 12, FALSE)</f>
        <v>Dev</v>
      </c>
      <c r="R107" t="str">
        <f>VLOOKUP(NSGRules[[#This Row],[NSGID]], NSGGroups[], 11, FALSE)</f>
        <v>PreProd2</v>
      </c>
      <c r="S10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'NSG_App_420_SLG_Dev_ia' | Set-AzureNetworkSecurityRule -Name 'All_Internet.Inbound.Deny' -Type Inbound -Priority 100 -Action Deny -SourceAddressPrefix 'INTERNET'  -SourcePortRange '*' -DestinationAddressPrefix '*' -DestinationPortRange '*' -Protocol TCP</v>
      </c>
      <c r="T10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'NSG_App_420_SLG_Dev_ia' | Set-AzureNetworkSecurityGroupToSubnet -VirtualNetworkName $VNETName_PreProd2 -SubnetName 'App_420_SLG_Dev_ia'</v>
      </c>
    </row>
    <row r="108" spans="1:20" hidden="1" x14ac:dyDescent="0.45">
      <c r="A108" t="s">
        <v>1393</v>
      </c>
      <c r="B108" t="s">
        <v>1067</v>
      </c>
      <c r="C108" t="str">
        <f>VLOOKUP(NSGRules[[#This Row],[NSGID]], NSGGroups[], 4, FALSE)</f>
        <v>NSG_Database_430_SLG_Dev_ia</v>
      </c>
      <c r="D108" t="str">
        <f>NSGRules[[#This Row],[Application]]&amp;"."&amp;NSGRules[[#This Row],[Type]]&amp;"."&amp;NSGRules[[#This Row],[Action]]</f>
        <v>All_Internet.Inbound.Deny</v>
      </c>
      <c r="E108" t="s">
        <v>1171</v>
      </c>
      <c r="F108" t="s">
        <v>624</v>
      </c>
      <c r="G108">
        <v>100</v>
      </c>
      <c r="H108" t="s">
        <v>1180</v>
      </c>
      <c r="I108" t="s">
        <v>1153</v>
      </c>
      <c r="J108" t="s">
        <v>1154</v>
      </c>
      <c r="K108" t="s">
        <v>1154</v>
      </c>
      <c r="L108" t="s">
        <v>1154</v>
      </c>
      <c r="M108" t="s">
        <v>1155</v>
      </c>
      <c r="N108">
        <f>VLOOKUP(NSGRules[[#This Row],[NSGID]], NSGGroups[], 8, FALSE)</f>
        <v>1</v>
      </c>
      <c r="O108">
        <f>VLOOKUP(NSGRules[[#This Row],[NSGID]], NSGGroups[], 3, FALSE)</f>
        <v>430</v>
      </c>
      <c r="P108" t="str">
        <f>VLOOKUP(NSGRules[[#This Row],[NSGID]], NSGGroups[], 6, FALSE)</f>
        <v>Database_430_SLG_Dev_ia</v>
      </c>
      <c r="Q108" t="str">
        <f>VLOOKUP(NSGRules[[#This Row],[NSGID]], NSGGroups[], 12, FALSE)</f>
        <v>Dev</v>
      </c>
      <c r="R108" t="str">
        <f>VLOOKUP(NSGRules[[#This Row],[NSGID]], NSGGroups[], 11, FALSE)</f>
        <v>PreProd2</v>
      </c>
      <c r="S10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'NSG_Database_430_SLG_Dev_ia' | Set-AzureNetworkSecurityRule -Name 'All_Internet.Inbound.Deny' -Type Inbound -Priority 100 -Action Deny -SourceAddressPrefix 'INTERNET'  -SourcePortRange '*' -DestinationAddressPrefix '*' -DestinationPortRange '*' -Protocol TCP</v>
      </c>
      <c r="T10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'NSG_Database_430_SLG_Dev_ia' | Set-AzureNetworkSecurityGroupToSubnet -VirtualNetworkName $VNETName_PreProd2 -SubnetName 'Database_430_SLG_Dev_ia'</v>
      </c>
    </row>
    <row r="109" spans="1:20" x14ac:dyDescent="0.45">
      <c r="A109" t="s">
        <v>1394</v>
      </c>
      <c r="B109" t="s">
        <v>1068</v>
      </c>
      <c r="C109" t="str">
        <f>VLOOKUP(NSGRules[[#This Row],[NSGID]], NSGGroups[], 4, FALSE)</f>
        <v>NSG_DMZ_450_SLG_Dev_ia</v>
      </c>
      <c r="D109" t="str">
        <f>NSGRules[[#This Row],[Application]]&amp;"."&amp;NSGRules[[#This Row],[Type]]&amp;"."&amp;NSGRules[[#This Row],[Action]]</f>
        <v>HTTPS.Inbound.Allow</v>
      </c>
      <c r="E109" t="s">
        <v>1181</v>
      </c>
      <c r="F109" t="s">
        <v>624</v>
      </c>
      <c r="G109">
        <v>100</v>
      </c>
      <c r="H109" t="s">
        <v>625</v>
      </c>
      <c r="I109" t="s">
        <v>1153</v>
      </c>
      <c r="J109">
        <v>443</v>
      </c>
      <c r="K109" t="str">
        <f>VLOOKUP(NSGRules[[#This Row],[NSGID]], NSGGroups[], 13, FALSE)</f>
        <v>10.130.106.0/24</v>
      </c>
      <c r="L109">
        <v>443</v>
      </c>
      <c r="M109" t="s">
        <v>1155</v>
      </c>
      <c r="N109">
        <f>VLOOKUP(NSGRules[[#This Row],[NSGID]], NSGGroups[], 8, FALSE)</f>
        <v>2</v>
      </c>
      <c r="O109">
        <f>VLOOKUP(NSGRules[[#This Row],[NSGID]], NSGGroups[], 3, FALSE)</f>
        <v>450</v>
      </c>
      <c r="P109" t="str">
        <f>VLOOKUP(NSGRules[[#This Row],[NSGID]], NSGGroups[], 6, FALSE)</f>
        <v>DMZ_450_SLG_Dev_ia</v>
      </c>
      <c r="Q109" t="str">
        <f>VLOOKUP(NSGRules[[#This Row],[NSGID]], NSGGroups[], 12, FALSE)</f>
        <v>Dev</v>
      </c>
      <c r="R109" t="str">
        <f>VLOOKUP(NSGRules[[#This Row],[NSGID]], NSGGroups[], 11, FALSE)</f>
        <v>PreProd2</v>
      </c>
      <c r="S10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'NSG_DMZ_450_SLG_Dev_ia' | Set-AzureNetworkSecurityRule -Name 'HTTPS.Inbound.Allow' -Type Inbound -Priority 100 -Action Allow -SourceAddressPrefix 'INTERNET'  -SourcePortRange '443' -DestinationAddressPrefix '10.130.106.0/24' -DestinationPortRange '443' -Protocol TCP</v>
      </c>
      <c r="T10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'NSG_DMZ_450_SLG_Dev_ia' | Set-AzureNetworkSecurityGroupToSubnet -VirtualNetworkName $VNETName_PreProd2 -SubnetName 'DMZ_450_SLG_Dev_ia'</v>
      </c>
    </row>
    <row r="110" spans="1:20" hidden="1" x14ac:dyDescent="0.45">
      <c r="A110" t="s">
        <v>1395</v>
      </c>
      <c r="B110" t="s">
        <v>1069</v>
      </c>
      <c r="C110" t="str">
        <f>VLOOKUP(NSGRules[[#This Row],[NSGID]], NSGGroups[], 4, FALSE)</f>
        <v>NSG_Web_110_SLG_prod_va</v>
      </c>
      <c r="D110" t="str">
        <f>NSGRules[[#This Row],[Application]]&amp;"."&amp;NSGRules[[#This Row],[Type]]&amp;"."&amp;NSGRules[[#This Row],[Action]]</f>
        <v>All_Internet.Inbound.Deny</v>
      </c>
      <c r="E110" t="s">
        <v>1171</v>
      </c>
      <c r="F110" t="s">
        <v>624</v>
      </c>
      <c r="G110">
        <v>100</v>
      </c>
      <c r="H110" t="s">
        <v>1180</v>
      </c>
      <c r="I110" t="s">
        <v>1153</v>
      </c>
      <c r="J110" t="s">
        <v>1154</v>
      </c>
      <c r="K110" t="s">
        <v>1154</v>
      </c>
      <c r="L110" t="s">
        <v>1154</v>
      </c>
      <c r="M110" t="s">
        <v>1155</v>
      </c>
      <c r="N110">
        <f>VLOOKUP(NSGRules[[#This Row],[NSGID]], NSGGroups[], 8, FALSE)</f>
        <v>2</v>
      </c>
      <c r="O110">
        <f>VLOOKUP(NSGRules[[#This Row],[NSGID]], NSGGroups[], 3, FALSE)</f>
        <v>110</v>
      </c>
      <c r="P110" t="str">
        <f>VLOOKUP(NSGRules[[#This Row],[NSGID]], NSGGroups[], 6, FALSE)</f>
        <v>Web_110_SLG_prod_va</v>
      </c>
      <c r="Q110" t="str">
        <f>VLOOKUP(NSGRules[[#This Row],[NSGID]], NSGGroups[], 12, FALSE)</f>
        <v>prod</v>
      </c>
      <c r="R110" t="str">
        <f>VLOOKUP(NSGRules[[#This Row],[NSGID]], NSGGroups[], 11, FALSE)</f>
        <v>Prod1</v>
      </c>
      <c r="S11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'NSG_Web_110_SLG_prod_va' | Set-AzureNetworkSecurityRule -Name 'All_Internet.Inbound.Deny' -Type Inbound -Priority 100 -Action Deny -SourceAddressPrefix 'INTERNET'  -SourcePortRange '*' -DestinationAddressPrefix '*' -DestinationPortRange '*' -Protocol TCP</v>
      </c>
      <c r="T11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'NSG_Web_110_SLG_prod_va' | Set-AzureNetworkSecurityGroupToSubnet -VirtualNetworkName $VNETName_Prod1 -SubnetName 'Web_110_SLG_prod_va'</v>
      </c>
    </row>
    <row r="111" spans="1:20" hidden="1" x14ac:dyDescent="0.45">
      <c r="A111" t="s">
        <v>1396</v>
      </c>
      <c r="B111" t="s">
        <v>1070</v>
      </c>
      <c r="C111" t="str">
        <f>VLOOKUP(NSGRules[[#This Row],[NSGID]], NSGGroups[], 4, FALSE)</f>
        <v>NSG_App_120_SLG_prod_va</v>
      </c>
      <c r="D111" t="str">
        <f>NSGRules[[#This Row],[Application]]&amp;"."&amp;NSGRules[[#This Row],[Type]]&amp;"."&amp;NSGRules[[#This Row],[Action]]</f>
        <v>All_Internet.Inbound.Deny</v>
      </c>
      <c r="E111" t="s">
        <v>1171</v>
      </c>
      <c r="F111" t="s">
        <v>624</v>
      </c>
      <c r="G111">
        <v>100</v>
      </c>
      <c r="H111" t="s">
        <v>1180</v>
      </c>
      <c r="I111" t="s">
        <v>1153</v>
      </c>
      <c r="J111" t="s">
        <v>1154</v>
      </c>
      <c r="K111" t="s">
        <v>1154</v>
      </c>
      <c r="L111" t="s">
        <v>1154</v>
      </c>
      <c r="M111" t="s">
        <v>1155</v>
      </c>
      <c r="N111">
        <f>VLOOKUP(NSGRules[[#This Row],[NSGID]], NSGGroups[], 8, FALSE)</f>
        <v>1</v>
      </c>
      <c r="O111">
        <f>VLOOKUP(NSGRules[[#This Row],[NSGID]], NSGGroups[], 3, FALSE)</f>
        <v>120</v>
      </c>
      <c r="P111" t="str">
        <f>VLOOKUP(NSGRules[[#This Row],[NSGID]], NSGGroups[], 6, FALSE)</f>
        <v>App_120_SLG_prod_va</v>
      </c>
      <c r="Q111" t="str">
        <f>VLOOKUP(NSGRules[[#This Row],[NSGID]], NSGGroups[], 12, FALSE)</f>
        <v>prod</v>
      </c>
      <c r="R111" t="str">
        <f>VLOOKUP(NSGRules[[#This Row],[NSGID]], NSGGroups[], 11, FALSE)</f>
        <v>Prod1</v>
      </c>
      <c r="S11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'NSG_App_120_SLG_prod_va' | Set-AzureNetworkSecurityRule -Name 'All_Internet.Inbound.Deny' -Type Inbound -Priority 100 -Action Deny -SourceAddressPrefix 'INTERNET'  -SourcePortRange '*' -DestinationAddressPrefix '*' -DestinationPortRange '*' -Protocol TCP</v>
      </c>
      <c r="T11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'NSG_App_120_SLG_prod_va' | Set-AzureNetworkSecurityGroupToSubnet -VirtualNetworkName $VNETName_Prod1 -SubnetName 'App_120_SLG_prod_va'</v>
      </c>
    </row>
    <row r="112" spans="1:20" hidden="1" x14ac:dyDescent="0.45">
      <c r="A112" t="s">
        <v>1397</v>
      </c>
      <c r="B112" t="s">
        <v>1071</v>
      </c>
      <c r="C112" t="str">
        <f>VLOOKUP(NSGRules[[#This Row],[NSGID]], NSGGroups[], 4, FALSE)</f>
        <v>NSG_Database_130_SLG_prod_va</v>
      </c>
      <c r="D112" t="str">
        <f>NSGRules[[#This Row],[Application]]&amp;"."&amp;NSGRules[[#This Row],[Type]]&amp;"."&amp;NSGRules[[#This Row],[Action]]</f>
        <v>All_Internet.Inbound.Deny</v>
      </c>
      <c r="E112" t="s">
        <v>1171</v>
      </c>
      <c r="F112" t="s">
        <v>624</v>
      </c>
      <c r="G112">
        <v>100</v>
      </c>
      <c r="H112" t="s">
        <v>1180</v>
      </c>
      <c r="I112" t="s">
        <v>1153</v>
      </c>
      <c r="J112" t="s">
        <v>1154</v>
      </c>
      <c r="K112" t="s">
        <v>1154</v>
      </c>
      <c r="L112" t="s">
        <v>1154</v>
      </c>
      <c r="M112" t="s">
        <v>1155</v>
      </c>
      <c r="N112">
        <f>VLOOKUP(NSGRules[[#This Row],[NSGID]], NSGGroups[], 8, FALSE)</f>
        <v>1</v>
      </c>
      <c r="O112">
        <f>VLOOKUP(NSGRules[[#This Row],[NSGID]], NSGGroups[], 3, FALSE)</f>
        <v>130</v>
      </c>
      <c r="P112" t="str">
        <f>VLOOKUP(NSGRules[[#This Row],[NSGID]], NSGGroups[], 6, FALSE)</f>
        <v>Database_130_SLG_prod_va</v>
      </c>
      <c r="Q112" t="str">
        <f>VLOOKUP(NSGRules[[#This Row],[NSGID]], NSGGroups[], 12, FALSE)</f>
        <v>prod</v>
      </c>
      <c r="R112" t="str">
        <f>VLOOKUP(NSGRules[[#This Row],[NSGID]], NSGGroups[], 11, FALSE)</f>
        <v>Prod1</v>
      </c>
      <c r="S11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'NSG_Database_130_SLG_prod_va' | Set-AzureNetworkSecurityRule -Name 'All_Internet.Inbound.Deny' -Type Inbound -Priority 100 -Action Deny -SourceAddressPrefix 'INTERNET'  -SourcePortRange '*' -DestinationAddressPrefix '*' -DestinationPortRange '*' -Protocol TCP</v>
      </c>
      <c r="T11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'NSG_Database_130_SLG_prod_va' | Set-AzureNetworkSecurityGroupToSubnet -VirtualNetworkName $VNETName_Prod1 -SubnetName 'Database_130_SLG_prod_va'</v>
      </c>
    </row>
    <row r="113" spans="1:20" x14ac:dyDescent="0.45">
      <c r="A113" t="s">
        <v>1398</v>
      </c>
      <c r="B113" t="s">
        <v>1072</v>
      </c>
      <c r="C113" t="str">
        <f>VLOOKUP(NSGRules[[#This Row],[NSGID]], NSGGroups[], 4, FALSE)</f>
        <v>NSG_DMZ_150_SLG_prod_va</v>
      </c>
      <c r="D113" t="str">
        <f>NSGRules[[#This Row],[Application]]&amp;"."&amp;NSGRules[[#This Row],[Type]]&amp;"."&amp;NSGRules[[#This Row],[Action]]</f>
        <v>HTTPS.Inbound.Allow</v>
      </c>
      <c r="E113" t="s">
        <v>1181</v>
      </c>
      <c r="F113" t="s">
        <v>624</v>
      </c>
      <c r="G113">
        <v>100</v>
      </c>
      <c r="H113" t="s">
        <v>625</v>
      </c>
      <c r="I113" t="s">
        <v>1153</v>
      </c>
      <c r="J113">
        <v>443</v>
      </c>
      <c r="K113" t="str">
        <f>VLOOKUP(NSGRules[[#This Row],[NSGID]], NSGGroups[], 13, FALSE)</f>
        <v>10.130.8.0/24</v>
      </c>
      <c r="L113">
        <v>443</v>
      </c>
      <c r="M113" t="s">
        <v>1155</v>
      </c>
      <c r="N113">
        <f>VLOOKUP(NSGRules[[#This Row],[NSGID]], NSGGroups[], 8, FALSE)</f>
        <v>2</v>
      </c>
      <c r="O113">
        <f>VLOOKUP(NSGRules[[#This Row],[NSGID]], NSGGroups[], 3, FALSE)</f>
        <v>150</v>
      </c>
      <c r="P113" t="str">
        <f>VLOOKUP(NSGRules[[#This Row],[NSGID]], NSGGroups[], 6, FALSE)</f>
        <v>DMZ_150_SLG_prod_va</v>
      </c>
      <c r="Q113" t="str">
        <f>VLOOKUP(NSGRules[[#This Row],[NSGID]], NSGGroups[], 12, FALSE)</f>
        <v>prod</v>
      </c>
      <c r="R113" t="str">
        <f>VLOOKUP(NSGRules[[#This Row],[NSGID]], NSGGroups[], 11, FALSE)</f>
        <v>Prod1</v>
      </c>
      <c r="S11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'NSG_DMZ_150_SLG_prod_va' | Set-AzureNetworkSecurityRule -Name 'HTTPS.Inbound.Allow' -Type Inbound -Priority 100 -Action Allow -SourceAddressPrefix 'INTERNET'  -SourcePortRange '443' -DestinationAddressPrefix '10.130.8.0/24' -DestinationPortRange '443' -Protocol TCP</v>
      </c>
      <c r="T11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'NSG_DMZ_150_SLG_prod_va' | Set-AzureNetworkSecurityGroupToSubnet -VirtualNetworkName $VNETName_Prod1 -SubnetName 'DMZ_150_SLG_prod_va'</v>
      </c>
    </row>
    <row r="114" spans="1:20" hidden="1" x14ac:dyDescent="0.45">
      <c r="A114" t="s">
        <v>1399</v>
      </c>
      <c r="B114" t="s">
        <v>1073</v>
      </c>
      <c r="C114" t="str">
        <f>VLOOKUP(NSGRules[[#This Row],[NSGID]], NSGGroups[], 4, FALSE)</f>
        <v>NSG_User_Tier0_160_SLG_prod_va</v>
      </c>
      <c r="D114" t="str">
        <f>NSGRules[[#This Row],[Application]]&amp;"."&amp;NSGRules[[#This Row],[Type]]&amp;"."&amp;NSGRules[[#This Row],[Action]]</f>
        <v>All_Internet.Inbound.Deny</v>
      </c>
      <c r="E114" t="s">
        <v>1171</v>
      </c>
      <c r="F114" t="s">
        <v>624</v>
      </c>
      <c r="G114">
        <v>100</v>
      </c>
      <c r="H114" t="s">
        <v>1180</v>
      </c>
      <c r="I114" t="s">
        <v>1153</v>
      </c>
      <c r="J114" t="s">
        <v>1154</v>
      </c>
      <c r="K114" t="s">
        <v>1154</v>
      </c>
      <c r="L114" t="s">
        <v>1154</v>
      </c>
      <c r="M114" t="s">
        <v>1155</v>
      </c>
      <c r="N114">
        <f>VLOOKUP(NSGRules[[#This Row],[NSGID]], NSGGroups[], 8, FALSE)</f>
        <v>0</v>
      </c>
      <c r="O114">
        <f>VLOOKUP(NSGRules[[#This Row],[NSGID]], NSGGroups[], 3, FALSE)</f>
        <v>160</v>
      </c>
      <c r="P114" t="str">
        <f>VLOOKUP(NSGRules[[#This Row],[NSGID]], NSGGroups[], 6, FALSE)</f>
        <v>User_Tier0_160_SLG_prod_va</v>
      </c>
      <c r="Q114" t="str">
        <f>VLOOKUP(NSGRules[[#This Row],[NSGID]], NSGGroups[], 12, FALSE)</f>
        <v>prod</v>
      </c>
      <c r="R114" t="str">
        <f>VLOOKUP(NSGRules[[#This Row],[NSGID]], NSGGroups[], 11, FALSE)</f>
        <v>Prod1</v>
      </c>
      <c r="S11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'NSG_User_Tier0_160_SLG_prod_va' | Set-AzureNetworkSecurityRule -Name 'All_Internet.Inbound.Deny' -Type Inbound -Priority 100 -Action Deny -SourceAddressPrefix 'INTERNET'  -SourcePortRange '*' -DestinationAddressPrefix '*' -DestinationPortRange '*' -Protocol TCP</v>
      </c>
      <c r="T11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'NSG_User_Tier0_160_SLG_prod_va' | Set-AzureNetworkSecurityGroupToSubnet -VirtualNetworkName $VNETName_Prod1 -SubnetName 'User_Tier0_160_SLG_prod_va'</v>
      </c>
    </row>
    <row r="115" spans="1:20" hidden="1" x14ac:dyDescent="0.45">
      <c r="A115" t="s">
        <v>1400</v>
      </c>
      <c r="B115" t="s">
        <v>1074</v>
      </c>
      <c r="C115" t="str">
        <f>VLOOKUP(NSGRules[[#This Row],[NSGID]], NSGGroups[], 4, FALSE)</f>
        <v>NSG_Users_Tier1_161_SLG_prod_va</v>
      </c>
      <c r="D115" t="str">
        <f>NSGRules[[#This Row],[Application]]&amp;"."&amp;NSGRules[[#This Row],[Type]]&amp;"."&amp;NSGRules[[#This Row],[Action]]</f>
        <v>All_Internet.Inbound.Deny</v>
      </c>
      <c r="E115" t="s">
        <v>1171</v>
      </c>
      <c r="F115" t="s">
        <v>624</v>
      </c>
      <c r="G115">
        <v>100</v>
      </c>
      <c r="H115" t="s">
        <v>1180</v>
      </c>
      <c r="I115" t="s">
        <v>1153</v>
      </c>
      <c r="J115" t="s">
        <v>1154</v>
      </c>
      <c r="K115" t="s">
        <v>1154</v>
      </c>
      <c r="L115" t="s">
        <v>1154</v>
      </c>
      <c r="M115" t="s">
        <v>1155</v>
      </c>
      <c r="N115">
        <f>VLOOKUP(NSGRules[[#This Row],[NSGID]], NSGGroups[], 8, FALSE)</f>
        <v>1</v>
      </c>
      <c r="O115">
        <f>VLOOKUP(NSGRules[[#This Row],[NSGID]], NSGGroups[], 3, FALSE)</f>
        <v>161</v>
      </c>
      <c r="P115" t="str">
        <f>VLOOKUP(NSGRules[[#This Row],[NSGID]], NSGGroups[], 6, FALSE)</f>
        <v>Users_Tier1_161_SLG_prod_va</v>
      </c>
      <c r="Q115" t="str">
        <f>VLOOKUP(NSGRules[[#This Row],[NSGID]], NSGGroups[], 12, FALSE)</f>
        <v>prod</v>
      </c>
      <c r="R115" t="str">
        <f>VLOOKUP(NSGRules[[#This Row],[NSGID]], NSGGroups[], 11, FALSE)</f>
        <v>Prod1</v>
      </c>
      <c r="S11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'NSG_Users_Tier1_161_SLG_prod_va' | Set-AzureNetworkSecurityRule -Name 'All_Internet.Inbound.Deny' -Type Inbound -Priority 100 -Action Deny -SourceAddressPrefix 'INTERNET'  -SourcePortRange '*' -DestinationAddressPrefix '*' -DestinationPortRange '*' -Protocol TCP</v>
      </c>
      <c r="T11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'NSG_Users_Tier1_161_SLG_prod_va' | Set-AzureNetworkSecurityGroupToSubnet -VirtualNetworkName $VNETName_Prod1 -SubnetName 'Users_Tier1_161_SLG_prod_va'</v>
      </c>
    </row>
    <row r="116" spans="1:20" hidden="1" x14ac:dyDescent="0.45">
      <c r="A116" t="s">
        <v>1401</v>
      </c>
      <c r="B116" t="s">
        <v>1075</v>
      </c>
      <c r="C116" t="str">
        <f>VLOOKUP(NSGRules[[#This Row],[NSGID]], NSGGroups[], 4, FALSE)</f>
        <v>NSG_Users_Tier2_162_SLG_prod_va</v>
      </c>
      <c r="D116" t="str">
        <f>NSGRules[[#This Row],[Application]]&amp;"."&amp;NSGRules[[#This Row],[Type]]&amp;"."&amp;NSGRules[[#This Row],[Action]]</f>
        <v>All_Internet.Inbound.Deny</v>
      </c>
      <c r="E116" t="s">
        <v>1171</v>
      </c>
      <c r="F116" t="s">
        <v>624</v>
      </c>
      <c r="G116">
        <v>100</v>
      </c>
      <c r="H116" t="s">
        <v>1180</v>
      </c>
      <c r="I116" t="s">
        <v>1153</v>
      </c>
      <c r="J116" t="s">
        <v>1154</v>
      </c>
      <c r="K116" t="s">
        <v>1154</v>
      </c>
      <c r="L116" t="s">
        <v>1154</v>
      </c>
      <c r="M116" t="s">
        <v>1155</v>
      </c>
      <c r="N116">
        <f>VLOOKUP(NSGRules[[#This Row],[NSGID]], NSGGroups[], 8, FALSE)</f>
        <v>2</v>
      </c>
      <c r="O116">
        <f>VLOOKUP(NSGRules[[#This Row],[NSGID]], NSGGroups[], 3, FALSE)</f>
        <v>162</v>
      </c>
      <c r="P116" t="str">
        <f>VLOOKUP(NSGRules[[#This Row],[NSGID]], NSGGroups[], 6, FALSE)</f>
        <v>Users_Tier2_162_SLG_prod_va</v>
      </c>
      <c r="Q116" t="str">
        <f>VLOOKUP(NSGRules[[#This Row],[NSGID]], NSGGroups[], 12, FALSE)</f>
        <v>prod</v>
      </c>
      <c r="R116" t="str">
        <f>VLOOKUP(NSGRules[[#This Row],[NSGID]], NSGGroups[], 11, FALSE)</f>
        <v>Prod1</v>
      </c>
      <c r="S11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'NSG_Users_Tier2_162_SLG_prod_va' | Set-AzureNetworkSecurityRule -Name 'All_Internet.Inbound.Deny' -Type Inbound -Priority 100 -Action Deny -SourceAddressPrefix 'INTERNET'  -SourcePortRange '*' -DestinationAddressPrefix '*' -DestinationPortRange '*' -Protocol TCP</v>
      </c>
      <c r="T11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'NSG_Users_Tier2_162_SLG_prod_va' | Set-AzureNetworkSecurityGroupToSubnet -VirtualNetworkName $VNETName_Prod1 -SubnetName 'Users_Tier2_162_SLG_prod_va'</v>
      </c>
    </row>
    <row r="117" spans="1:20" hidden="1" x14ac:dyDescent="0.45">
      <c r="A117" t="s">
        <v>1402</v>
      </c>
      <c r="B117" t="s">
        <v>1076</v>
      </c>
      <c r="C117" t="str">
        <f>VLOOKUP(NSGRules[[#This Row],[NSGID]], NSGGroups[], 4, FALSE)</f>
        <v>NSG_Web_110_SLG_prod_ia</v>
      </c>
      <c r="D117" t="str">
        <f>NSGRules[[#This Row],[Application]]&amp;"."&amp;NSGRules[[#This Row],[Type]]&amp;"."&amp;NSGRules[[#This Row],[Action]]</f>
        <v>All_Internet.Inbound.Deny</v>
      </c>
      <c r="E117" t="s">
        <v>1171</v>
      </c>
      <c r="F117" t="s">
        <v>624</v>
      </c>
      <c r="G117">
        <v>100</v>
      </c>
      <c r="H117" t="s">
        <v>1180</v>
      </c>
      <c r="I117" t="s">
        <v>1153</v>
      </c>
      <c r="J117" t="s">
        <v>1154</v>
      </c>
      <c r="K117" t="s">
        <v>1154</v>
      </c>
      <c r="L117" t="s">
        <v>1154</v>
      </c>
      <c r="M117" t="s">
        <v>1155</v>
      </c>
      <c r="N117">
        <f>VLOOKUP(NSGRules[[#This Row],[NSGID]], NSGGroups[], 8, FALSE)</f>
        <v>2</v>
      </c>
      <c r="O117">
        <f>VLOOKUP(NSGRules[[#This Row],[NSGID]], NSGGroups[], 3, FALSE)</f>
        <v>110</v>
      </c>
      <c r="P117" t="str">
        <f>VLOOKUP(NSGRules[[#This Row],[NSGID]], NSGGroups[], 6, FALSE)</f>
        <v>Web_110_SLG_prod_ia</v>
      </c>
      <c r="Q117" t="str">
        <f>VLOOKUP(NSGRules[[#This Row],[NSGID]], NSGGroups[], 12, FALSE)</f>
        <v>prod</v>
      </c>
      <c r="R117" t="str">
        <f>VLOOKUP(NSGRules[[#This Row],[NSGID]], NSGGroups[], 11, FALSE)</f>
        <v>Prod2</v>
      </c>
      <c r="S11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'NSG_Web_110_SLG_prod_ia' | Set-AzureNetworkSecurityRule -Name 'All_Internet.Inbound.Deny' -Type Inbound -Priority 100 -Action Deny -SourceAddressPrefix 'INTERNET'  -SourcePortRange '*' -DestinationAddressPrefix '*' -DestinationPortRange '*' -Protocol TCP</v>
      </c>
      <c r="T11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'NSG_Web_110_SLG_prod_ia' | Set-AzureNetworkSecurityGroupToSubnet -VirtualNetworkName $VNETName_Prod2 -SubnetName 'Web_110_SLG_prod_ia'</v>
      </c>
    </row>
    <row r="118" spans="1:20" hidden="1" x14ac:dyDescent="0.45">
      <c r="A118" t="s">
        <v>1403</v>
      </c>
      <c r="B118" t="s">
        <v>1077</v>
      </c>
      <c r="C118" t="str">
        <f>VLOOKUP(NSGRules[[#This Row],[NSGID]], NSGGroups[], 4, FALSE)</f>
        <v>NSG_App_120_SLG_prod_ia</v>
      </c>
      <c r="D118" t="str">
        <f>NSGRules[[#This Row],[Application]]&amp;"."&amp;NSGRules[[#This Row],[Type]]&amp;"."&amp;NSGRules[[#This Row],[Action]]</f>
        <v>All_Internet.Inbound.Deny</v>
      </c>
      <c r="E118" t="s">
        <v>1171</v>
      </c>
      <c r="F118" t="s">
        <v>624</v>
      </c>
      <c r="G118">
        <v>100</v>
      </c>
      <c r="H118" t="s">
        <v>1180</v>
      </c>
      <c r="I118" t="s">
        <v>1153</v>
      </c>
      <c r="J118" t="s">
        <v>1154</v>
      </c>
      <c r="K118" t="s">
        <v>1154</v>
      </c>
      <c r="L118" t="s">
        <v>1154</v>
      </c>
      <c r="M118" t="s">
        <v>1155</v>
      </c>
      <c r="N118">
        <f>VLOOKUP(NSGRules[[#This Row],[NSGID]], NSGGroups[], 8, FALSE)</f>
        <v>1</v>
      </c>
      <c r="O118">
        <f>VLOOKUP(NSGRules[[#This Row],[NSGID]], NSGGroups[], 3, FALSE)</f>
        <v>120</v>
      </c>
      <c r="P118" t="str">
        <f>VLOOKUP(NSGRules[[#This Row],[NSGID]], NSGGroups[], 6, FALSE)</f>
        <v>App_120_SLG_prod_ia</v>
      </c>
      <c r="Q118" t="str">
        <f>VLOOKUP(NSGRules[[#This Row],[NSGID]], NSGGroups[], 12, FALSE)</f>
        <v>prod</v>
      </c>
      <c r="R118" t="str">
        <f>VLOOKUP(NSGRules[[#This Row],[NSGID]], NSGGroups[], 11, FALSE)</f>
        <v>Prod2</v>
      </c>
      <c r="S11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'NSG_App_120_SLG_prod_ia' | Set-AzureNetworkSecurityRule -Name 'All_Internet.Inbound.Deny' -Type Inbound -Priority 100 -Action Deny -SourceAddressPrefix 'INTERNET'  -SourcePortRange '*' -DestinationAddressPrefix '*' -DestinationPortRange '*' -Protocol TCP</v>
      </c>
      <c r="T11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'NSG_App_120_SLG_prod_ia' | Set-AzureNetworkSecurityGroupToSubnet -VirtualNetworkName $VNETName_Prod2 -SubnetName 'App_120_SLG_prod_ia'</v>
      </c>
    </row>
    <row r="119" spans="1:20" hidden="1" x14ac:dyDescent="0.45">
      <c r="A119" t="s">
        <v>1404</v>
      </c>
      <c r="B119" t="s">
        <v>1078</v>
      </c>
      <c r="C119" t="str">
        <f>VLOOKUP(NSGRules[[#This Row],[NSGID]], NSGGroups[], 4, FALSE)</f>
        <v>NSG_Database_130_SLG_prod_ia</v>
      </c>
      <c r="D119" t="str">
        <f>NSGRules[[#This Row],[Application]]&amp;"."&amp;NSGRules[[#This Row],[Type]]&amp;"."&amp;NSGRules[[#This Row],[Action]]</f>
        <v>All_Internet.Inbound.Deny</v>
      </c>
      <c r="E119" t="s">
        <v>1171</v>
      </c>
      <c r="F119" t="s">
        <v>624</v>
      </c>
      <c r="G119">
        <v>100</v>
      </c>
      <c r="H119" t="s">
        <v>1180</v>
      </c>
      <c r="I119" t="s">
        <v>1153</v>
      </c>
      <c r="J119" t="s">
        <v>1154</v>
      </c>
      <c r="K119" t="s">
        <v>1154</v>
      </c>
      <c r="L119" t="s">
        <v>1154</v>
      </c>
      <c r="M119" t="s">
        <v>1155</v>
      </c>
      <c r="N119">
        <f>VLOOKUP(NSGRules[[#This Row],[NSGID]], NSGGroups[], 8, FALSE)</f>
        <v>1</v>
      </c>
      <c r="O119">
        <f>VLOOKUP(NSGRules[[#This Row],[NSGID]], NSGGroups[], 3, FALSE)</f>
        <v>130</v>
      </c>
      <c r="P119" t="str">
        <f>VLOOKUP(NSGRules[[#This Row],[NSGID]], NSGGroups[], 6, FALSE)</f>
        <v>Database_130_SLG_prod_ia</v>
      </c>
      <c r="Q119" t="str">
        <f>VLOOKUP(NSGRules[[#This Row],[NSGID]], NSGGroups[], 12, FALSE)</f>
        <v>prod</v>
      </c>
      <c r="R119" t="str">
        <f>VLOOKUP(NSGRules[[#This Row],[NSGID]], NSGGroups[], 11, FALSE)</f>
        <v>Prod2</v>
      </c>
      <c r="S11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'NSG_Database_130_SLG_prod_ia' | Set-AzureNetworkSecurityRule -Name 'All_Internet.Inbound.Deny' -Type Inbound -Priority 100 -Action Deny -SourceAddressPrefix 'INTERNET'  -SourcePortRange '*' -DestinationAddressPrefix '*' -DestinationPortRange '*' -Protocol TCP</v>
      </c>
      <c r="T11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'NSG_Database_130_SLG_prod_ia' | Set-AzureNetworkSecurityGroupToSubnet -VirtualNetworkName $VNETName_Prod2 -SubnetName 'Database_130_SLG_prod_ia'</v>
      </c>
    </row>
    <row r="120" spans="1:20" x14ac:dyDescent="0.45">
      <c r="A120" t="s">
        <v>1405</v>
      </c>
      <c r="B120" t="s">
        <v>1079</v>
      </c>
      <c r="C120" t="str">
        <f>VLOOKUP(NSGRules[[#This Row],[NSGID]], NSGGroups[], 4, FALSE)</f>
        <v>NSG_DMZ_150_SLG_prod_ia</v>
      </c>
      <c r="D120" t="str">
        <f>NSGRules[[#This Row],[Application]]&amp;"."&amp;NSGRules[[#This Row],[Type]]&amp;"."&amp;NSGRules[[#This Row],[Action]]</f>
        <v>HTTPS.Inbound.Allow</v>
      </c>
      <c r="E120" t="s">
        <v>1181</v>
      </c>
      <c r="F120" t="s">
        <v>624</v>
      </c>
      <c r="G120">
        <v>100</v>
      </c>
      <c r="H120" t="s">
        <v>625</v>
      </c>
      <c r="I120" t="s">
        <v>1153</v>
      </c>
      <c r="J120">
        <v>443</v>
      </c>
      <c r="K120" t="str">
        <f>VLOOKUP(NSGRules[[#This Row],[NSGID]], NSGGroups[], 13, FALSE)</f>
        <v>10.130.70.0/24</v>
      </c>
      <c r="L120">
        <v>443</v>
      </c>
      <c r="M120" t="s">
        <v>1155</v>
      </c>
      <c r="N120">
        <f>VLOOKUP(NSGRules[[#This Row],[NSGID]], NSGGroups[], 8, FALSE)</f>
        <v>2</v>
      </c>
      <c r="O120">
        <f>VLOOKUP(NSGRules[[#This Row],[NSGID]], NSGGroups[], 3, FALSE)</f>
        <v>150</v>
      </c>
      <c r="P120" t="str">
        <f>VLOOKUP(NSGRules[[#This Row],[NSGID]], NSGGroups[], 6, FALSE)</f>
        <v>DMZ_150_SLG_prod_ia</v>
      </c>
      <c r="Q120" t="str">
        <f>VLOOKUP(NSGRules[[#This Row],[NSGID]], NSGGroups[], 12, FALSE)</f>
        <v>prod</v>
      </c>
      <c r="R120" t="str">
        <f>VLOOKUP(NSGRules[[#This Row],[NSGID]], NSGGroups[], 11, FALSE)</f>
        <v>Prod2</v>
      </c>
      <c r="S12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'NSG_DMZ_150_SLG_prod_ia' | Set-AzureNetworkSecurityRule -Name 'HTTPS.Inbound.Allow' -Type Inbound -Priority 100 -Action Allow -SourceAddressPrefix 'INTERNET'  -SourcePortRange '443' -DestinationAddressPrefix '10.130.70.0/24' -DestinationPortRange '443' -Protocol TCP</v>
      </c>
      <c r="T12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'NSG_DMZ_150_SLG_prod_ia' | Set-AzureNetworkSecurityGroupToSubnet -VirtualNetworkName $VNETName_Prod2 -SubnetName 'DMZ_150_SLG_prod_ia'</v>
      </c>
    </row>
    <row r="121" spans="1:20" hidden="1" x14ac:dyDescent="0.45">
      <c r="A121" t="s">
        <v>1406</v>
      </c>
      <c r="B121" t="s">
        <v>1080</v>
      </c>
      <c r="C121" t="str">
        <f>VLOOKUP(NSGRules[[#This Row],[NSGID]], NSGGroups[], 4, FALSE)</f>
        <v>NSG_User_Tier0_160_SLG_prod_ia</v>
      </c>
      <c r="D121" t="str">
        <f>NSGRules[[#This Row],[Application]]&amp;"."&amp;NSGRules[[#This Row],[Type]]&amp;"."&amp;NSGRules[[#This Row],[Action]]</f>
        <v>All_Internet.Inbound.Deny</v>
      </c>
      <c r="E121" t="s">
        <v>1171</v>
      </c>
      <c r="F121" t="s">
        <v>624</v>
      </c>
      <c r="G121">
        <v>100</v>
      </c>
      <c r="H121" t="s">
        <v>1180</v>
      </c>
      <c r="I121" t="s">
        <v>1153</v>
      </c>
      <c r="J121" t="s">
        <v>1154</v>
      </c>
      <c r="K121" t="s">
        <v>1154</v>
      </c>
      <c r="L121" t="s">
        <v>1154</v>
      </c>
      <c r="M121" t="s">
        <v>1155</v>
      </c>
      <c r="N121">
        <f>VLOOKUP(NSGRules[[#This Row],[NSGID]], NSGGroups[], 8, FALSE)</f>
        <v>0</v>
      </c>
      <c r="O121">
        <f>VLOOKUP(NSGRules[[#This Row],[NSGID]], NSGGroups[], 3, FALSE)</f>
        <v>160</v>
      </c>
      <c r="P121" t="str">
        <f>VLOOKUP(NSGRules[[#This Row],[NSGID]], NSGGroups[], 6, FALSE)</f>
        <v>User_Tier0_160_SLG_prod_ia</v>
      </c>
      <c r="Q121" t="str">
        <f>VLOOKUP(NSGRules[[#This Row],[NSGID]], NSGGroups[], 12, FALSE)</f>
        <v>prod</v>
      </c>
      <c r="R121" t="str">
        <f>VLOOKUP(NSGRules[[#This Row],[NSGID]], NSGGroups[], 11, FALSE)</f>
        <v>Prod2</v>
      </c>
      <c r="S12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'NSG_User_Tier0_160_SLG_prod_ia' | Set-AzureNetworkSecurityRule -Name 'All_Internet.Inbound.Deny' -Type Inbound -Priority 100 -Action Deny -SourceAddressPrefix 'INTERNET'  -SourcePortRange '*' -DestinationAddressPrefix '*' -DestinationPortRange '*' -Protocol TCP</v>
      </c>
      <c r="T12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'NSG_User_Tier0_160_SLG_prod_ia' | Set-AzureNetworkSecurityGroupToSubnet -VirtualNetworkName $VNETName_Prod2 -SubnetName 'User_Tier0_160_SLG_prod_ia'</v>
      </c>
    </row>
    <row r="122" spans="1:20" hidden="1" x14ac:dyDescent="0.45">
      <c r="A122" t="s">
        <v>1407</v>
      </c>
      <c r="B122" t="s">
        <v>1081</v>
      </c>
      <c r="C122" t="str">
        <f>VLOOKUP(NSGRules[[#This Row],[NSGID]], NSGGroups[], 4, FALSE)</f>
        <v>NSG_Users_Tier1_161_SLG_prod_ia</v>
      </c>
      <c r="D122" t="str">
        <f>NSGRules[[#This Row],[Application]]&amp;"."&amp;NSGRules[[#This Row],[Type]]&amp;"."&amp;NSGRules[[#This Row],[Action]]</f>
        <v>All_Internet.Inbound.Deny</v>
      </c>
      <c r="E122" t="s">
        <v>1171</v>
      </c>
      <c r="F122" t="s">
        <v>624</v>
      </c>
      <c r="G122">
        <v>100</v>
      </c>
      <c r="H122" t="s">
        <v>1180</v>
      </c>
      <c r="I122" t="s">
        <v>1153</v>
      </c>
      <c r="J122" t="s">
        <v>1154</v>
      </c>
      <c r="K122" t="s">
        <v>1154</v>
      </c>
      <c r="L122" t="s">
        <v>1154</v>
      </c>
      <c r="M122" t="s">
        <v>1155</v>
      </c>
      <c r="N122">
        <f>VLOOKUP(NSGRules[[#This Row],[NSGID]], NSGGroups[], 8, FALSE)</f>
        <v>1</v>
      </c>
      <c r="O122">
        <f>VLOOKUP(NSGRules[[#This Row],[NSGID]], NSGGroups[], 3, FALSE)</f>
        <v>161</v>
      </c>
      <c r="P122" t="str">
        <f>VLOOKUP(NSGRules[[#This Row],[NSGID]], NSGGroups[], 6, FALSE)</f>
        <v>Users_Tier1_161_SLG_prod_ia</v>
      </c>
      <c r="Q122" t="str">
        <f>VLOOKUP(NSGRules[[#This Row],[NSGID]], NSGGroups[], 12, FALSE)</f>
        <v>prod</v>
      </c>
      <c r="R122" t="str">
        <f>VLOOKUP(NSGRules[[#This Row],[NSGID]], NSGGroups[], 11, FALSE)</f>
        <v>Prod2</v>
      </c>
      <c r="S12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'NSG_Users_Tier1_161_SLG_prod_ia' | Set-AzureNetworkSecurityRule -Name 'All_Internet.Inbound.Deny' -Type Inbound -Priority 100 -Action Deny -SourceAddressPrefix 'INTERNET'  -SourcePortRange '*' -DestinationAddressPrefix '*' -DestinationPortRange '*' -Protocol TCP</v>
      </c>
      <c r="T12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'NSG_Users_Tier1_161_SLG_prod_ia' | Set-AzureNetworkSecurityGroupToSubnet -VirtualNetworkName $VNETName_Prod2 -SubnetName 'Users_Tier1_161_SLG_prod_ia'</v>
      </c>
    </row>
    <row r="123" spans="1:20" hidden="1" x14ac:dyDescent="0.45">
      <c r="A123" t="s">
        <v>1408</v>
      </c>
      <c r="B123" t="s">
        <v>1082</v>
      </c>
      <c r="C123" t="str">
        <f>VLOOKUP(NSGRules[[#This Row],[NSGID]], NSGGroups[], 4, FALSE)</f>
        <v>NSG_Users_Tier2_162_SLG_prod_ia</v>
      </c>
      <c r="D123" t="str">
        <f>NSGRules[[#This Row],[Application]]&amp;"."&amp;NSGRules[[#This Row],[Type]]&amp;"."&amp;NSGRules[[#This Row],[Action]]</f>
        <v>All_Internet.Inbound.Deny</v>
      </c>
      <c r="E123" t="s">
        <v>1171</v>
      </c>
      <c r="F123" t="s">
        <v>624</v>
      </c>
      <c r="G123">
        <v>100</v>
      </c>
      <c r="H123" t="s">
        <v>1180</v>
      </c>
      <c r="I123" t="s">
        <v>1153</v>
      </c>
      <c r="J123" t="s">
        <v>1154</v>
      </c>
      <c r="K123" t="s">
        <v>1154</v>
      </c>
      <c r="L123" t="s">
        <v>1154</v>
      </c>
      <c r="M123" t="s">
        <v>1155</v>
      </c>
      <c r="N123">
        <f>VLOOKUP(NSGRules[[#This Row],[NSGID]], NSGGroups[], 8, FALSE)</f>
        <v>2</v>
      </c>
      <c r="O123">
        <f>VLOOKUP(NSGRules[[#This Row],[NSGID]], NSGGroups[], 3, FALSE)</f>
        <v>162</v>
      </c>
      <c r="P123" t="str">
        <f>VLOOKUP(NSGRules[[#This Row],[NSGID]], NSGGroups[], 6, FALSE)</f>
        <v>Users_Tier2_162_SLG_prod_ia</v>
      </c>
      <c r="Q123" t="str">
        <f>VLOOKUP(NSGRules[[#This Row],[NSGID]], NSGGroups[], 12, FALSE)</f>
        <v>prod</v>
      </c>
      <c r="R123" t="str">
        <f>VLOOKUP(NSGRules[[#This Row],[NSGID]], NSGGroups[], 11, FALSE)</f>
        <v>Prod2</v>
      </c>
      <c r="S12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'NSG_Users_Tier2_162_SLG_prod_ia' | Set-AzureNetworkSecurityRule -Name 'All_Internet.Inbound.Deny' -Type Inbound -Priority 100 -Action Deny -SourceAddressPrefix 'INTERNET'  -SourcePortRange '*' -DestinationAddressPrefix '*' -DestinationPortRange '*' -Protocol TCP</v>
      </c>
      <c r="T12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'NSG_Users_Tier2_162_SLG_prod_ia' | Set-AzureNetworkSecurityGroupToSubnet -VirtualNetworkName $VNETName_Prod2 -SubnetName 'Users_Tier2_162_SLG_prod_ia'</v>
      </c>
    </row>
    <row r="124" spans="1:20" hidden="1" x14ac:dyDescent="0.45">
      <c r="A124" t="s">
        <v>1409</v>
      </c>
      <c r="B124" t="s">
        <v>1084</v>
      </c>
      <c r="C124" t="str">
        <f>VLOOKUP(NSGRules[[#This Row],[NSGID]], NSGGroups[], 4, FALSE)</f>
        <v>NSG_Services_600_SLG_Srvcs_va</v>
      </c>
      <c r="D124" t="str">
        <f>NSGRules[[#This Row],[Application]]&amp;"."&amp;NSGRules[[#This Row],[Type]]&amp;"."&amp;NSGRules[[#This Row],[Action]]</f>
        <v>All_Internet.Inbound.Deny</v>
      </c>
      <c r="E124" t="s">
        <v>1171</v>
      </c>
      <c r="F124" t="s">
        <v>624</v>
      </c>
      <c r="G124">
        <v>100</v>
      </c>
      <c r="H124" t="s">
        <v>1180</v>
      </c>
      <c r="I124" t="s">
        <v>1153</v>
      </c>
      <c r="J124" t="s">
        <v>1154</v>
      </c>
      <c r="K124" t="s">
        <v>1154</v>
      </c>
      <c r="L124" t="s">
        <v>1154</v>
      </c>
      <c r="M124" t="s">
        <v>1155</v>
      </c>
      <c r="N124">
        <f>VLOOKUP(NSGRules[[#This Row],[NSGID]], NSGGroups[], 8, FALSE)</f>
        <v>0</v>
      </c>
      <c r="O124">
        <f>VLOOKUP(NSGRules[[#This Row],[NSGID]], NSGGroups[], 3, FALSE)</f>
        <v>600</v>
      </c>
      <c r="P124" t="str">
        <f>VLOOKUP(NSGRules[[#This Row],[NSGID]], NSGGroups[], 6, FALSE)</f>
        <v>Services_600_SLG_Srvcs_va</v>
      </c>
      <c r="Q124" t="str">
        <f>VLOOKUP(NSGRules[[#This Row],[NSGID]], NSGGroups[], 12, FALSE)</f>
        <v>Srvcs</v>
      </c>
      <c r="R124" t="str">
        <f>VLOOKUP(NSGRules[[#This Row],[NSGID]], NSGGroups[], 11, FALSE)</f>
        <v>Services1</v>
      </c>
      <c r="S12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'NSG_Services_600_SLG_Srvcs_va' | Set-AzureNetworkSecurityRule -Name 'All_Internet.Inbound.Deny' -Type Inbound -Priority 100 -Action Deny -SourceAddressPrefix 'INTERNET'  -SourcePortRange '*' -DestinationAddressPrefix '*' -DestinationPortRange '*' -Protocol TCP</v>
      </c>
      <c r="T12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'NSG_Services_600_SLG_Srvcs_va' | Set-AzureNetworkSecurityGroupToSubnet -VirtualNetworkName $VNETName_Services1 -SubnetName 'Services_600_SLG_Srvcs_va'</v>
      </c>
    </row>
    <row r="125" spans="1:20" x14ac:dyDescent="0.45">
      <c r="A125" t="s">
        <v>1410</v>
      </c>
      <c r="B125" t="s">
        <v>1085</v>
      </c>
      <c r="C125" t="str">
        <f>VLOOKUP(NSGRules[[#This Row],[NSGID]], NSGGroups[], 4, FALSE)</f>
        <v>NSG_DMZ_650_SLG_Srvcs_va</v>
      </c>
      <c r="D125" t="str">
        <f>NSGRules[[#This Row],[Application]]&amp;"."&amp;NSGRules[[#This Row],[Type]]&amp;"."&amp;NSGRules[[#This Row],[Action]]</f>
        <v>HTTPS.Inbound.Allow</v>
      </c>
      <c r="E125" t="s">
        <v>1181</v>
      </c>
      <c r="F125" t="s">
        <v>624</v>
      </c>
      <c r="G125">
        <v>100</v>
      </c>
      <c r="H125" t="s">
        <v>625</v>
      </c>
      <c r="I125" t="s">
        <v>1153</v>
      </c>
      <c r="J125">
        <v>443</v>
      </c>
      <c r="K125" t="str">
        <f>VLOOKUP(NSGRules[[#This Row],[NSGID]], NSGGroups[], 13, FALSE)</f>
        <v>10.130.58.0/24</v>
      </c>
      <c r="L125">
        <v>443</v>
      </c>
      <c r="M125" t="s">
        <v>1155</v>
      </c>
      <c r="N125">
        <f>VLOOKUP(NSGRules[[#This Row],[NSGID]], NSGGroups[], 8, FALSE)</f>
        <v>2</v>
      </c>
      <c r="O125">
        <f>VLOOKUP(NSGRules[[#This Row],[NSGID]], NSGGroups[], 3, FALSE)</f>
        <v>650</v>
      </c>
      <c r="P125" t="str">
        <f>VLOOKUP(NSGRules[[#This Row],[NSGID]], NSGGroups[], 6, FALSE)</f>
        <v>DMZ_650_SLG_Srvcs_va</v>
      </c>
      <c r="Q125" t="str">
        <f>VLOOKUP(NSGRules[[#This Row],[NSGID]], NSGGroups[], 12, FALSE)</f>
        <v>Srvcs</v>
      </c>
      <c r="R125" t="str">
        <f>VLOOKUP(NSGRules[[#This Row],[NSGID]], NSGGroups[], 11, FALSE)</f>
        <v>Services1</v>
      </c>
      <c r="S12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'NSG_DMZ_650_SLG_Srvcs_va' | Set-AzureNetworkSecurityRule -Name 'HTTPS.Inbound.Allow' -Type Inbound -Priority 100 -Action Allow -SourceAddressPrefix 'INTERNET'  -SourcePortRange '443' -DestinationAddressPrefix '10.130.58.0/24' -DestinationPortRange '443' -Protocol TCP</v>
      </c>
      <c r="T12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'NSG_DMZ_650_SLG_Srvcs_va' | Set-AzureNetworkSecurityGroupToSubnet -VirtualNetworkName $VNETName_Services1 -SubnetName 'DMZ_650_SLG_Srvcs_va'</v>
      </c>
    </row>
    <row r="126" spans="1:20" hidden="1" x14ac:dyDescent="0.45">
      <c r="A126" t="s">
        <v>1411</v>
      </c>
      <c r="B126" t="s">
        <v>1086</v>
      </c>
      <c r="C126" t="str">
        <f>VLOOKUP(NSGRules[[#This Row],[NSGID]], NSGGroups[], 4, FALSE)</f>
        <v>NSG_Users_Tier1_661_SLG_Srvcs_va</v>
      </c>
      <c r="D126" t="str">
        <f>NSGRules[[#This Row],[Application]]&amp;"."&amp;NSGRules[[#This Row],[Type]]&amp;"."&amp;NSGRules[[#This Row],[Action]]</f>
        <v>All_Internet.Inbound.Deny</v>
      </c>
      <c r="E126" t="s">
        <v>1171</v>
      </c>
      <c r="F126" t="s">
        <v>624</v>
      </c>
      <c r="G126">
        <v>100</v>
      </c>
      <c r="H126" t="s">
        <v>1180</v>
      </c>
      <c r="I126" t="s">
        <v>1153</v>
      </c>
      <c r="J126" t="s">
        <v>1154</v>
      </c>
      <c r="K126" t="s">
        <v>1154</v>
      </c>
      <c r="L126" t="s">
        <v>1154</v>
      </c>
      <c r="M126" t="s">
        <v>1155</v>
      </c>
      <c r="N126">
        <f>VLOOKUP(NSGRules[[#This Row],[NSGID]], NSGGroups[], 8, FALSE)</f>
        <v>1</v>
      </c>
      <c r="O126">
        <f>VLOOKUP(NSGRules[[#This Row],[NSGID]], NSGGroups[], 3, FALSE)</f>
        <v>661</v>
      </c>
      <c r="P126" t="str">
        <f>VLOOKUP(NSGRules[[#This Row],[NSGID]], NSGGroups[], 6, FALSE)</f>
        <v>Users_Tier1_661_SLG_Srvcs_va</v>
      </c>
      <c r="Q126" t="str">
        <f>VLOOKUP(NSGRules[[#This Row],[NSGID]], NSGGroups[], 12, FALSE)</f>
        <v>Srvcs</v>
      </c>
      <c r="R126" t="str">
        <f>VLOOKUP(NSGRules[[#This Row],[NSGID]], NSGGroups[], 11, FALSE)</f>
        <v>Services1</v>
      </c>
      <c r="S12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'NSG_Users_Tier1_661_SLG_Srvcs_va' | Set-AzureNetworkSecurityRule -Name 'All_Internet.Inbound.Deny' -Type Inbound -Priority 100 -Action Deny -SourceAddressPrefix 'INTERNET'  -SourcePortRange '*' -DestinationAddressPrefix '*' -DestinationPortRange '*' -Protocol TCP</v>
      </c>
      <c r="T12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'NSG_Users_Tier1_661_SLG_Srvcs_va' | Set-AzureNetworkSecurityGroupToSubnet -VirtualNetworkName $VNETName_Services1 -SubnetName 'Users_Tier1_661_SLG_Srvcs_va'</v>
      </c>
    </row>
    <row r="127" spans="1:20" hidden="1" x14ac:dyDescent="0.45">
      <c r="A127" t="s">
        <v>1412</v>
      </c>
      <c r="B127" t="s">
        <v>1087</v>
      </c>
      <c r="C127" t="str">
        <f>VLOOKUP(NSGRules[[#This Row],[NSGID]], NSGGroups[], 4, FALSE)</f>
        <v>NSG_Future_670_SLG_Srvcs_va</v>
      </c>
      <c r="D127" t="str">
        <f>NSGRules[[#This Row],[Application]]&amp;"."&amp;NSGRules[[#This Row],[Type]]&amp;"."&amp;NSGRules[[#This Row],[Action]]</f>
        <v>All_Internet.Inbound.Deny</v>
      </c>
      <c r="E127" t="s">
        <v>1171</v>
      </c>
      <c r="F127" t="s">
        <v>624</v>
      </c>
      <c r="G127">
        <v>100</v>
      </c>
      <c r="H127" t="s">
        <v>1180</v>
      </c>
      <c r="I127" t="s">
        <v>1153</v>
      </c>
      <c r="J127" t="s">
        <v>1154</v>
      </c>
      <c r="K127" t="s">
        <v>1154</v>
      </c>
      <c r="L127" t="s">
        <v>1154</v>
      </c>
      <c r="M127" t="s">
        <v>1155</v>
      </c>
      <c r="N127">
        <f>VLOOKUP(NSGRules[[#This Row],[NSGID]], NSGGroups[], 8, FALSE)</f>
        <v>0</v>
      </c>
      <c r="O127">
        <f>VLOOKUP(NSGRules[[#This Row],[NSGID]], NSGGroups[], 3, FALSE)</f>
        <v>670</v>
      </c>
      <c r="P127" t="str">
        <f>VLOOKUP(NSGRules[[#This Row],[NSGID]], NSGGroups[], 6, FALSE)</f>
        <v>Future_670_SLG_Srvcs_va</v>
      </c>
      <c r="Q127" t="str">
        <f>VLOOKUP(NSGRules[[#This Row],[NSGID]], NSGGroups[], 12, FALSE)</f>
        <v>Srvcs</v>
      </c>
      <c r="R127" t="str">
        <f>VLOOKUP(NSGRules[[#This Row],[NSGID]], NSGGroups[], 11, FALSE)</f>
        <v>Services1</v>
      </c>
      <c r="S12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'NSG_Future_670_SLG_Srvcs_va' | Set-AzureNetworkSecurityRule -Name 'All_Internet.Inbound.Deny' -Type Inbound -Priority 100 -Action Deny -SourceAddressPrefix 'INTERNET'  -SourcePortRange '*' -DestinationAddressPrefix '*' -DestinationPortRange '*' -Protocol TCP</v>
      </c>
      <c r="T12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'NSG_Future_670_SLG_Srvcs_va' | Set-AzureNetworkSecurityGroupToSubnet -VirtualNetworkName $VNETName_Services1 -SubnetName 'Future_670_SLG_Srvcs_va'</v>
      </c>
    </row>
    <row r="128" spans="1:20" hidden="1" x14ac:dyDescent="0.45">
      <c r="A128" t="s">
        <v>1413</v>
      </c>
      <c r="B128" t="s">
        <v>1088</v>
      </c>
      <c r="C128" t="str">
        <f>VLOOKUP(NSGRules[[#This Row],[NSGID]], NSGGroups[], 4, FALSE)</f>
        <v>NSG_Services_600_SLG_Srvcs_ia</v>
      </c>
      <c r="D128" t="str">
        <f>NSGRules[[#This Row],[Application]]&amp;"."&amp;NSGRules[[#This Row],[Type]]&amp;"."&amp;NSGRules[[#This Row],[Action]]</f>
        <v>All_Internet.Inbound.Deny</v>
      </c>
      <c r="E128" t="s">
        <v>1171</v>
      </c>
      <c r="F128" t="s">
        <v>624</v>
      </c>
      <c r="G128">
        <v>100</v>
      </c>
      <c r="H128" t="s">
        <v>1180</v>
      </c>
      <c r="I128" t="s">
        <v>1153</v>
      </c>
      <c r="J128" t="s">
        <v>1154</v>
      </c>
      <c r="K128" t="s">
        <v>1154</v>
      </c>
      <c r="L128" t="s">
        <v>1154</v>
      </c>
      <c r="M128" t="s">
        <v>1155</v>
      </c>
      <c r="N128">
        <f>VLOOKUP(NSGRules[[#This Row],[NSGID]], NSGGroups[], 8, FALSE)</f>
        <v>0</v>
      </c>
      <c r="O128">
        <f>VLOOKUP(NSGRules[[#This Row],[NSGID]], NSGGroups[], 3, FALSE)</f>
        <v>600</v>
      </c>
      <c r="P128" t="str">
        <f>VLOOKUP(NSGRules[[#This Row],[NSGID]], NSGGroups[], 6, FALSE)</f>
        <v>Services_600_SLG_Srvcs_ia</v>
      </c>
      <c r="Q128" t="str">
        <f>VLOOKUP(NSGRules[[#This Row],[NSGID]], NSGGroups[], 12, FALSE)</f>
        <v>Srvcs</v>
      </c>
      <c r="R128" t="str">
        <f>VLOOKUP(NSGRules[[#This Row],[NSGID]], NSGGroups[], 11, FALSE)</f>
        <v>Services2</v>
      </c>
      <c r="S128"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'NSG_Services_600_SLG_Srvcs_ia' | Set-AzureNetworkSecurityRule -Name 'All_Internet.Inbound.Deny' -Type Inbound -Priority 100 -Action Deny -SourceAddressPrefix 'INTERNET'  -SourcePortRange '*' -DestinationAddressPrefix '*' -DestinationPortRange '*' -Protocol TCP</v>
      </c>
      <c r="T128"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'NSG_Services_600_SLG_Srvcs_ia' | Set-AzureNetworkSecurityGroupToSubnet -VirtualNetworkName $VNETName_Services2 -SubnetName 'Services_600_SLG_Srvcs_ia'</v>
      </c>
    </row>
    <row r="129" spans="1:20" x14ac:dyDescent="0.45">
      <c r="A129" t="s">
        <v>1414</v>
      </c>
      <c r="B129" t="s">
        <v>1089</v>
      </c>
      <c r="C129" t="str">
        <f>VLOOKUP(NSGRules[[#This Row],[NSGID]], NSGGroups[], 4, FALSE)</f>
        <v>NSG_DMZ_650_SLG_Srvcs_ia</v>
      </c>
      <c r="D129" t="str">
        <f>NSGRules[[#This Row],[Application]]&amp;"."&amp;NSGRules[[#This Row],[Type]]&amp;"."&amp;NSGRules[[#This Row],[Action]]</f>
        <v>HTTPS.Inbound.Allow</v>
      </c>
      <c r="E129" t="s">
        <v>1181</v>
      </c>
      <c r="F129" t="s">
        <v>624</v>
      </c>
      <c r="G129">
        <v>100</v>
      </c>
      <c r="H129" t="s">
        <v>625</v>
      </c>
      <c r="I129" t="s">
        <v>1153</v>
      </c>
      <c r="J129">
        <v>443</v>
      </c>
      <c r="K129" t="str">
        <f>VLOOKUP(NSGRules[[#This Row],[NSGID]], NSGGroups[], 13, FALSE)</f>
        <v>10.130.122.0/24</v>
      </c>
      <c r="L129">
        <v>443</v>
      </c>
      <c r="M129" t="s">
        <v>1155</v>
      </c>
      <c r="N129">
        <f>VLOOKUP(NSGRules[[#This Row],[NSGID]], NSGGroups[], 8, FALSE)</f>
        <v>2</v>
      </c>
      <c r="O129">
        <f>VLOOKUP(NSGRules[[#This Row],[NSGID]], NSGGroups[], 3, FALSE)</f>
        <v>650</v>
      </c>
      <c r="P129" t="str">
        <f>VLOOKUP(NSGRules[[#This Row],[NSGID]], NSGGroups[], 6, FALSE)</f>
        <v>DMZ_650_SLG_Srvcs_ia</v>
      </c>
      <c r="Q129" t="str">
        <f>VLOOKUP(NSGRules[[#This Row],[NSGID]], NSGGroups[], 12, FALSE)</f>
        <v>Srvcs</v>
      </c>
      <c r="R129" t="str">
        <f>VLOOKUP(NSGRules[[#This Row],[NSGID]], NSGGroups[], 11, FALSE)</f>
        <v>Services2</v>
      </c>
      <c r="S129"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'NSG_DMZ_650_SLG_Srvcs_ia' | Set-AzureNetworkSecurityRule -Name 'HTTPS.Inbound.Allow' -Type Inbound -Priority 100 -Action Allow -SourceAddressPrefix 'INTERNET'  -SourcePortRange '443' -DestinationAddressPrefix '10.130.122.0/24' -DestinationPortRange '443' -Protocol TCP</v>
      </c>
      <c r="T129"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'NSG_DMZ_650_SLG_Srvcs_ia' | Set-AzureNetworkSecurityGroupToSubnet -VirtualNetworkName $VNETName_Services2 -SubnetName 'DMZ_650_SLG_Srvcs_ia'</v>
      </c>
    </row>
    <row r="130" spans="1:20" hidden="1" x14ac:dyDescent="0.45">
      <c r="A130" t="s">
        <v>1415</v>
      </c>
      <c r="B130" t="s">
        <v>1083</v>
      </c>
      <c r="C130" t="str">
        <f>VLOOKUP(NSGRules[[#This Row],[NSGID]], NSGGroups[], 4, FALSE)</f>
        <v>NSG_User_Tier0_660_SLG_Srvcs_ia</v>
      </c>
      <c r="D130" t="str">
        <f>NSGRules[[#This Row],[Application]]&amp;"."&amp;NSGRules[[#This Row],[Type]]&amp;"."&amp;NSGRules[[#This Row],[Action]]</f>
        <v>All_Internet.Inbound.Deny</v>
      </c>
      <c r="E130" t="s">
        <v>1171</v>
      </c>
      <c r="F130" t="s">
        <v>624</v>
      </c>
      <c r="G130">
        <v>100</v>
      </c>
      <c r="H130" t="s">
        <v>1180</v>
      </c>
      <c r="I130" t="s">
        <v>1153</v>
      </c>
      <c r="J130" t="s">
        <v>1154</v>
      </c>
      <c r="K130" t="s">
        <v>1154</v>
      </c>
      <c r="L130" t="s">
        <v>1154</v>
      </c>
      <c r="M130" t="s">
        <v>1155</v>
      </c>
      <c r="N130">
        <f>VLOOKUP(NSGRules[[#This Row],[NSGID]], NSGGroups[], 8, FALSE)</f>
        <v>0</v>
      </c>
      <c r="O130">
        <f>VLOOKUP(NSGRules[[#This Row],[NSGID]], NSGGroups[], 3, FALSE)</f>
        <v>660</v>
      </c>
      <c r="P130" t="str">
        <f>VLOOKUP(NSGRules[[#This Row],[NSGID]], NSGGroups[], 6, FALSE)</f>
        <v>User_Tier0_660_SLG_Srvcs_ia</v>
      </c>
      <c r="Q130" t="str">
        <f>VLOOKUP(NSGRules[[#This Row],[NSGID]], NSGGroups[], 12, FALSE)</f>
        <v>Srvcs</v>
      </c>
      <c r="R130" t="str">
        <f>VLOOKUP(NSGRules[[#This Row],[NSGID]], NSGGroups[], 11, FALSE)</f>
        <v>Services2</v>
      </c>
      <c r="S130"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'NSG_User_Tier0_660_SLG_Srvcs_ia' | Set-AzureNetworkSecurityRule -Name 'All_Internet.Inbound.Deny' -Type Inbound -Priority 100 -Action Deny -SourceAddressPrefix 'INTERNET'  -SourcePortRange '*' -DestinationAddressPrefix '*' -DestinationPortRange '*' -Protocol TCP</v>
      </c>
      <c r="T130"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'NSG_User_Tier0_660_SLG_Srvcs_ia' | Set-AzureNetworkSecurityGroupToSubnet -VirtualNetworkName $VNETName_Services2 -SubnetName 'User_Tier0_660_SLG_Srvcs_ia'</v>
      </c>
    </row>
    <row r="131" spans="1:20" hidden="1" x14ac:dyDescent="0.45">
      <c r="A131" t="s">
        <v>1416</v>
      </c>
      <c r="B131" t="s">
        <v>1090</v>
      </c>
      <c r="C131" t="str">
        <f>VLOOKUP(NSGRules[[#This Row],[NSGID]], NSGGroups[], 4, FALSE)</f>
        <v>NSG_Users_Tier1_661_SLG_Srvcs_ia</v>
      </c>
      <c r="D131" t="str">
        <f>NSGRules[[#This Row],[Application]]&amp;"."&amp;NSGRules[[#This Row],[Type]]&amp;"."&amp;NSGRules[[#This Row],[Action]]</f>
        <v>All_Internet.Inbound.Deny</v>
      </c>
      <c r="E131" t="s">
        <v>1171</v>
      </c>
      <c r="F131" t="s">
        <v>624</v>
      </c>
      <c r="G131">
        <v>100</v>
      </c>
      <c r="H131" t="s">
        <v>1180</v>
      </c>
      <c r="I131" t="s">
        <v>1153</v>
      </c>
      <c r="J131" t="s">
        <v>1154</v>
      </c>
      <c r="K131" t="s">
        <v>1154</v>
      </c>
      <c r="L131" t="s">
        <v>1154</v>
      </c>
      <c r="M131" t="s">
        <v>1155</v>
      </c>
      <c r="N131">
        <f>VLOOKUP(NSGRules[[#This Row],[NSGID]], NSGGroups[], 8, FALSE)</f>
        <v>1</v>
      </c>
      <c r="O131">
        <f>VLOOKUP(NSGRules[[#This Row],[NSGID]], NSGGroups[], 3, FALSE)</f>
        <v>661</v>
      </c>
      <c r="P131" t="str">
        <f>VLOOKUP(NSGRules[[#This Row],[NSGID]], NSGGroups[], 6, FALSE)</f>
        <v>Users_Tier1_661_SLG_Srvcs_ia</v>
      </c>
      <c r="Q131" t="str">
        <f>VLOOKUP(NSGRules[[#This Row],[NSGID]], NSGGroups[], 12, FALSE)</f>
        <v>Srvcs</v>
      </c>
      <c r="R131" t="str">
        <f>VLOOKUP(NSGRules[[#This Row],[NSGID]], NSGGroups[], 11, FALSE)</f>
        <v>Services2</v>
      </c>
      <c r="S131"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'NSG_Users_Tier1_661_SLG_Srvcs_ia' | Set-AzureNetworkSecurityRule -Name 'All_Internet.Inbound.Deny' -Type Inbound -Priority 100 -Action Deny -SourceAddressPrefix 'INTERNET'  -SourcePortRange '*' -DestinationAddressPrefix '*' -DestinationPortRange '*' -Protocol TCP</v>
      </c>
      <c r="T131"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'NSG_Users_Tier1_661_SLG_Srvcs_ia' | Set-AzureNetworkSecurityGroupToSubnet -VirtualNetworkName $VNETName_Services2 -SubnetName 'Users_Tier1_661_SLG_Srvcs_ia'</v>
      </c>
    </row>
    <row r="132" spans="1:20" hidden="1" x14ac:dyDescent="0.45">
      <c r="A132" t="s">
        <v>1417</v>
      </c>
      <c r="B132" t="s">
        <v>1091</v>
      </c>
      <c r="C132" t="str">
        <f>VLOOKUP(NSGRules[[#This Row],[NSGID]], NSGGroups[], 4, FALSE)</f>
        <v>NSG_Storage_500_SLG_Storage_va</v>
      </c>
      <c r="D132" t="str">
        <f>NSGRules[[#This Row],[Application]]&amp;"."&amp;NSGRules[[#This Row],[Type]]&amp;"."&amp;NSGRules[[#This Row],[Action]]</f>
        <v>All_Internet.Inbound.Deny</v>
      </c>
      <c r="E132" t="s">
        <v>1171</v>
      </c>
      <c r="F132" t="s">
        <v>624</v>
      </c>
      <c r="G132">
        <v>100</v>
      </c>
      <c r="H132" t="s">
        <v>1180</v>
      </c>
      <c r="I132" t="s">
        <v>1153</v>
      </c>
      <c r="J132" t="s">
        <v>1154</v>
      </c>
      <c r="K132" t="s">
        <v>1154</v>
      </c>
      <c r="L132" t="s">
        <v>1154</v>
      </c>
      <c r="M132" t="s">
        <v>1155</v>
      </c>
      <c r="N132">
        <f>VLOOKUP(NSGRules[[#This Row],[NSGID]], NSGGroups[], 8, FALSE)</f>
        <v>0</v>
      </c>
      <c r="O132">
        <f>VLOOKUP(NSGRules[[#This Row],[NSGID]], NSGGroups[], 3, FALSE)</f>
        <v>500</v>
      </c>
      <c r="P132" t="str">
        <f>VLOOKUP(NSGRules[[#This Row],[NSGID]], NSGGroups[], 6, FALSE)</f>
        <v>Storage_500_SLG_Storage_va</v>
      </c>
      <c r="Q132" t="str">
        <f>VLOOKUP(NSGRules[[#This Row],[NSGID]], NSGGroups[], 12, FALSE)</f>
        <v>Storage</v>
      </c>
      <c r="R132" t="str">
        <f>VLOOKUP(NSGRules[[#This Row],[NSGID]], NSGGroups[], 11, FALSE)</f>
        <v>Storage1</v>
      </c>
      <c r="S132"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'NSG_Storage_500_SLG_Storage_va' | Set-AzureNetworkSecurityRule -Name 'All_Internet.Inbound.Deny' -Type Inbound -Priority 100 -Action Deny -SourceAddressPrefix 'INTERNET'  -SourcePortRange '*' -DestinationAddressPrefix '*' -DestinationPortRange '*' -Protocol TCP</v>
      </c>
      <c r="T132"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'NSG_Storage_500_SLG_Storage_va' | Set-AzureNetworkSecurityGroupToSubnet -VirtualNetworkName $VNETName_Storage1 -SubnetName 'Storage_500_SLG_Storage_va'</v>
      </c>
    </row>
    <row r="133" spans="1:20" hidden="1" x14ac:dyDescent="0.45">
      <c r="A133" t="s">
        <v>1418</v>
      </c>
      <c r="B133" t="s">
        <v>1092</v>
      </c>
      <c r="C133" t="str">
        <f>VLOOKUP(NSGRules[[#This Row],[NSGID]], NSGGroups[], 4, FALSE)</f>
        <v>NSG_User_Tier0_560_SLG_Storage_va</v>
      </c>
      <c r="D133" t="str">
        <f>NSGRules[[#This Row],[Application]]&amp;"."&amp;NSGRules[[#This Row],[Type]]&amp;"."&amp;NSGRules[[#This Row],[Action]]</f>
        <v>All_Internet.Inbound.Deny</v>
      </c>
      <c r="E133" t="s">
        <v>1171</v>
      </c>
      <c r="F133" t="s">
        <v>624</v>
      </c>
      <c r="G133">
        <v>100</v>
      </c>
      <c r="H133" t="s">
        <v>1180</v>
      </c>
      <c r="I133" t="s">
        <v>1153</v>
      </c>
      <c r="J133" t="s">
        <v>1154</v>
      </c>
      <c r="K133" t="s">
        <v>1154</v>
      </c>
      <c r="L133" t="s">
        <v>1154</v>
      </c>
      <c r="M133" t="s">
        <v>1155</v>
      </c>
      <c r="N133">
        <f>VLOOKUP(NSGRules[[#This Row],[NSGID]], NSGGroups[], 8, FALSE)</f>
        <v>0</v>
      </c>
      <c r="O133">
        <f>VLOOKUP(NSGRules[[#This Row],[NSGID]], NSGGroups[], 3, FALSE)</f>
        <v>560</v>
      </c>
      <c r="P133" t="str">
        <f>VLOOKUP(NSGRules[[#This Row],[NSGID]], NSGGroups[], 6, FALSE)</f>
        <v>User_Tier0_560_SLG_Storage_va</v>
      </c>
      <c r="Q133" t="str">
        <f>VLOOKUP(NSGRules[[#This Row],[NSGID]], NSGGroups[], 12, FALSE)</f>
        <v>Storage</v>
      </c>
      <c r="R133" t="str">
        <f>VLOOKUP(NSGRules[[#This Row],[NSGID]], NSGGroups[], 11, FALSE)</f>
        <v>Storage1</v>
      </c>
      <c r="S133"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'NSG_User_Tier0_560_SLG_Storage_va' | Set-AzureNetworkSecurityRule -Name 'All_Internet.Inbound.Deny' -Type Inbound -Priority 100 -Action Deny -SourceAddressPrefix 'INTERNET'  -SourcePortRange '*' -DestinationAddressPrefix '*' -DestinationPortRange '*' -Protocol TCP</v>
      </c>
      <c r="T133"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'NSG_User_Tier0_560_SLG_Storage_va' | Set-AzureNetworkSecurityGroupToSubnet -VirtualNetworkName $VNETName_Storage1 -SubnetName 'User_Tier0_560_SLG_Storage_va'</v>
      </c>
    </row>
    <row r="134" spans="1:20" hidden="1" x14ac:dyDescent="0.45">
      <c r="A134" t="s">
        <v>1419</v>
      </c>
      <c r="B134" t="s">
        <v>1093</v>
      </c>
      <c r="C134" t="str">
        <f>VLOOKUP(NSGRules[[#This Row],[NSGID]], NSGGroups[], 4, FALSE)</f>
        <v>NSG_Users_Tier1_561_SLG_Storage_va</v>
      </c>
      <c r="D134" t="str">
        <f>NSGRules[[#This Row],[Application]]&amp;"."&amp;NSGRules[[#This Row],[Type]]&amp;"."&amp;NSGRules[[#This Row],[Action]]</f>
        <v>All_Internet.Inbound.Deny</v>
      </c>
      <c r="E134" t="s">
        <v>1171</v>
      </c>
      <c r="F134" t="s">
        <v>624</v>
      </c>
      <c r="G134">
        <v>100</v>
      </c>
      <c r="H134" t="s">
        <v>1180</v>
      </c>
      <c r="I134" t="s">
        <v>1153</v>
      </c>
      <c r="J134" t="s">
        <v>1154</v>
      </c>
      <c r="K134" t="s">
        <v>1154</v>
      </c>
      <c r="L134" t="s">
        <v>1154</v>
      </c>
      <c r="M134" t="s">
        <v>1155</v>
      </c>
      <c r="N134">
        <f>VLOOKUP(NSGRules[[#This Row],[NSGID]], NSGGroups[], 8, FALSE)</f>
        <v>1</v>
      </c>
      <c r="O134">
        <f>VLOOKUP(NSGRules[[#This Row],[NSGID]], NSGGroups[], 3, FALSE)</f>
        <v>561</v>
      </c>
      <c r="P134" t="str">
        <f>VLOOKUP(NSGRules[[#This Row],[NSGID]], NSGGroups[], 6, FALSE)</f>
        <v>Users_Tier1_561_SLG_Storage_va</v>
      </c>
      <c r="Q134" t="str">
        <f>VLOOKUP(NSGRules[[#This Row],[NSGID]], NSGGroups[], 12, FALSE)</f>
        <v>Storage</v>
      </c>
      <c r="R134" t="str">
        <f>VLOOKUP(NSGRules[[#This Row],[NSGID]], NSGGroups[], 11, FALSE)</f>
        <v>Storage1</v>
      </c>
      <c r="S134"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'NSG_Users_Tier1_561_SLG_Storage_va' | Set-AzureNetworkSecurityRule -Name 'All_Internet.Inbound.Deny' -Type Inbound -Priority 100 -Action Deny -SourceAddressPrefix 'INTERNET'  -SourcePortRange '*' -DestinationAddressPrefix '*' -DestinationPortRange '*' -Protocol TCP</v>
      </c>
      <c r="T134"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'NSG_Users_Tier1_561_SLG_Storage_va' | Set-AzureNetworkSecurityGroupToSubnet -VirtualNetworkName $VNETName_Storage1 -SubnetName 'Users_Tier1_561_SLG_Storage_va'</v>
      </c>
    </row>
    <row r="135" spans="1:20" hidden="1" x14ac:dyDescent="0.45">
      <c r="A135" t="s">
        <v>1420</v>
      </c>
      <c r="B135" t="s">
        <v>1094</v>
      </c>
      <c r="C135" t="str">
        <f>VLOOKUP(NSGRules[[#This Row],[NSGID]], NSGGroups[], 4, FALSE)</f>
        <v>NSG_Storage_500_SLG_Storage_ia</v>
      </c>
      <c r="D135" t="str">
        <f>NSGRules[[#This Row],[Application]]&amp;"."&amp;NSGRules[[#This Row],[Type]]&amp;"."&amp;NSGRules[[#This Row],[Action]]</f>
        <v>All_Internet.Inbound.Deny</v>
      </c>
      <c r="E135" t="s">
        <v>1171</v>
      </c>
      <c r="F135" t="s">
        <v>624</v>
      </c>
      <c r="G135">
        <v>100</v>
      </c>
      <c r="H135" t="s">
        <v>1180</v>
      </c>
      <c r="I135" t="s">
        <v>1153</v>
      </c>
      <c r="J135" t="s">
        <v>1154</v>
      </c>
      <c r="K135" t="s">
        <v>1154</v>
      </c>
      <c r="L135" t="s">
        <v>1154</v>
      </c>
      <c r="M135" t="s">
        <v>1155</v>
      </c>
      <c r="N135">
        <f>VLOOKUP(NSGRules[[#This Row],[NSGID]], NSGGroups[], 8, FALSE)</f>
        <v>0</v>
      </c>
      <c r="O135">
        <f>VLOOKUP(NSGRules[[#This Row],[NSGID]], NSGGroups[], 3, FALSE)</f>
        <v>500</v>
      </c>
      <c r="P135" t="str">
        <f>VLOOKUP(NSGRules[[#This Row],[NSGID]], NSGGroups[], 6, FALSE)</f>
        <v>Storage_500_SLG_Storage_ia</v>
      </c>
      <c r="Q135" t="str">
        <f>VLOOKUP(NSGRules[[#This Row],[NSGID]], NSGGroups[], 12, FALSE)</f>
        <v>Storage</v>
      </c>
      <c r="R135" t="str">
        <f>VLOOKUP(NSGRules[[#This Row],[NSGID]], NSGGroups[], 11, FALSE)</f>
        <v>Storage2</v>
      </c>
      <c r="S135"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'NSG_Storage_500_SLG_Storage_ia' | Set-AzureNetworkSecurityRule -Name 'All_Internet.Inbound.Deny' -Type Inbound -Priority 100 -Action Deny -SourceAddressPrefix 'INTERNET'  -SourcePortRange '*' -DestinationAddressPrefix '*' -DestinationPortRange '*' -Protocol TCP</v>
      </c>
      <c r="T135"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'NSG_Storage_500_SLG_Storage_ia' | Set-AzureNetworkSecurityGroupToSubnet -VirtualNetworkName $VNETName_Storage2 -SubnetName 'Storage_500_SLG_Storage_ia'</v>
      </c>
    </row>
    <row r="136" spans="1:20" hidden="1" x14ac:dyDescent="0.45">
      <c r="A136" t="s">
        <v>1421</v>
      </c>
      <c r="B136" t="s">
        <v>1095</v>
      </c>
      <c r="C136" t="str">
        <f>VLOOKUP(NSGRules[[#This Row],[NSGID]], NSGGroups[], 4, FALSE)</f>
        <v>NSG_User_Tier0_560_SLG_Storage_ia</v>
      </c>
      <c r="D136" t="str">
        <f>NSGRules[[#This Row],[Application]]&amp;"."&amp;NSGRules[[#This Row],[Type]]&amp;"."&amp;NSGRules[[#This Row],[Action]]</f>
        <v>All_Internet.Inbound.Deny</v>
      </c>
      <c r="E136" t="s">
        <v>1171</v>
      </c>
      <c r="F136" t="s">
        <v>624</v>
      </c>
      <c r="G136">
        <v>100</v>
      </c>
      <c r="H136" t="s">
        <v>1180</v>
      </c>
      <c r="I136" t="s">
        <v>1153</v>
      </c>
      <c r="J136" t="s">
        <v>1154</v>
      </c>
      <c r="K136" t="s">
        <v>1154</v>
      </c>
      <c r="L136" t="s">
        <v>1154</v>
      </c>
      <c r="M136" t="s">
        <v>1155</v>
      </c>
      <c r="N136">
        <f>VLOOKUP(NSGRules[[#This Row],[NSGID]], NSGGroups[], 8, FALSE)</f>
        <v>0</v>
      </c>
      <c r="O136">
        <f>VLOOKUP(NSGRules[[#This Row],[NSGID]], NSGGroups[], 3, FALSE)</f>
        <v>560</v>
      </c>
      <c r="P136" t="str">
        <f>VLOOKUP(NSGRules[[#This Row],[NSGID]], NSGGroups[], 6, FALSE)</f>
        <v>User_Tier0_560_SLG_Storage_ia</v>
      </c>
      <c r="Q136" t="str">
        <f>VLOOKUP(NSGRules[[#This Row],[NSGID]], NSGGroups[], 12, FALSE)</f>
        <v>Storage</v>
      </c>
      <c r="R136" t="str">
        <f>VLOOKUP(NSGRules[[#This Row],[NSGID]], NSGGroups[], 11, FALSE)</f>
        <v>Storage2</v>
      </c>
      <c r="S136"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'NSG_User_Tier0_560_SLG_Storage_ia' | Set-AzureNetworkSecurityRule -Name 'All_Internet.Inbound.Deny' -Type Inbound -Priority 100 -Action Deny -SourceAddressPrefix 'INTERNET'  -SourcePortRange '*' -DestinationAddressPrefix '*' -DestinationPortRange '*' -Protocol TCP</v>
      </c>
      <c r="T136"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'NSG_User_Tier0_560_SLG_Storage_ia' | Set-AzureNetworkSecurityGroupToSubnet -VirtualNetworkName $VNETName_Storage2 -SubnetName 'User_Tier0_560_SLG_Storage_ia'</v>
      </c>
    </row>
    <row r="137" spans="1:20" hidden="1" x14ac:dyDescent="0.45">
      <c r="A137" t="s">
        <v>1422</v>
      </c>
      <c r="B137" t="s">
        <v>1096</v>
      </c>
      <c r="C137" t="str">
        <f>VLOOKUP(NSGRules[[#This Row],[NSGID]], NSGGroups[], 4, FALSE)</f>
        <v>NSG_Users_Tier1_561_SLG_Storage_ia</v>
      </c>
      <c r="D137" t="str">
        <f>NSGRules[[#This Row],[Application]]&amp;"."&amp;NSGRules[[#This Row],[Type]]&amp;"."&amp;NSGRules[[#This Row],[Action]]</f>
        <v>All_Internet.Inbound.Deny</v>
      </c>
      <c r="E137" t="s">
        <v>1171</v>
      </c>
      <c r="F137" t="s">
        <v>624</v>
      </c>
      <c r="G137">
        <v>100</v>
      </c>
      <c r="H137" t="s">
        <v>1180</v>
      </c>
      <c r="I137" t="s">
        <v>1153</v>
      </c>
      <c r="J137" t="s">
        <v>1154</v>
      </c>
      <c r="K137" t="s">
        <v>1154</v>
      </c>
      <c r="L137" t="s">
        <v>1154</v>
      </c>
      <c r="M137" t="s">
        <v>1155</v>
      </c>
      <c r="N137">
        <f>VLOOKUP(NSGRules[[#This Row],[NSGID]], NSGGroups[], 8, FALSE)</f>
        <v>1</v>
      </c>
      <c r="O137">
        <f>VLOOKUP(NSGRules[[#This Row],[NSGID]], NSGGroups[], 3, FALSE)</f>
        <v>561</v>
      </c>
      <c r="P137" t="str">
        <f>VLOOKUP(NSGRules[[#This Row],[NSGID]], NSGGroups[], 6, FALSE)</f>
        <v>Users_Tier1_561_SLG_Storage_ia</v>
      </c>
      <c r="Q137" t="str">
        <f>VLOOKUP(NSGRules[[#This Row],[NSGID]], NSGGroups[], 12, FALSE)</f>
        <v>Storage</v>
      </c>
      <c r="R137" t="str">
        <f>VLOOKUP(NSGRules[[#This Row],[NSGID]], NSGGroups[], 11, FALSE)</f>
        <v>Storage2</v>
      </c>
      <c r="S137" t="str">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Get-AzureNetworkSecurityGroup -Name 'NSG_Users_Tier1_561_SLG_Storage_ia' | Set-AzureNetworkSecurityRule -Name 'All_Internet.Inbound.Deny' -Type Inbound -Priority 100 -Action Deny -SourceAddressPrefix 'INTERNET'  -SourcePortRange '*' -DestinationAddressPrefix '*' -DestinationPortRange '*' -Protocol TCP</v>
      </c>
      <c r="T137" t="str">
        <f>"Get-AzureNetworkSecurityGroup -Name '"&amp;NSGRules[[#This Row],[NSGGroupName(Computed)]]&amp;"' | Set-AzureNetworkSecurityGroupToSubnet -VirtualNetworkName $VNETName_"&amp;NSGRules[[#This Row],[VNETSiteName (Computed)]] &amp; " -SubnetName '" &amp;NSGRules[[#This Row],[SubnetName(Computed)]]&amp;"'"</f>
        <v>Get-AzureNetworkSecurityGroup -Name 'NSG_Users_Tier1_561_SLG_Storage_ia' | Set-AzureNetworkSecurityGroupToSubnet -VirtualNetworkName $VNETName_Storage2 -SubnetName 'Users_Tier1_561_SLG_Storage_ia'</v>
      </c>
    </row>
    <row r="138" spans="1:20" hidden="1" x14ac:dyDescent="0.45">
      <c r="A138" t="s">
        <v>1423</v>
      </c>
      <c r="C138" t="e">
        <f>VLOOKUP(NSGRules[[#This Row],[NSGID]], NSGGroups[], 4, FALSE)</f>
        <v>#N/A</v>
      </c>
      <c r="D138" t="str">
        <f>NSGRules[[#This Row],[Application]]&amp;"."&amp;NSGRules[[#This Row],[Type]]&amp;"."&amp;NSGRules[[#This Row],[Action]]</f>
        <v>..</v>
      </c>
      <c r="P138" s="29" t="e">
        <f>VLOOKUP(NSGRules[[#This Row],[NSGID]], NSGGroups[], 6, FALSE)</f>
        <v>#N/A</v>
      </c>
      <c r="Q138" t="e">
        <f>VLOOKUP(NSGRules[[#This Row],[NSGID]], NSGGroups[], 12, FALSE)</f>
        <v>#N/A</v>
      </c>
      <c r="R138" t="e">
        <f>VLOOKUP(NSGRules[[#This Row],[NSGID]], NSGGroups[], 11, FALSE)</f>
        <v>#N/A</v>
      </c>
      <c r="S138" t="e">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#N/A</v>
      </c>
      <c r="T138" s="29" t="e">
        <f>"Get-AzureNetworkSecurityGroup -Name '"&amp;NSGRules[[#This Row],[NSGGroupName(Computed)]]&amp;"' | Set-AzureNetworkSecurityGroupToSubnet -VirtualNetworkName $VNETName_"&amp;NSGRules[[#This Row],[VNETSiteName (Computed)]] &amp; " -SubnetName '" &amp;NSGRules[[#This Row],[SubnetName(Computed)]]&amp;"'"</f>
        <v>#N/A</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270</v>
      </c>
      <c r="B1" t="s">
        <v>272</v>
      </c>
      <c r="C1" t="s">
        <v>271</v>
      </c>
      <c r="D1" t="s">
        <v>572</v>
      </c>
      <c r="E1" t="s">
        <v>1</v>
      </c>
      <c r="F1" t="s">
        <v>273</v>
      </c>
      <c r="G1" t="s">
        <v>573</v>
      </c>
      <c r="H1" t="s">
        <v>274</v>
      </c>
      <c r="I1" t="s">
        <v>275</v>
      </c>
      <c r="J1" t="s">
        <v>291</v>
      </c>
      <c r="K1" t="s">
        <v>156</v>
      </c>
      <c r="L1" t="s">
        <v>563</v>
      </c>
      <c r="M1" t="s">
        <v>567</v>
      </c>
      <c r="N1" t="s">
        <v>149</v>
      </c>
      <c r="O1" t="s">
        <v>566</v>
      </c>
    </row>
    <row r="2" spans="1:15" x14ac:dyDescent="0.45">
      <c r="A2" t="s">
        <v>355</v>
      </c>
      <c r="B2" t="s">
        <v>318</v>
      </c>
      <c r="C2" t="str">
        <f>LOWER(Table16[[#This Row],[LocationID (Computed)]]&amp;Table16[[#This Row],[Agency (Computed)]]&amp;Table16[[#This Row],[SubName (Computed)]]&amp;Table16[[#This Row],[Purpose]]&amp;Table16[[#This Row],[Instance]])</f>
        <v>vaslgcjisbackupa</v>
      </c>
      <c r="D2">
        <f>LEN(Table16[[#This Row],[Name (Computed) ]])</f>
        <v>16</v>
      </c>
      <c r="E2" t="str">
        <f>"This storage account for Agency " &amp; Table16[[#This Row],[Agency (Computed)]]&amp;"'s, Subscription "&amp;Table16[[#This Row],[SubName (Computed)]]&amp;" workload purpose of "&amp;Table16[[#This Row],[Purpose]]</f>
        <v>This storage account for Agency SLG's, Subscription CJIS workload purpose of Backup</v>
      </c>
      <c r="F2" t="str">
        <f>VLOOKUP(Table16[[#This Row],[SubID]], Subscriptions[#All], 7, FALSE)</f>
        <v>CJIS</v>
      </c>
      <c r="G2" t="str">
        <f>VLOOKUP(Table16[[#This Row],[SubID]], Subscriptions[#All], 4, FALSE)</f>
        <v>SLG</v>
      </c>
      <c r="H2" t="s">
        <v>278</v>
      </c>
      <c r="I2" t="s">
        <v>774</v>
      </c>
      <c r="J2" t="s">
        <v>775</v>
      </c>
      <c r="K2" t="s">
        <v>306</v>
      </c>
      <c r="L2" t="str">
        <f>VLOOKUP(Table16[[#This Row],[SiteID]], Locations[#All], 3, FALSE)</f>
        <v>va</v>
      </c>
      <c r="M2" t="str">
        <f>VLOOKUP(Table16[[#This Row],[SiteID]], Locations[#All], 4, FALSE)</f>
        <v>USGov Virginia</v>
      </c>
      <c r="N2" t="s">
        <v>150</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"vaslgcjisbackupa" -Location "USGov Virginia" -Description "This storage account for Agency SLG's, Subscription CJIS workload purpose of Backup" -Type "Standard_GRS"</v>
      </c>
    </row>
    <row r="3" spans="1:15" x14ac:dyDescent="0.45">
      <c r="A3" t="s">
        <v>360</v>
      </c>
      <c r="B3" t="s">
        <v>318</v>
      </c>
      <c r="C3" t="str">
        <f>LOWER(Table16[[#This Row],[LocationID (Computed)]]&amp;Table16[[#This Row],[Agency (Computed)]]&amp;Table16[[#This Row],[SubName (Computed)]]&amp;Table16[[#This Row],[Purpose]]&amp;Table16[[#This Row],[Instance]])</f>
        <v>iaslgcjisbackupa</v>
      </c>
      <c r="D3">
        <f>LEN(Table16[[#This Row],[Name (Computed) ]])</f>
        <v>16</v>
      </c>
      <c r="E3" t="str">
        <f>"This storage account for Agency " &amp; Table16[[#This Row],[Agency (Computed)]]&amp;"'s, Subscription "&amp;Table16[[#This Row],[SubName (Computed)]]&amp;" workload purpose of "&amp;Table16[[#This Row],[Purpose]]</f>
        <v>This storage account for Agency SLG's, Subscription CJIS workload purpose of Backup</v>
      </c>
      <c r="F3" t="str">
        <f>VLOOKUP(Table16[[#This Row],[SubID]], Subscriptions[#All], 7, FALSE)</f>
        <v>CJIS</v>
      </c>
      <c r="G3" t="str">
        <f>VLOOKUP(Table16[[#This Row],[SubID]], Subscriptions[#All], 4, FALSE)</f>
        <v>SLG</v>
      </c>
      <c r="H3" t="s">
        <v>278</v>
      </c>
      <c r="I3" t="s">
        <v>774</v>
      </c>
      <c r="J3" t="s">
        <v>775</v>
      </c>
      <c r="K3" t="s">
        <v>564</v>
      </c>
      <c r="L3" t="str">
        <f>VLOOKUP(Table16[[#This Row],[SiteID]], Locations[#All], 3, FALSE)</f>
        <v>ia</v>
      </c>
      <c r="M3" t="str">
        <f>VLOOKUP(Table16[[#This Row],[SiteID]], Locations[#All], 4, FALSE)</f>
        <v>USGov Iowa</v>
      </c>
      <c r="N3" t="s">
        <v>150</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"iaslgcjisbackupa" -Location "USGov Iowa" -Description "This storage account for Agency SLG's, Subscription CJIS workload purpose of Backup" -Type "Standard_GRS"</v>
      </c>
    </row>
    <row r="4" spans="1:15" x14ac:dyDescent="0.45">
      <c r="A4" t="s">
        <v>335</v>
      </c>
      <c r="B4" t="s">
        <v>318</v>
      </c>
      <c r="C4" t="str">
        <f>LOWER(Table16[[#This Row],[LocationID (Computed)]]&amp;Table16[[#This Row],[Agency (Computed)]]&amp;Table16[[#This Row],[SubName (Computed)]]&amp;Table16[[#This Row],[Purpose]]&amp;Table16[[#This Row],[Instance]])</f>
        <v>vaslgcjisdataa</v>
      </c>
      <c r="D4">
        <f>LEN(Table16[[#This Row],[Name (Computed) ]])</f>
        <v>14</v>
      </c>
      <c r="E4" t="str">
        <f>"This storage account for Agency " &amp; Table16[[#This Row],[Agency (Computed)]]&amp;"'s, Subscription "&amp;Table16[[#This Row],[SubName (Computed)]]&amp;" workload purpose of "&amp;Table16[[#This Row],[Purpose]]</f>
        <v>This storage account for Agency SLG's, Subscription CJIS workload purpose of Data</v>
      </c>
      <c r="F4" t="str">
        <f>VLOOKUP(Table16[[#This Row],[SubID]], Subscriptions[#All], 7, FALSE)</f>
        <v>CJIS</v>
      </c>
      <c r="G4" t="str">
        <f>VLOOKUP(Table16[[#This Row],[SubID]], Subscriptions[#All], 4, FALSE)</f>
        <v>SLG</v>
      </c>
      <c r="H4" t="s">
        <v>278</v>
      </c>
      <c r="I4" t="s">
        <v>571</v>
      </c>
      <c r="J4" t="s">
        <v>293</v>
      </c>
      <c r="K4" t="s">
        <v>306</v>
      </c>
      <c r="L4" t="str">
        <f>VLOOKUP(Table16[[#This Row],[SiteID]], Locations[#All], 3, FALSE)</f>
        <v>va</v>
      </c>
      <c r="M4" t="str">
        <f>VLOOKUP(Table16[[#This Row],[SiteID]], Locations[#All], 4, FALSE)</f>
        <v>USGov Virginia</v>
      </c>
      <c r="N4" t="s">
        <v>150</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"vaslgcjisdataa" -Location "USGov Virginia" -Description "This storage account for Agency SLG's, Subscription CJIS workload purpose of Data" -Type "Standard_LRS"</v>
      </c>
    </row>
    <row r="5" spans="1:15" x14ac:dyDescent="0.45">
      <c r="A5" t="s">
        <v>340</v>
      </c>
      <c r="B5" t="s">
        <v>318</v>
      </c>
      <c r="C5" t="str">
        <f>LOWER(Table16[[#This Row],[LocationID (Computed)]]&amp;Table16[[#This Row],[Agency (Computed)]]&amp;Table16[[#This Row],[SubName (Computed)]]&amp;Table16[[#This Row],[Purpose]]&amp;Table16[[#This Row],[Instance]])</f>
        <v>iaslgcjisdataa</v>
      </c>
      <c r="D5">
        <f>LEN(Table16[[#This Row],[Name (Computed) ]])</f>
        <v>14</v>
      </c>
      <c r="E5" t="str">
        <f>"This storage account for Agency " &amp; Table16[[#This Row],[Agency (Computed)]]&amp;"'s, Subscription "&amp;Table16[[#This Row],[SubName (Computed)]]&amp;" workload purpose of "&amp;Table16[[#This Row],[Purpose]]</f>
        <v>This storage account for Agency SLG's, Subscription CJIS workload purpose of Data</v>
      </c>
      <c r="F5" t="str">
        <f>VLOOKUP(Table16[[#This Row],[SubID]], Subscriptions[#All], 7, FALSE)</f>
        <v>CJIS</v>
      </c>
      <c r="G5" t="str">
        <f>VLOOKUP(Table16[[#This Row],[SubID]], Subscriptions[#All], 4, FALSE)</f>
        <v>SLG</v>
      </c>
      <c r="H5" t="s">
        <v>278</v>
      </c>
      <c r="I5" t="s">
        <v>571</v>
      </c>
      <c r="J5" t="s">
        <v>293</v>
      </c>
      <c r="K5" t="s">
        <v>564</v>
      </c>
      <c r="L5" t="str">
        <f>VLOOKUP(Table16[[#This Row],[SiteID]], Locations[#All], 3, FALSE)</f>
        <v>ia</v>
      </c>
      <c r="M5" t="str">
        <f>VLOOKUP(Table16[[#This Row],[SiteID]], Locations[#All], 4, FALSE)</f>
        <v>USGov Iowa</v>
      </c>
      <c r="N5" t="s">
        <v>150</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"iaslgcjisdataa" -Location "USGov Iowa" -Description "This storage account for Agency SLG's, Subscription CJIS workload purpose of Data" -Type "Standard_LRS"</v>
      </c>
    </row>
    <row r="6" spans="1:15" x14ac:dyDescent="0.45">
      <c r="A6" t="s">
        <v>345</v>
      </c>
      <c r="B6" t="s">
        <v>318</v>
      </c>
      <c r="C6" t="str">
        <f>LOWER(Table16[[#This Row],[LocationID (Computed)]]&amp;Table16[[#This Row],[Agency (Computed)]]&amp;Table16[[#This Row],[SubName (Computed)]]&amp;Table16[[#This Row],[Purpose]]&amp;Table16[[#This Row],[Instance]])</f>
        <v>vaslgcjisdba</v>
      </c>
      <c r="D6">
        <f>LEN(Table16[[#This Row],[Name (Computed) ]])</f>
        <v>12</v>
      </c>
      <c r="E6" t="str">
        <f>"This storage account for Agency " &amp; Table16[[#This Row],[Agency (Computed)]]&amp;"'s, Subscription "&amp;Table16[[#This Row],[SubName (Computed)]]&amp;" workload purpose of "&amp;Table16[[#This Row],[Purpose]]</f>
        <v>This storage account for Agency SLG's, Subscription CJIS workload purpose of DB</v>
      </c>
      <c r="F6" t="str">
        <f>VLOOKUP(Table16[[#This Row],[SubID]], Subscriptions[#All], 7, FALSE)</f>
        <v>CJIS</v>
      </c>
      <c r="G6" t="str">
        <f>VLOOKUP(Table16[[#This Row],[SubID]], Subscriptions[#All], 4, FALSE)</f>
        <v>SLG</v>
      </c>
      <c r="H6" t="s">
        <v>278</v>
      </c>
      <c r="I6" t="s">
        <v>776</v>
      </c>
      <c r="J6" t="s">
        <v>487</v>
      </c>
      <c r="K6" t="s">
        <v>306</v>
      </c>
      <c r="L6" t="str">
        <f>VLOOKUP(Table16[[#This Row],[SiteID]], Locations[#All], 3, FALSE)</f>
        <v>va</v>
      </c>
      <c r="M6" t="str">
        <f>VLOOKUP(Table16[[#This Row],[SiteID]], Locations[#All], 4, FALSE)</f>
        <v>USGov Virginia</v>
      </c>
      <c r="N6" t="s">
        <v>150</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"vaslgcjisdba" -Location "USGov Virginia" -Description "This storage account for Agency SLG's, Subscription CJIS workload purpose of DB" -Type "Premium_LRS"</v>
      </c>
    </row>
    <row r="7" spans="1:15" x14ac:dyDescent="0.45">
      <c r="A7" t="s">
        <v>350</v>
      </c>
      <c r="B7" t="s">
        <v>318</v>
      </c>
      <c r="C7" t="str">
        <f>LOWER(Table16[[#This Row],[LocationID (Computed)]]&amp;Table16[[#This Row],[Agency (Computed)]]&amp;Table16[[#This Row],[SubName (Computed)]]&amp;Table16[[#This Row],[Purpose]]&amp;Table16[[#This Row],[Instance]])</f>
        <v>iaslgcjisdba</v>
      </c>
      <c r="D7">
        <f>LEN(Table16[[#This Row],[Name (Computed) ]])</f>
        <v>12</v>
      </c>
      <c r="E7" t="str">
        <f>"This storage account for Agency " &amp; Table16[[#This Row],[Agency (Computed)]]&amp;"'s, Subscription "&amp;Table16[[#This Row],[SubName (Computed)]]&amp;" workload purpose of "&amp;Table16[[#This Row],[Purpose]]</f>
        <v>This storage account for Agency SLG's, Subscription CJIS workload purpose of DB</v>
      </c>
      <c r="F7" t="str">
        <f>VLOOKUP(Table16[[#This Row],[SubID]], Subscriptions[#All], 7, FALSE)</f>
        <v>CJIS</v>
      </c>
      <c r="G7" t="str">
        <f>VLOOKUP(Table16[[#This Row],[SubID]], Subscriptions[#All], 4, FALSE)</f>
        <v>SLG</v>
      </c>
      <c r="H7" t="s">
        <v>278</v>
      </c>
      <c r="I7" t="s">
        <v>776</v>
      </c>
      <c r="J7" t="s">
        <v>487</v>
      </c>
      <c r="K7" t="s">
        <v>564</v>
      </c>
      <c r="L7" t="str">
        <f>VLOOKUP(Table16[[#This Row],[SiteID]], Locations[#All], 3, FALSE)</f>
        <v>ia</v>
      </c>
      <c r="M7" t="str">
        <f>VLOOKUP(Table16[[#This Row],[SiteID]], Locations[#All], 4, FALSE)</f>
        <v>USGov Iowa</v>
      </c>
      <c r="N7" t="s">
        <v>150</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"iaslgcjisdba" -Location "USGov Iowa" -Description "This storage account for Agency SLG's, Subscription CJIS workload purpose of DB" -Type "Premium_LRS"</v>
      </c>
    </row>
    <row r="8" spans="1:15" x14ac:dyDescent="0.45">
      <c r="A8" t="s">
        <v>287</v>
      </c>
      <c r="B8" t="s">
        <v>318</v>
      </c>
      <c r="C8" t="str">
        <f>LOWER(Table16[[#This Row],[LocationID (Computed)]]&amp;Table16[[#This Row],[Agency (Computed)]]&amp;Table16[[#This Row],[SubName (Computed)]]&amp;Table16[[#This Row],[Purpose]]&amp;Table16[[#This Row],[Instance]])</f>
        <v>vaslgcjisimagesa</v>
      </c>
      <c r="D8">
        <f>LEN(Table16[[#This Row],[Name (Computed) ]])</f>
        <v>16</v>
      </c>
      <c r="E8" t="str">
        <f>"This storage account for Agency " &amp; Table16[[#This Row],[Agency (Computed)]]&amp;"'s, Subscription "&amp;Table16[[#This Row],[SubName (Computed)]]&amp;" workload purpose of "&amp;Table16[[#This Row],[Purpose]]</f>
        <v>This storage account for Agency SLG's, Subscription CJIS workload purpose of Images</v>
      </c>
      <c r="F8" t="str">
        <f>VLOOKUP(Table16[[#This Row],[SubID]], Subscriptions[#All], 7, FALSE)</f>
        <v>CJIS</v>
      </c>
      <c r="G8" t="str">
        <f>VLOOKUP(Table16[[#This Row],[SubID]], Subscriptions[#All], 4, FALSE)</f>
        <v>SLG</v>
      </c>
      <c r="H8" t="s">
        <v>278</v>
      </c>
      <c r="I8" t="s">
        <v>571</v>
      </c>
      <c r="J8" t="s">
        <v>292</v>
      </c>
      <c r="K8" t="s">
        <v>306</v>
      </c>
      <c r="L8" t="str">
        <f>VLOOKUP(Table16[[#This Row],[SiteID]], Locations[#All], 3, FALSE)</f>
        <v>va</v>
      </c>
      <c r="M8" t="str">
        <f>VLOOKUP(Table16[[#This Row],[SiteID]], Locations[#All], 4, FALSE)</f>
        <v>USGov Virginia</v>
      </c>
      <c r="N8" t="s">
        <v>150</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"vaslgcjisimagesa" -Location "USGov Virginia" -Description "This storage account for Agency SLG's, Subscription CJIS workload purpose of Images" -Type "Standard_LRS"</v>
      </c>
    </row>
    <row r="9" spans="1:15" x14ac:dyDescent="0.45">
      <c r="A9" t="s">
        <v>330</v>
      </c>
      <c r="B9" t="s">
        <v>318</v>
      </c>
      <c r="C9" t="str">
        <f>LOWER(Table16[[#This Row],[LocationID (Computed)]]&amp;Table16[[#This Row],[Agency (Computed)]]&amp;Table16[[#This Row],[SubName (Computed)]]&amp;Table16[[#This Row],[Purpose]]&amp;Table16[[#This Row],[Instance]])</f>
        <v>iaslgcjisimagesa</v>
      </c>
      <c r="D9">
        <f>LEN(Table16[[#This Row],[Name (Computed) ]])</f>
        <v>16</v>
      </c>
      <c r="E9" t="str">
        <f>"This storage account for Agency " &amp; Table16[[#This Row],[Agency (Computed)]]&amp;"'s, Subscription "&amp;Table16[[#This Row],[SubName (Computed)]]&amp;" workload purpose of "&amp;Table16[[#This Row],[Purpose]]</f>
        <v>This storage account for Agency SLG's, Subscription CJIS workload purpose of Images</v>
      </c>
      <c r="F9" t="str">
        <f>VLOOKUP(Table16[[#This Row],[SubID]], Subscriptions[#All], 7, FALSE)</f>
        <v>CJIS</v>
      </c>
      <c r="G9" t="str">
        <f>VLOOKUP(Table16[[#This Row],[SubID]], Subscriptions[#All], 4, FALSE)</f>
        <v>SLG</v>
      </c>
      <c r="H9" t="s">
        <v>278</v>
      </c>
      <c r="I9" t="s">
        <v>571</v>
      </c>
      <c r="J9" t="s">
        <v>292</v>
      </c>
      <c r="K9" t="s">
        <v>564</v>
      </c>
      <c r="L9" t="str">
        <f>VLOOKUP(Table16[[#This Row],[SiteID]], Locations[#All], 3, FALSE)</f>
        <v>ia</v>
      </c>
      <c r="M9" t="str">
        <f>VLOOKUP(Table16[[#This Row],[SiteID]], Locations[#All], 4, FALSE)</f>
        <v>USGov Iowa</v>
      </c>
      <c r="N9" t="s">
        <v>150</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"iaslgcjisimagesa" -Location "USGov Iowa" -Description "This storage account for Agency SLG's, Subscription CJIS workload purpose of Images" -Type "Standard_LRS"</v>
      </c>
    </row>
    <row r="10" spans="1:15" x14ac:dyDescent="0.45">
      <c r="A10" t="s">
        <v>276</v>
      </c>
      <c r="B10" t="s">
        <v>318</v>
      </c>
      <c r="C10" t="str">
        <f>LOWER(Table16[[#This Row],[LocationID (Computed)]]&amp;Table16[[#This Row],[Agency (Computed)]]&amp;Table16[[#This Row],[SubName (Computed)]]&amp;Table16[[#This Row],[Purpose]]&amp;Table16[[#This Row],[Instance]])</f>
        <v>vaslgcjisosa</v>
      </c>
      <c r="D10">
        <f>LEN(Table16[[#This Row],[Name (Computed) ]])</f>
        <v>12</v>
      </c>
      <c r="E10" t="str">
        <f>"This storage account for Agency " &amp; Table16[[#This Row],[Agency (Computed)]]&amp;"'s, Subscription "&amp;Table16[[#This Row],[SubName (Computed)]]&amp;" workload purpose of "&amp;Table16[[#This Row],[Purpose]]</f>
        <v>This storage account for Agency SLG's, Subscription CJIS workload purpose of OS</v>
      </c>
      <c r="F10" t="str">
        <f>VLOOKUP(Table16[[#This Row],[SubID]], Subscriptions[#All], 7, FALSE)</f>
        <v>CJIS</v>
      </c>
      <c r="G10" t="str">
        <f>VLOOKUP(Table16[[#This Row],[SubID]], Subscriptions[#All], 4, FALSE)</f>
        <v>SLG</v>
      </c>
      <c r="H10" t="s">
        <v>278</v>
      </c>
      <c r="I10" t="s">
        <v>571</v>
      </c>
      <c r="J10" t="s">
        <v>191</v>
      </c>
      <c r="K10" t="s">
        <v>306</v>
      </c>
      <c r="L10" t="str">
        <f>VLOOKUP(Table16[[#This Row],[SiteID]], Locations[#All], 3, FALSE)</f>
        <v>va</v>
      </c>
      <c r="M10" t="str">
        <f>VLOOKUP(Table16[[#This Row],[SiteID]], Locations[#All], 4, FALSE)</f>
        <v>USGov Virginia</v>
      </c>
      <c r="N10" t="s">
        <v>150</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"vaslgcjisosa" -Location "USGov Virginia" -Description "This storage account for Agency SLG's, Subscription CJIS workload purpose of OS" -Type "Standard_LRS"</v>
      </c>
    </row>
    <row r="11" spans="1:15" x14ac:dyDescent="0.45">
      <c r="A11" t="s">
        <v>282</v>
      </c>
      <c r="B11" t="s">
        <v>318</v>
      </c>
      <c r="C11" t="str">
        <f>LOWER(Table16[[#This Row],[LocationID (Computed)]]&amp;Table16[[#This Row],[Agency (Computed)]]&amp;Table16[[#This Row],[SubName (Computed)]]&amp;Table16[[#This Row],[Purpose]]&amp;Table16[[#This Row],[Instance]])</f>
        <v>iaslgcjisosa</v>
      </c>
      <c r="D11">
        <f>LEN(Table16[[#This Row],[Name (Computed) ]])</f>
        <v>12</v>
      </c>
      <c r="E11" t="str">
        <f>"This storage account for Agency " &amp; Table16[[#This Row],[Agency (Computed)]]&amp;"'s, Subscription "&amp;Table16[[#This Row],[SubName (Computed)]]&amp;" workload purpose of "&amp;Table16[[#This Row],[Purpose]]</f>
        <v>This storage account for Agency SLG's, Subscription CJIS workload purpose of OS</v>
      </c>
      <c r="F11" t="str">
        <f>VLOOKUP(Table16[[#This Row],[SubID]], Subscriptions[#All], 7, FALSE)</f>
        <v>CJIS</v>
      </c>
      <c r="G11" t="str">
        <f>VLOOKUP(Table16[[#This Row],[SubID]], Subscriptions[#All], 4, FALSE)</f>
        <v>SLG</v>
      </c>
      <c r="H11" t="s">
        <v>278</v>
      </c>
      <c r="I11" t="s">
        <v>571</v>
      </c>
      <c r="J11" t="s">
        <v>191</v>
      </c>
      <c r="K11" t="s">
        <v>564</v>
      </c>
      <c r="L11" t="str">
        <f>VLOOKUP(Table16[[#This Row],[SiteID]], Locations[#All], 3, FALSE)</f>
        <v>ia</v>
      </c>
      <c r="M11" t="str">
        <f>VLOOKUP(Table16[[#This Row],[SiteID]], Locations[#All], 4, FALSE)</f>
        <v>USGov Iowa</v>
      </c>
      <c r="N11" t="s">
        <v>150</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"iaslgcjisosa" -Location "USGov Iowa" -Description "This storage account for Agency SLG's, Subscription CJIS workload purpose of OS" -Type "Standard_LRS"</v>
      </c>
    </row>
    <row r="12" spans="1:15" x14ac:dyDescent="0.45">
      <c r="A12" t="s">
        <v>356</v>
      </c>
      <c r="B12" t="s">
        <v>319</v>
      </c>
      <c r="C12" t="str">
        <f>LOWER(Table16[[#This Row],[LocationID (Computed)]]&amp;Table16[[#This Row],[Agency (Computed)]]&amp;Table16[[#This Row],[SubName (Computed)]]&amp;Table16[[#This Row],[Purpose]]&amp;Table16[[#This Row],[Instance]])</f>
        <v>vaslgpreprodbackupa</v>
      </c>
      <c r="D12">
        <f>LEN(Table16[[#This Row],[Name (Computed) ]])</f>
        <v>19</v>
      </c>
      <c r="E12" t="str">
        <f>"This storage account for Agency " &amp; Table16[[#This Row],[Agency (Computed)]]&amp;"'s, Subscription "&amp;Table16[[#This Row],[SubName (Computed)]]&amp;" workload purpose of "&amp;Table16[[#This Row],[Purpose]]</f>
        <v>This storage account for Agency SLG's, Subscription PreProd workload purpose of Backup</v>
      </c>
      <c r="F12" t="str">
        <f>VLOOKUP(Table16[[#This Row],[SubID]], Subscriptions[#All], 7, FALSE)</f>
        <v>PreProd</v>
      </c>
      <c r="G12" t="str">
        <f>VLOOKUP(Table16[[#This Row],[SubID]], Subscriptions[#All], 4, FALSE)</f>
        <v>SLG</v>
      </c>
      <c r="H12" t="s">
        <v>278</v>
      </c>
      <c r="I12" t="s">
        <v>774</v>
      </c>
      <c r="J12" t="s">
        <v>775</v>
      </c>
      <c r="K12" t="s">
        <v>306</v>
      </c>
      <c r="L12" t="str">
        <f>VLOOKUP(Table16[[#This Row],[SiteID]], Locations[#All], 3, FALSE)</f>
        <v>va</v>
      </c>
      <c r="M12" t="str">
        <f>VLOOKUP(Table16[[#This Row],[SiteID]], Locations[#All], 4, FALSE)</f>
        <v>USGov Virginia</v>
      </c>
      <c r="N12" t="s">
        <v>150</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"vaslgpreprodbackupa" -Location "USGov Virginia" -Description "This storage account for Agency SLG's, Subscription PreProd workload purpose of Backup" -Type "Standard_GRS"</v>
      </c>
    </row>
    <row r="13" spans="1:15" x14ac:dyDescent="0.45">
      <c r="A13" t="s">
        <v>361</v>
      </c>
      <c r="B13" t="s">
        <v>319</v>
      </c>
      <c r="C13" t="str">
        <f>LOWER(Table16[[#This Row],[LocationID (Computed)]]&amp;Table16[[#This Row],[Agency (Computed)]]&amp;Table16[[#This Row],[SubName (Computed)]]&amp;Table16[[#This Row],[Purpose]]&amp;Table16[[#This Row],[Instance]])</f>
        <v>iaslgpreprodbackupa</v>
      </c>
      <c r="D13">
        <f>LEN(Table16[[#This Row],[Name (Computed) ]])</f>
        <v>19</v>
      </c>
      <c r="E13" t="str">
        <f>"This storage account for Agency " &amp; Table16[[#This Row],[Agency (Computed)]]&amp;"'s, Subscription "&amp;Table16[[#This Row],[SubName (Computed)]]&amp;" workload purpose of "&amp;Table16[[#This Row],[Purpose]]</f>
        <v>This storage account for Agency SLG's, Subscription PreProd workload purpose of Backup</v>
      </c>
      <c r="F13" t="str">
        <f>VLOOKUP(Table16[[#This Row],[SubID]], Subscriptions[#All], 7, FALSE)</f>
        <v>PreProd</v>
      </c>
      <c r="G13" t="str">
        <f>VLOOKUP(Table16[[#This Row],[SubID]], Subscriptions[#All], 4, FALSE)</f>
        <v>SLG</v>
      </c>
      <c r="H13" t="s">
        <v>278</v>
      </c>
      <c r="I13" t="s">
        <v>774</v>
      </c>
      <c r="J13" t="s">
        <v>775</v>
      </c>
      <c r="K13" t="s">
        <v>564</v>
      </c>
      <c r="L13" t="str">
        <f>VLOOKUP(Table16[[#This Row],[SiteID]], Locations[#All], 3, FALSE)</f>
        <v>ia</v>
      </c>
      <c r="M13" t="str">
        <f>VLOOKUP(Table16[[#This Row],[SiteID]], Locations[#All], 4, FALSE)</f>
        <v>USGov Iowa</v>
      </c>
      <c r="N13" t="s">
        <v>150</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"iaslgpreprodbackupa" -Location "USGov Iowa" -Description "This storage account for Agency SLG's, Subscription PreProd workload purpose of Backup" -Type "Standard_GRS"</v>
      </c>
    </row>
    <row r="14" spans="1:15" x14ac:dyDescent="0.45">
      <c r="A14" t="s">
        <v>336</v>
      </c>
      <c r="B14" t="s">
        <v>319</v>
      </c>
      <c r="C14" t="str">
        <f>LOWER(Table16[[#This Row],[LocationID (Computed)]]&amp;Table16[[#This Row],[Agency (Computed)]]&amp;Table16[[#This Row],[SubName (Computed)]]&amp;Table16[[#This Row],[Purpose]]&amp;Table16[[#This Row],[Instance]])</f>
        <v>vaslgpreproddataa</v>
      </c>
      <c r="D14">
        <f>LEN(Table16[[#This Row],[Name (Computed) ]])</f>
        <v>17</v>
      </c>
      <c r="E14" t="str">
        <f>"This storage account for Agency " &amp; Table16[[#This Row],[Agency (Computed)]]&amp;"'s, Subscription "&amp;Table16[[#This Row],[SubName (Computed)]]&amp;" workload purpose of "&amp;Table16[[#This Row],[Purpose]]</f>
        <v>This storage account for Agency SLG's, Subscription PreProd workload purpose of Data</v>
      </c>
      <c r="F14" t="str">
        <f>VLOOKUP(Table16[[#This Row],[SubID]], Subscriptions[#All], 7, FALSE)</f>
        <v>PreProd</v>
      </c>
      <c r="G14" t="str">
        <f>VLOOKUP(Table16[[#This Row],[SubID]], Subscriptions[#All], 4, FALSE)</f>
        <v>SLG</v>
      </c>
      <c r="H14" t="s">
        <v>278</v>
      </c>
      <c r="I14" t="s">
        <v>571</v>
      </c>
      <c r="J14" t="s">
        <v>293</v>
      </c>
      <c r="K14" t="s">
        <v>306</v>
      </c>
      <c r="L14" t="str">
        <f>VLOOKUP(Table16[[#This Row],[SiteID]], Locations[#All], 3, FALSE)</f>
        <v>va</v>
      </c>
      <c r="M14" t="str">
        <f>VLOOKUP(Table16[[#This Row],[SiteID]], Locations[#All], 4, FALSE)</f>
        <v>USGov Virginia</v>
      </c>
      <c r="N14" t="s">
        <v>150</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"vaslgpreproddataa" -Location "USGov Virginia" -Description "This storage account for Agency SLG's, Subscription PreProd workload purpose of Data" -Type "Standard_LRS"</v>
      </c>
    </row>
    <row r="15" spans="1:15" x14ac:dyDescent="0.45">
      <c r="A15" t="s">
        <v>341</v>
      </c>
      <c r="B15" t="s">
        <v>319</v>
      </c>
      <c r="C15" t="str">
        <f>LOWER(Table16[[#This Row],[LocationID (Computed)]]&amp;Table16[[#This Row],[Agency (Computed)]]&amp;Table16[[#This Row],[SubName (Computed)]]&amp;Table16[[#This Row],[Purpose]]&amp;Table16[[#This Row],[Instance]])</f>
        <v>iaslgpreproddataa</v>
      </c>
      <c r="D15">
        <f>LEN(Table16[[#This Row],[Name (Computed) ]])</f>
        <v>17</v>
      </c>
      <c r="E15" t="str">
        <f>"This storage account for Agency " &amp; Table16[[#This Row],[Agency (Computed)]]&amp;"'s, Subscription "&amp;Table16[[#This Row],[SubName (Computed)]]&amp;" workload purpose of "&amp;Table16[[#This Row],[Purpose]]</f>
        <v>This storage account for Agency SLG's, Subscription PreProd workload purpose of Data</v>
      </c>
      <c r="F15" t="str">
        <f>VLOOKUP(Table16[[#This Row],[SubID]], Subscriptions[#All], 7, FALSE)</f>
        <v>PreProd</v>
      </c>
      <c r="G15" t="str">
        <f>VLOOKUP(Table16[[#This Row],[SubID]], Subscriptions[#All], 4, FALSE)</f>
        <v>SLG</v>
      </c>
      <c r="H15" t="s">
        <v>278</v>
      </c>
      <c r="I15" t="s">
        <v>571</v>
      </c>
      <c r="J15" t="s">
        <v>293</v>
      </c>
      <c r="K15" t="s">
        <v>564</v>
      </c>
      <c r="L15" t="str">
        <f>VLOOKUP(Table16[[#This Row],[SiteID]], Locations[#All], 3, FALSE)</f>
        <v>ia</v>
      </c>
      <c r="M15" t="str">
        <f>VLOOKUP(Table16[[#This Row],[SiteID]], Locations[#All], 4, FALSE)</f>
        <v>USGov Iowa</v>
      </c>
      <c r="N15" t="s">
        <v>150</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"iaslgpreproddataa" -Location "USGov Iowa" -Description "This storage account for Agency SLG's, Subscription PreProd workload purpose of Data" -Type "Standard_LRS"</v>
      </c>
    </row>
    <row r="16" spans="1:15" x14ac:dyDescent="0.45">
      <c r="A16" t="s">
        <v>346</v>
      </c>
      <c r="B16" t="s">
        <v>319</v>
      </c>
      <c r="C16" t="str">
        <f>LOWER(Table16[[#This Row],[LocationID (Computed)]]&amp;Table16[[#This Row],[Agency (Computed)]]&amp;Table16[[#This Row],[SubName (Computed)]]&amp;Table16[[#This Row],[Purpose]]&amp;Table16[[#This Row],[Instance]])</f>
        <v>vaslgpreproddba</v>
      </c>
      <c r="D16">
        <f>LEN(Table16[[#This Row],[Name (Computed) ]])</f>
        <v>15</v>
      </c>
      <c r="E16" t="str">
        <f>"This storage account for Agency " &amp; Table16[[#This Row],[Agency (Computed)]]&amp;"'s, Subscription "&amp;Table16[[#This Row],[SubName (Computed)]]&amp;" workload purpose of "&amp;Table16[[#This Row],[Purpose]]</f>
        <v>This storage account for Agency SLG's, Subscription PreProd workload purpose of DB</v>
      </c>
      <c r="F16" t="str">
        <f>VLOOKUP(Table16[[#This Row],[SubID]], Subscriptions[#All], 7, FALSE)</f>
        <v>PreProd</v>
      </c>
      <c r="G16" t="str">
        <f>VLOOKUP(Table16[[#This Row],[SubID]], Subscriptions[#All], 4, FALSE)</f>
        <v>SLG</v>
      </c>
      <c r="H16" t="s">
        <v>278</v>
      </c>
      <c r="I16" t="s">
        <v>776</v>
      </c>
      <c r="J16" t="s">
        <v>487</v>
      </c>
      <c r="K16" t="s">
        <v>306</v>
      </c>
      <c r="L16" t="str">
        <f>VLOOKUP(Table16[[#This Row],[SiteID]], Locations[#All], 3, FALSE)</f>
        <v>va</v>
      </c>
      <c r="M16" t="str">
        <f>VLOOKUP(Table16[[#This Row],[SiteID]], Locations[#All], 4, FALSE)</f>
        <v>USGov Virginia</v>
      </c>
      <c r="N16" t="s">
        <v>150</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"vaslgpreproddba" -Location "USGov Virginia" -Description "This storage account for Agency SLG's, Subscription PreProd workload purpose of DB" -Type "Premium_LRS"</v>
      </c>
    </row>
    <row r="17" spans="1:15" x14ac:dyDescent="0.45">
      <c r="A17" t="s">
        <v>351</v>
      </c>
      <c r="B17" t="s">
        <v>319</v>
      </c>
      <c r="C17" t="str">
        <f>LOWER(Table16[[#This Row],[LocationID (Computed)]]&amp;Table16[[#This Row],[Agency (Computed)]]&amp;Table16[[#This Row],[SubName (Computed)]]&amp;Table16[[#This Row],[Purpose]]&amp;Table16[[#This Row],[Instance]])</f>
        <v>iaslgpreproddba</v>
      </c>
      <c r="D17">
        <f>LEN(Table16[[#This Row],[Name (Computed) ]])</f>
        <v>15</v>
      </c>
      <c r="E17" t="str">
        <f>"This storage account for Agency " &amp; Table16[[#This Row],[Agency (Computed)]]&amp;"'s, Subscription "&amp;Table16[[#This Row],[SubName (Computed)]]&amp;" workload purpose of "&amp;Table16[[#This Row],[Purpose]]</f>
        <v>This storage account for Agency SLG's, Subscription PreProd workload purpose of DB</v>
      </c>
      <c r="F17" t="str">
        <f>VLOOKUP(Table16[[#This Row],[SubID]], Subscriptions[#All], 7, FALSE)</f>
        <v>PreProd</v>
      </c>
      <c r="G17" t="str">
        <f>VLOOKUP(Table16[[#This Row],[SubID]], Subscriptions[#All], 4, FALSE)</f>
        <v>SLG</v>
      </c>
      <c r="H17" t="s">
        <v>278</v>
      </c>
      <c r="I17" t="s">
        <v>776</v>
      </c>
      <c r="J17" t="s">
        <v>487</v>
      </c>
      <c r="K17" t="s">
        <v>564</v>
      </c>
      <c r="L17" t="str">
        <f>VLOOKUP(Table16[[#This Row],[SiteID]], Locations[#All], 3, FALSE)</f>
        <v>ia</v>
      </c>
      <c r="M17" t="str">
        <f>VLOOKUP(Table16[[#This Row],[SiteID]], Locations[#All], 4, FALSE)</f>
        <v>USGov Iowa</v>
      </c>
      <c r="N17" t="s">
        <v>150</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"iaslgpreproddba" -Location "USGov Iowa" -Description "This storage account for Agency SLG's, Subscription PreProd workload purpose of DB" -Type "Premium_LRS"</v>
      </c>
    </row>
    <row r="18" spans="1:15" x14ac:dyDescent="0.45">
      <c r="A18" t="s">
        <v>288</v>
      </c>
      <c r="B18" t="s">
        <v>319</v>
      </c>
      <c r="C18" t="str">
        <f>LOWER(Table16[[#This Row],[LocationID (Computed)]]&amp;Table16[[#This Row],[Agency (Computed)]]&amp;Table16[[#This Row],[SubName (Computed)]]&amp;Table16[[#This Row],[Purpose]]&amp;Table16[[#This Row],[Instance]])</f>
        <v>vaslgpreprodimagesa</v>
      </c>
      <c r="D18">
        <f>LEN(Table16[[#This Row],[Name (Computed) ]])</f>
        <v>19</v>
      </c>
      <c r="E18" t="str">
        <f>"This storage account for Agency " &amp; Table16[[#This Row],[Agency (Computed)]]&amp;"'s, Subscription "&amp;Table16[[#This Row],[SubName (Computed)]]&amp;" workload purpose of "&amp;Table16[[#This Row],[Purpose]]</f>
        <v>This storage account for Agency SLG's, Subscription PreProd workload purpose of Images</v>
      </c>
      <c r="F18" t="str">
        <f>VLOOKUP(Table16[[#This Row],[SubID]], Subscriptions[#All], 7, FALSE)</f>
        <v>PreProd</v>
      </c>
      <c r="G18" t="str">
        <f>VLOOKUP(Table16[[#This Row],[SubID]], Subscriptions[#All], 4, FALSE)</f>
        <v>SLG</v>
      </c>
      <c r="H18" t="s">
        <v>278</v>
      </c>
      <c r="I18" t="s">
        <v>571</v>
      </c>
      <c r="J18" t="s">
        <v>292</v>
      </c>
      <c r="K18" t="s">
        <v>306</v>
      </c>
      <c r="L18" t="str">
        <f>VLOOKUP(Table16[[#This Row],[SiteID]], Locations[#All], 3, FALSE)</f>
        <v>va</v>
      </c>
      <c r="M18" t="str">
        <f>VLOOKUP(Table16[[#This Row],[SiteID]], Locations[#All], 4, FALSE)</f>
        <v>USGov Virginia</v>
      </c>
      <c r="N18" t="s">
        <v>150</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"vaslgpreprodimagesa" -Location "USGov Virginia" -Description "This storage account for Agency SLG's, Subscription PreProd workload purpose of Images" -Type "Standard_LRS"</v>
      </c>
    </row>
    <row r="19" spans="1:15" x14ac:dyDescent="0.45">
      <c r="A19" t="s">
        <v>331</v>
      </c>
      <c r="B19" t="s">
        <v>319</v>
      </c>
      <c r="C19" t="str">
        <f>LOWER(Table16[[#This Row],[LocationID (Computed)]]&amp;Table16[[#This Row],[Agency (Computed)]]&amp;Table16[[#This Row],[SubName (Computed)]]&amp;Table16[[#This Row],[Purpose]]&amp;Table16[[#This Row],[Instance]])</f>
        <v>iaslgpreprodimagesa</v>
      </c>
      <c r="D19">
        <f>LEN(Table16[[#This Row],[Name (Computed) ]])</f>
        <v>19</v>
      </c>
      <c r="E19" t="str">
        <f>"This storage account for Agency " &amp; Table16[[#This Row],[Agency (Computed)]]&amp;"'s, Subscription "&amp;Table16[[#This Row],[SubName (Computed)]]&amp;" workload purpose of "&amp;Table16[[#This Row],[Purpose]]</f>
        <v>This storage account for Agency SLG's, Subscription PreProd workload purpose of Images</v>
      </c>
      <c r="F19" t="str">
        <f>VLOOKUP(Table16[[#This Row],[SubID]], Subscriptions[#All], 7, FALSE)</f>
        <v>PreProd</v>
      </c>
      <c r="G19" t="str">
        <f>VLOOKUP(Table16[[#This Row],[SubID]], Subscriptions[#All], 4, FALSE)</f>
        <v>SLG</v>
      </c>
      <c r="H19" t="s">
        <v>278</v>
      </c>
      <c r="I19" t="s">
        <v>571</v>
      </c>
      <c r="J19" t="s">
        <v>292</v>
      </c>
      <c r="K19" t="s">
        <v>564</v>
      </c>
      <c r="L19" t="str">
        <f>VLOOKUP(Table16[[#This Row],[SiteID]], Locations[#All], 3, FALSE)</f>
        <v>ia</v>
      </c>
      <c r="M19" t="str">
        <f>VLOOKUP(Table16[[#This Row],[SiteID]], Locations[#All], 4, FALSE)</f>
        <v>USGov Iowa</v>
      </c>
      <c r="N19" t="s">
        <v>150</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"iaslgpreprodimagesa" -Location "USGov Iowa" -Description "This storage account for Agency SLG's, Subscription PreProd workload purpose of Images" -Type "Standard_LRS"</v>
      </c>
    </row>
    <row r="20" spans="1:15" x14ac:dyDescent="0.45">
      <c r="A20" t="s">
        <v>279</v>
      </c>
      <c r="B20" t="s">
        <v>319</v>
      </c>
      <c r="C20" t="str">
        <f>LOWER(Table16[[#This Row],[LocationID (Computed)]]&amp;Table16[[#This Row],[Agency (Computed)]]&amp;Table16[[#This Row],[SubName (Computed)]]&amp;Table16[[#This Row],[Purpose]]&amp;Table16[[#This Row],[Instance]])</f>
        <v>vaslgpreprodosa</v>
      </c>
      <c r="D20">
        <f>LEN(Table16[[#This Row],[Name (Computed) ]])</f>
        <v>15</v>
      </c>
      <c r="E20" t="str">
        <f>"This storage account for Agency " &amp; Table16[[#This Row],[Agency (Computed)]]&amp;"'s, Subscription "&amp;Table16[[#This Row],[SubName (Computed)]]&amp;" workload purpose of "&amp;Table16[[#This Row],[Purpose]]</f>
        <v>This storage account for Agency SLG's, Subscription PreProd workload purpose of OS</v>
      </c>
      <c r="F20" t="str">
        <f>VLOOKUP(Table16[[#This Row],[SubID]], Subscriptions[#All], 7, FALSE)</f>
        <v>PreProd</v>
      </c>
      <c r="G20" t="str">
        <f>VLOOKUP(Table16[[#This Row],[SubID]], Subscriptions[#All], 4, FALSE)</f>
        <v>SLG</v>
      </c>
      <c r="H20" t="s">
        <v>278</v>
      </c>
      <c r="I20" t="s">
        <v>571</v>
      </c>
      <c r="J20" t="s">
        <v>191</v>
      </c>
      <c r="K20" t="s">
        <v>306</v>
      </c>
      <c r="L20" t="str">
        <f>VLOOKUP(Table16[[#This Row],[SiteID]], Locations[#All], 3, FALSE)</f>
        <v>va</v>
      </c>
      <c r="M20" t="str">
        <f>VLOOKUP(Table16[[#This Row],[SiteID]], Locations[#All], 4, FALSE)</f>
        <v>USGov Virginia</v>
      </c>
      <c r="N20" t="s">
        <v>150</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"vaslgpreprodosa" -Location "USGov Virginia" -Description "This storage account for Agency SLG's, Subscription PreProd workload purpose of OS" -Type "Standard_LRS"</v>
      </c>
    </row>
    <row r="21" spans="1:15" x14ac:dyDescent="0.45">
      <c r="A21" t="s">
        <v>283</v>
      </c>
      <c r="B21" t="s">
        <v>319</v>
      </c>
      <c r="C21" t="str">
        <f>LOWER(Table16[[#This Row],[LocationID (Computed)]]&amp;Table16[[#This Row],[Agency (Computed)]]&amp;Table16[[#This Row],[SubName (Computed)]]&amp;Table16[[#This Row],[Purpose]]&amp;Table16[[#This Row],[Instance]])</f>
        <v>iaslgpreprodosa</v>
      </c>
      <c r="D21">
        <f>LEN(Table16[[#This Row],[Name (Computed) ]])</f>
        <v>15</v>
      </c>
      <c r="E21" t="str">
        <f>"This storage account for Agency " &amp; Table16[[#This Row],[Agency (Computed)]]&amp;"'s, Subscription "&amp;Table16[[#This Row],[SubName (Computed)]]&amp;" workload purpose of "&amp;Table16[[#This Row],[Purpose]]</f>
        <v>This storage account for Agency SLG's, Subscription PreProd workload purpose of OS</v>
      </c>
      <c r="F21" t="str">
        <f>VLOOKUP(Table16[[#This Row],[SubID]], Subscriptions[#All], 7, FALSE)</f>
        <v>PreProd</v>
      </c>
      <c r="G21" t="str">
        <f>VLOOKUP(Table16[[#This Row],[SubID]], Subscriptions[#All], 4, FALSE)</f>
        <v>SLG</v>
      </c>
      <c r="H21" t="s">
        <v>278</v>
      </c>
      <c r="I21" t="s">
        <v>571</v>
      </c>
      <c r="J21" t="s">
        <v>191</v>
      </c>
      <c r="K21" t="s">
        <v>564</v>
      </c>
      <c r="L21" t="str">
        <f>VLOOKUP(Table16[[#This Row],[SiteID]], Locations[#All], 3, FALSE)</f>
        <v>ia</v>
      </c>
      <c r="M21" t="str">
        <f>VLOOKUP(Table16[[#This Row],[SiteID]], Locations[#All], 4, FALSE)</f>
        <v>USGov Iowa</v>
      </c>
      <c r="N21" t="s">
        <v>150</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"iaslgpreprodosa" -Location "USGov Iowa" -Description "This storage account for Agency SLG's, Subscription PreProd workload purpose of OS" -Type "Standard_LRS"</v>
      </c>
    </row>
    <row r="22" spans="1:15" x14ac:dyDescent="0.45">
      <c r="A22" t="s">
        <v>357</v>
      </c>
      <c r="B22" t="s">
        <v>320</v>
      </c>
      <c r="C22" t="str">
        <f>LOWER(Table16[[#This Row],[LocationID (Computed)]]&amp;Table16[[#This Row],[Agency (Computed)]]&amp;Table16[[#This Row],[SubName (Computed)]]&amp;Table16[[#This Row],[Purpose]]&amp;Table16[[#This Row],[Instance]])</f>
        <v>vaslgprodbackupa</v>
      </c>
      <c r="D22">
        <f>LEN(Table16[[#This Row],[Name (Computed) ]])</f>
        <v>16</v>
      </c>
      <c r="E22" t="str">
        <f>"This storage account for Agency " &amp; Table16[[#This Row],[Agency (Computed)]]&amp;"'s, Subscription "&amp;Table16[[#This Row],[SubName (Computed)]]&amp;" workload purpose of "&amp;Table16[[#This Row],[Purpose]]</f>
        <v>This storage account for Agency SLG's, Subscription Prod workload purpose of Backup</v>
      </c>
      <c r="F22" t="str">
        <f>VLOOKUP(Table16[[#This Row],[SubID]], Subscriptions[#All], 7, FALSE)</f>
        <v>Prod</v>
      </c>
      <c r="G22" t="str">
        <f>VLOOKUP(Table16[[#This Row],[SubID]], Subscriptions[#All], 4, FALSE)</f>
        <v>SLG</v>
      </c>
      <c r="H22" t="s">
        <v>278</v>
      </c>
      <c r="I22" t="s">
        <v>774</v>
      </c>
      <c r="J22" t="s">
        <v>775</v>
      </c>
      <c r="K22" t="s">
        <v>306</v>
      </c>
      <c r="L22" t="str">
        <f>VLOOKUP(Table16[[#This Row],[SiteID]], Locations[#All], 3, FALSE)</f>
        <v>va</v>
      </c>
      <c r="M22" t="str">
        <f>VLOOKUP(Table16[[#This Row],[SiteID]], Locations[#All], 4, FALSE)</f>
        <v>USGov Virginia</v>
      </c>
      <c r="N22" t="s">
        <v>150</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"vaslgprodbackupa" -Location "USGov Virginia" -Description "This storage account for Agency SLG's, Subscription Prod workload purpose of Backup" -Type "Standard_GRS"</v>
      </c>
    </row>
    <row r="23" spans="1:15" x14ac:dyDescent="0.45">
      <c r="A23" t="s">
        <v>362</v>
      </c>
      <c r="B23" t="s">
        <v>320</v>
      </c>
      <c r="C23" t="str">
        <f>LOWER(Table16[[#This Row],[LocationID (Computed)]]&amp;Table16[[#This Row],[Agency (Computed)]]&amp;Table16[[#This Row],[SubName (Computed)]]&amp;Table16[[#This Row],[Purpose]]&amp;Table16[[#This Row],[Instance]])</f>
        <v>iaslgprodbackupa</v>
      </c>
      <c r="D23">
        <f>LEN(Table16[[#This Row],[Name (Computed) ]])</f>
        <v>16</v>
      </c>
      <c r="E23" t="str">
        <f>"This storage account for Agency " &amp; Table16[[#This Row],[Agency (Computed)]]&amp;"'s, Subscription "&amp;Table16[[#This Row],[SubName (Computed)]]&amp;" workload purpose of "&amp;Table16[[#This Row],[Purpose]]</f>
        <v>This storage account for Agency SLG's, Subscription Prod workload purpose of Backup</v>
      </c>
      <c r="F23" t="str">
        <f>VLOOKUP(Table16[[#This Row],[SubID]], Subscriptions[#All], 7, FALSE)</f>
        <v>Prod</v>
      </c>
      <c r="G23" t="str">
        <f>VLOOKUP(Table16[[#This Row],[SubID]], Subscriptions[#All], 4, FALSE)</f>
        <v>SLG</v>
      </c>
      <c r="H23" t="s">
        <v>278</v>
      </c>
      <c r="I23" t="s">
        <v>774</v>
      </c>
      <c r="J23" t="s">
        <v>775</v>
      </c>
      <c r="K23" t="s">
        <v>564</v>
      </c>
      <c r="L23" t="str">
        <f>VLOOKUP(Table16[[#This Row],[SiteID]], Locations[#All], 3, FALSE)</f>
        <v>ia</v>
      </c>
      <c r="M23" t="str">
        <f>VLOOKUP(Table16[[#This Row],[SiteID]], Locations[#All], 4, FALSE)</f>
        <v>USGov Iowa</v>
      </c>
      <c r="N23" t="s">
        <v>150</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"iaslgprodbackupa" -Location "USGov Iowa" -Description "This storage account for Agency SLG's, Subscription Prod workload purpose of Backup" -Type "Standard_GRS"</v>
      </c>
    </row>
    <row r="24" spans="1:15" x14ac:dyDescent="0.45">
      <c r="A24" t="s">
        <v>337</v>
      </c>
      <c r="B24" t="s">
        <v>320</v>
      </c>
      <c r="C24" t="str">
        <f>LOWER(Table16[[#This Row],[LocationID (Computed)]]&amp;Table16[[#This Row],[Agency (Computed)]]&amp;Table16[[#This Row],[SubName (Computed)]]&amp;Table16[[#This Row],[Purpose]]&amp;Table16[[#This Row],[Instance]])</f>
        <v>vaslgproddataa</v>
      </c>
      <c r="D24">
        <f>LEN(Table16[[#This Row],[Name (Computed) ]])</f>
        <v>14</v>
      </c>
      <c r="E24" t="str">
        <f>"This storage account for Agency " &amp; Table16[[#This Row],[Agency (Computed)]]&amp;"'s, Subscription "&amp;Table16[[#This Row],[SubName (Computed)]]&amp;" workload purpose of "&amp;Table16[[#This Row],[Purpose]]</f>
        <v>This storage account for Agency SLG's, Subscription Prod workload purpose of Data</v>
      </c>
      <c r="F24" t="str">
        <f>VLOOKUP(Table16[[#This Row],[SubID]], Subscriptions[#All], 7, FALSE)</f>
        <v>Prod</v>
      </c>
      <c r="G24" t="str">
        <f>VLOOKUP(Table16[[#This Row],[SubID]], Subscriptions[#All], 4, FALSE)</f>
        <v>SLG</v>
      </c>
      <c r="H24" t="s">
        <v>278</v>
      </c>
      <c r="I24" t="s">
        <v>571</v>
      </c>
      <c r="J24" t="s">
        <v>293</v>
      </c>
      <c r="K24" t="s">
        <v>306</v>
      </c>
      <c r="L24" t="str">
        <f>VLOOKUP(Table16[[#This Row],[SiteID]], Locations[#All], 3, FALSE)</f>
        <v>va</v>
      </c>
      <c r="M24" t="str">
        <f>VLOOKUP(Table16[[#This Row],[SiteID]], Locations[#All], 4, FALSE)</f>
        <v>USGov Virginia</v>
      </c>
      <c r="N24" t="s">
        <v>150</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"vaslgproddataa" -Location "USGov Virginia" -Description "This storage account for Agency SLG's, Subscription Prod workload purpose of Data" -Type "Standard_LRS"</v>
      </c>
    </row>
    <row r="25" spans="1:15" x14ac:dyDescent="0.45">
      <c r="A25" t="s">
        <v>342</v>
      </c>
      <c r="B25" t="s">
        <v>320</v>
      </c>
      <c r="C25" t="str">
        <f>LOWER(Table16[[#This Row],[LocationID (Computed)]]&amp;Table16[[#This Row],[Agency (Computed)]]&amp;Table16[[#This Row],[SubName (Computed)]]&amp;Table16[[#This Row],[Purpose]]&amp;Table16[[#This Row],[Instance]])</f>
        <v>iaslgproddataa</v>
      </c>
      <c r="D25">
        <f>LEN(Table16[[#This Row],[Name (Computed) ]])</f>
        <v>14</v>
      </c>
      <c r="E25" t="str">
        <f>"This storage account for Agency " &amp; Table16[[#This Row],[Agency (Computed)]]&amp;"'s, Subscription "&amp;Table16[[#This Row],[SubName (Computed)]]&amp;" workload purpose of "&amp;Table16[[#This Row],[Purpose]]</f>
        <v>This storage account for Agency SLG's, Subscription Prod workload purpose of Data</v>
      </c>
      <c r="F25" t="str">
        <f>VLOOKUP(Table16[[#This Row],[SubID]], Subscriptions[#All], 7, FALSE)</f>
        <v>Prod</v>
      </c>
      <c r="G25" t="str">
        <f>VLOOKUP(Table16[[#This Row],[SubID]], Subscriptions[#All], 4, FALSE)</f>
        <v>SLG</v>
      </c>
      <c r="H25" t="s">
        <v>278</v>
      </c>
      <c r="I25" t="s">
        <v>571</v>
      </c>
      <c r="J25" t="s">
        <v>293</v>
      </c>
      <c r="K25" t="s">
        <v>564</v>
      </c>
      <c r="L25" t="str">
        <f>VLOOKUP(Table16[[#This Row],[SiteID]], Locations[#All], 3, FALSE)</f>
        <v>ia</v>
      </c>
      <c r="M25" t="str">
        <f>VLOOKUP(Table16[[#This Row],[SiteID]], Locations[#All], 4, FALSE)</f>
        <v>USGov Iowa</v>
      </c>
      <c r="N25" t="s">
        <v>150</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"iaslgproddataa" -Location "USGov Iowa" -Description "This storage account for Agency SLG's, Subscription Prod workload purpose of Data" -Type "Standard_LRS"</v>
      </c>
    </row>
    <row r="26" spans="1:15" x14ac:dyDescent="0.45">
      <c r="A26" t="s">
        <v>347</v>
      </c>
      <c r="B26" t="s">
        <v>320</v>
      </c>
      <c r="C26" t="str">
        <f>LOWER(Table16[[#This Row],[LocationID (Computed)]]&amp;Table16[[#This Row],[Agency (Computed)]]&amp;Table16[[#This Row],[SubName (Computed)]]&amp;Table16[[#This Row],[Purpose]]&amp;Table16[[#This Row],[Instance]])</f>
        <v>vaslgproddba</v>
      </c>
      <c r="D26">
        <f>LEN(Table16[[#This Row],[Name (Computed) ]])</f>
        <v>12</v>
      </c>
      <c r="E26" t="str">
        <f>"This storage account for Agency " &amp; Table16[[#This Row],[Agency (Computed)]]&amp;"'s, Subscription "&amp;Table16[[#This Row],[SubName (Computed)]]&amp;" workload purpose of "&amp;Table16[[#This Row],[Purpose]]</f>
        <v>This storage account for Agency SLG's, Subscription Prod workload purpose of DB</v>
      </c>
      <c r="F26" t="str">
        <f>VLOOKUP(Table16[[#This Row],[SubID]], Subscriptions[#All], 7, FALSE)</f>
        <v>Prod</v>
      </c>
      <c r="G26" t="str">
        <f>VLOOKUP(Table16[[#This Row],[SubID]], Subscriptions[#All], 4, FALSE)</f>
        <v>SLG</v>
      </c>
      <c r="H26" t="s">
        <v>278</v>
      </c>
      <c r="I26" t="s">
        <v>776</v>
      </c>
      <c r="J26" t="s">
        <v>487</v>
      </c>
      <c r="K26" t="s">
        <v>306</v>
      </c>
      <c r="L26" t="str">
        <f>VLOOKUP(Table16[[#This Row],[SiteID]], Locations[#All], 3, FALSE)</f>
        <v>va</v>
      </c>
      <c r="M26" t="str">
        <f>VLOOKUP(Table16[[#This Row],[SiteID]], Locations[#All], 4, FALSE)</f>
        <v>USGov Virginia</v>
      </c>
      <c r="N26" t="s">
        <v>150</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"vaslgproddba" -Location "USGov Virginia" -Description "This storage account for Agency SLG's, Subscription Prod workload purpose of DB" -Type "Premium_LRS"</v>
      </c>
    </row>
    <row r="27" spans="1:15" x14ac:dyDescent="0.45">
      <c r="A27" t="s">
        <v>352</v>
      </c>
      <c r="B27" t="s">
        <v>320</v>
      </c>
      <c r="C27" t="str">
        <f>LOWER(Table16[[#This Row],[LocationID (Computed)]]&amp;Table16[[#This Row],[Agency (Computed)]]&amp;Table16[[#This Row],[SubName (Computed)]]&amp;Table16[[#This Row],[Purpose]]&amp;Table16[[#This Row],[Instance]])</f>
        <v>iaslgproddba</v>
      </c>
      <c r="D27">
        <f>LEN(Table16[[#This Row],[Name (Computed) ]])</f>
        <v>12</v>
      </c>
      <c r="E27" t="str">
        <f>"This storage account for Agency " &amp; Table16[[#This Row],[Agency (Computed)]]&amp;"'s, Subscription "&amp;Table16[[#This Row],[SubName (Computed)]]&amp;" workload purpose of "&amp;Table16[[#This Row],[Purpose]]</f>
        <v>This storage account for Agency SLG's, Subscription Prod workload purpose of DB</v>
      </c>
      <c r="F27" t="str">
        <f>VLOOKUP(Table16[[#This Row],[SubID]], Subscriptions[#All], 7, FALSE)</f>
        <v>Prod</v>
      </c>
      <c r="G27" t="str">
        <f>VLOOKUP(Table16[[#This Row],[SubID]], Subscriptions[#All], 4, FALSE)</f>
        <v>SLG</v>
      </c>
      <c r="H27" t="s">
        <v>278</v>
      </c>
      <c r="I27" t="s">
        <v>776</v>
      </c>
      <c r="J27" t="s">
        <v>487</v>
      </c>
      <c r="K27" t="s">
        <v>564</v>
      </c>
      <c r="L27" t="str">
        <f>VLOOKUP(Table16[[#This Row],[SiteID]], Locations[#All], 3, FALSE)</f>
        <v>ia</v>
      </c>
      <c r="M27" t="str">
        <f>VLOOKUP(Table16[[#This Row],[SiteID]], Locations[#All], 4, FALSE)</f>
        <v>USGov Iowa</v>
      </c>
      <c r="N27" t="s">
        <v>150</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"iaslgproddba" -Location "USGov Iowa" -Description "This storage account for Agency SLG's, Subscription Prod workload purpose of DB" -Type "Premium_LRS"</v>
      </c>
    </row>
    <row r="28" spans="1:15" x14ac:dyDescent="0.45">
      <c r="A28" t="s">
        <v>289</v>
      </c>
      <c r="B28" t="s">
        <v>320</v>
      </c>
      <c r="C28" t="str">
        <f>LOWER(Table16[[#This Row],[LocationID (Computed)]]&amp;Table16[[#This Row],[Agency (Computed)]]&amp;Table16[[#This Row],[SubName (Computed)]]&amp;Table16[[#This Row],[Purpose]]&amp;Table16[[#This Row],[Instance]])</f>
        <v>vaslgprodimagesa</v>
      </c>
      <c r="D28">
        <f>LEN(Table16[[#This Row],[Name (Computed) ]])</f>
        <v>16</v>
      </c>
      <c r="E28" t="str">
        <f>"This storage account for Agency " &amp; Table16[[#This Row],[Agency (Computed)]]&amp;"'s, Subscription "&amp;Table16[[#This Row],[SubName (Computed)]]&amp;" workload purpose of "&amp;Table16[[#This Row],[Purpose]]</f>
        <v>This storage account for Agency SLG's, Subscription Prod workload purpose of Images</v>
      </c>
      <c r="F28" t="str">
        <f>VLOOKUP(Table16[[#This Row],[SubID]], Subscriptions[#All], 7, FALSE)</f>
        <v>Prod</v>
      </c>
      <c r="G28" t="str">
        <f>VLOOKUP(Table16[[#This Row],[SubID]], Subscriptions[#All], 4, FALSE)</f>
        <v>SLG</v>
      </c>
      <c r="H28" t="s">
        <v>278</v>
      </c>
      <c r="I28" t="s">
        <v>571</v>
      </c>
      <c r="J28" t="s">
        <v>292</v>
      </c>
      <c r="K28" t="s">
        <v>306</v>
      </c>
      <c r="L28" t="str">
        <f>VLOOKUP(Table16[[#This Row],[SiteID]], Locations[#All], 3, FALSE)</f>
        <v>va</v>
      </c>
      <c r="M28" t="str">
        <f>VLOOKUP(Table16[[#This Row],[SiteID]], Locations[#All], 4, FALSE)</f>
        <v>USGov Virginia</v>
      </c>
      <c r="N28" t="s">
        <v>150</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"vaslgprodimagesa" -Location "USGov Virginia" -Description "This storage account for Agency SLG's, Subscription Prod workload purpose of Images" -Type "Standard_LRS"</v>
      </c>
    </row>
    <row r="29" spans="1:15" x14ac:dyDescent="0.45">
      <c r="A29" t="s">
        <v>332</v>
      </c>
      <c r="B29" t="s">
        <v>320</v>
      </c>
      <c r="C29" t="str">
        <f>LOWER(Table16[[#This Row],[LocationID (Computed)]]&amp;Table16[[#This Row],[Agency (Computed)]]&amp;Table16[[#This Row],[SubName (Computed)]]&amp;Table16[[#This Row],[Purpose]]&amp;Table16[[#This Row],[Instance]])</f>
        <v>iaslgprodimagesa</v>
      </c>
      <c r="D29">
        <f>LEN(Table16[[#This Row],[Name (Computed) ]])</f>
        <v>16</v>
      </c>
      <c r="E29" t="str">
        <f>"This storage account for Agency " &amp; Table16[[#This Row],[Agency (Computed)]]&amp;"'s, Subscription "&amp;Table16[[#This Row],[SubName (Computed)]]&amp;" workload purpose of "&amp;Table16[[#This Row],[Purpose]]</f>
        <v>This storage account for Agency SLG's, Subscription Prod workload purpose of Images</v>
      </c>
      <c r="F29" t="str">
        <f>VLOOKUP(Table16[[#This Row],[SubID]], Subscriptions[#All], 7, FALSE)</f>
        <v>Prod</v>
      </c>
      <c r="G29" t="str">
        <f>VLOOKUP(Table16[[#This Row],[SubID]], Subscriptions[#All], 4, FALSE)</f>
        <v>SLG</v>
      </c>
      <c r="H29" t="s">
        <v>278</v>
      </c>
      <c r="I29" t="s">
        <v>571</v>
      </c>
      <c r="J29" t="s">
        <v>292</v>
      </c>
      <c r="K29" t="s">
        <v>564</v>
      </c>
      <c r="L29" t="str">
        <f>VLOOKUP(Table16[[#This Row],[SiteID]], Locations[#All], 3, FALSE)</f>
        <v>ia</v>
      </c>
      <c r="M29" t="str">
        <f>VLOOKUP(Table16[[#This Row],[SiteID]], Locations[#All], 4, FALSE)</f>
        <v>USGov Iowa</v>
      </c>
      <c r="N29" t="s">
        <v>150</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"iaslgprodimagesa" -Location "USGov Iowa" -Description "This storage account for Agency SLG's, Subscription Prod workload purpose of Images" -Type "Standard_LRS"</v>
      </c>
    </row>
    <row r="30" spans="1:15" x14ac:dyDescent="0.45">
      <c r="A30" t="s">
        <v>280</v>
      </c>
      <c r="B30" t="s">
        <v>320</v>
      </c>
      <c r="C30" t="str">
        <f>LOWER(Table16[[#This Row],[LocationID (Computed)]]&amp;Table16[[#This Row],[Agency (Computed)]]&amp;Table16[[#This Row],[SubName (Computed)]]&amp;Table16[[#This Row],[Purpose]]&amp;Table16[[#This Row],[Instance]])</f>
        <v>vaslgprodosa</v>
      </c>
      <c r="D30">
        <f>LEN(Table16[[#This Row],[Name (Computed) ]])</f>
        <v>12</v>
      </c>
      <c r="E30" t="str">
        <f>"This storage account for Agency " &amp; Table16[[#This Row],[Agency (Computed)]]&amp;"'s, Subscription "&amp;Table16[[#This Row],[SubName (Computed)]]&amp;" workload purpose of "&amp;Table16[[#This Row],[Purpose]]</f>
        <v>This storage account for Agency SLG's, Subscription Prod workload purpose of OS</v>
      </c>
      <c r="F30" t="str">
        <f>VLOOKUP(Table16[[#This Row],[SubID]], Subscriptions[#All], 7, FALSE)</f>
        <v>Prod</v>
      </c>
      <c r="G30" t="str">
        <f>VLOOKUP(Table16[[#This Row],[SubID]], Subscriptions[#All], 4, FALSE)</f>
        <v>SLG</v>
      </c>
      <c r="H30" t="s">
        <v>278</v>
      </c>
      <c r="I30" t="s">
        <v>571</v>
      </c>
      <c r="J30" t="s">
        <v>191</v>
      </c>
      <c r="K30" t="s">
        <v>306</v>
      </c>
      <c r="L30" t="str">
        <f>VLOOKUP(Table16[[#This Row],[SiteID]], Locations[#All], 3, FALSE)</f>
        <v>va</v>
      </c>
      <c r="M30" t="str">
        <f>VLOOKUP(Table16[[#This Row],[SiteID]], Locations[#All], 4, FALSE)</f>
        <v>USGov Virginia</v>
      </c>
      <c r="N30" t="s">
        <v>150</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"vaslgprodosa" -Location "USGov Virginia" -Description "This storage account for Agency SLG's, Subscription Prod workload purpose of OS" -Type "Standard_LRS"</v>
      </c>
    </row>
    <row r="31" spans="1:15" x14ac:dyDescent="0.45">
      <c r="A31" t="s">
        <v>284</v>
      </c>
      <c r="B31" t="s">
        <v>320</v>
      </c>
      <c r="C31" t="str">
        <f>LOWER(Table16[[#This Row],[LocationID (Computed)]]&amp;Table16[[#This Row],[Agency (Computed)]]&amp;Table16[[#This Row],[SubName (Computed)]]&amp;Table16[[#This Row],[Purpose]]&amp;Table16[[#This Row],[Instance]])</f>
        <v>iaslgprodosa</v>
      </c>
      <c r="D31">
        <f>LEN(Table16[[#This Row],[Name (Computed) ]])</f>
        <v>12</v>
      </c>
      <c r="E31" t="str">
        <f>"This storage account for Agency " &amp; Table16[[#This Row],[Agency (Computed)]]&amp;"'s, Subscription "&amp;Table16[[#This Row],[SubName (Computed)]]&amp;" workload purpose of "&amp;Table16[[#This Row],[Purpose]]</f>
        <v>This storage account for Agency SLG's, Subscription Prod workload purpose of OS</v>
      </c>
      <c r="F31" t="str">
        <f>VLOOKUP(Table16[[#This Row],[SubID]], Subscriptions[#All], 7, FALSE)</f>
        <v>Prod</v>
      </c>
      <c r="G31" t="str">
        <f>VLOOKUP(Table16[[#This Row],[SubID]], Subscriptions[#All], 4, FALSE)</f>
        <v>SLG</v>
      </c>
      <c r="H31" t="s">
        <v>278</v>
      </c>
      <c r="I31" t="s">
        <v>571</v>
      </c>
      <c r="J31" t="s">
        <v>191</v>
      </c>
      <c r="K31" t="s">
        <v>564</v>
      </c>
      <c r="L31" t="str">
        <f>VLOOKUP(Table16[[#This Row],[SiteID]], Locations[#All], 3, FALSE)</f>
        <v>ia</v>
      </c>
      <c r="M31" t="str">
        <f>VLOOKUP(Table16[[#This Row],[SiteID]], Locations[#All], 4, FALSE)</f>
        <v>USGov Iowa</v>
      </c>
      <c r="N31" t="s">
        <v>150</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"iaslgprodosa" -Location "USGov Iowa" -Description "This storage account for Agency SLG's, Subscription Prod workload purpose of OS" -Type "Standard_LRS"</v>
      </c>
    </row>
    <row r="32" spans="1:15" x14ac:dyDescent="0.45">
      <c r="A32" t="s">
        <v>358</v>
      </c>
      <c r="B32" t="s">
        <v>321</v>
      </c>
      <c r="C32" t="str">
        <f>LOWER(Table16[[#This Row],[LocationID (Computed)]]&amp;Table16[[#This Row],[Agency (Computed)]]&amp;Table16[[#This Row],[SubName (Computed)]]&amp;Table16[[#This Row],[Purpose]]&amp;Table16[[#This Row],[Instance]])</f>
        <v>vaslgservicesbackupa</v>
      </c>
      <c r="D32">
        <f>LEN(Table16[[#This Row],[Name (Computed) ]])</f>
        <v>20</v>
      </c>
      <c r="E32" t="str">
        <f>"This storage account for Agency " &amp; Table16[[#This Row],[Agency (Computed)]]&amp;"'s, Subscription "&amp;Table16[[#This Row],[SubName (Computed)]]&amp;" workload purpose of "&amp;Table16[[#This Row],[Purpose]]</f>
        <v>This storage account for Agency SLG's, Subscription Services workload purpose of Backup</v>
      </c>
      <c r="F32" t="str">
        <f>VLOOKUP(Table16[[#This Row],[SubID]], Subscriptions[#All], 7, FALSE)</f>
        <v>Services</v>
      </c>
      <c r="G32" t="str">
        <f>VLOOKUP(Table16[[#This Row],[SubID]], Subscriptions[#All], 4, FALSE)</f>
        <v>SLG</v>
      </c>
      <c r="H32" t="s">
        <v>278</v>
      </c>
      <c r="I32" t="s">
        <v>774</v>
      </c>
      <c r="J32" t="s">
        <v>775</v>
      </c>
      <c r="K32" t="s">
        <v>306</v>
      </c>
      <c r="L32" t="str">
        <f>VLOOKUP(Table16[[#This Row],[SiteID]], Locations[#All], 3, FALSE)</f>
        <v>va</v>
      </c>
      <c r="M32" t="str">
        <f>VLOOKUP(Table16[[#This Row],[SiteID]], Locations[#All], 4, FALSE)</f>
        <v>USGov Virginia</v>
      </c>
      <c r="N32" t="s">
        <v>150</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"vaslgservicesbackupa" -Location "USGov Virginia" -Description "This storage account for Agency SLG's, Subscription Services workload purpose of Backup" -Type "Standard_GRS"</v>
      </c>
    </row>
    <row r="33" spans="1:15" x14ac:dyDescent="0.45">
      <c r="A33" t="s">
        <v>363</v>
      </c>
      <c r="B33" t="s">
        <v>321</v>
      </c>
      <c r="C33" t="str">
        <f>LOWER(Table16[[#This Row],[LocationID (Computed)]]&amp;Table16[[#This Row],[Agency (Computed)]]&amp;Table16[[#This Row],[SubName (Computed)]]&amp;Table16[[#This Row],[Purpose]]&amp;Table16[[#This Row],[Instance]])</f>
        <v>iaslgservicesbackupa</v>
      </c>
      <c r="D33">
        <f>LEN(Table16[[#This Row],[Name (Computed) ]])</f>
        <v>20</v>
      </c>
      <c r="E33" t="str">
        <f>"This storage account for Agency " &amp; Table16[[#This Row],[Agency (Computed)]]&amp;"'s, Subscription "&amp;Table16[[#This Row],[SubName (Computed)]]&amp;" workload purpose of "&amp;Table16[[#This Row],[Purpose]]</f>
        <v>This storage account for Agency SLG's, Subscription Services workload purpose of Backup</v>
      </c>
      <c r="F33" t="str">
        <f>VLOOKUP(Table16[[#This Row],[SubID]], Subscriptions[#All], 7, FALSE)</f>
        <v>Services</v>
      </c>
      <c r="G33" t="str">
        <f>VLOOKUP(Table16[[#This Row],[SubID]], Subscriptions[#All], 4, FALSE)</f>
        <v>SLG</v>
      </c>
      <c r="H33" t="s">
        <v>278</v>
      </c>
      <c r="I33" t="s">
        <v>774</v>
      </c>
      <c r="J33" t="s">
        <v>775</v>
      </c>
      <c r="K33" t="s">
        <v>564</v>
      </c>
      <c r="L33" t="str">
        <f>VLOOKUP(Table16[[#This Row],[SiteID]], Locations[#All], 3, FALSE)</f>
        <v>ia</v>
      </c>
      <c r="M33" t="str">
        <f>VLOOKUP(Table16[[#This Row],[SiteID]], Locations[#All], 4, FALSE)</f>
        <v>USGov Iowa</v>
      </c>
      <c r="N33" t="s">
        <v>150</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"iaslgservicesbackupa" -Location "USGov Iowa" -Description "This storage account for Agency SLG's, Subscription Services workload purpose of Backup" -Type "Standard_GRS"</v>
      </c>
    </row>
    <row r="34" spans="1:15" x14ac:dyDescent="0.45">
      <c r="A34" t="s">
        <v>338</v>
      </c>
      <c r="B34" t="s">
        <v>321</v>
      </c>
      <c r="C34" t="str">
        <f>LOWER(Table16[[#This Row],[LocationID (Computed)]]&amp;Table16[[#This Row],[Agency (Computed)]]&amp;Table16[[#This Row],[SubName (Computed)]]&amp;Table16[[#This Row],[Purpose]]&amp;Table16[[#This Row],[Instance]])</f>
        <v>vaslgservicesdataa</v>
      </c>
      <c r="D34">
        <f>LEN(Table16[[#This Row],[Name (Computed) ]])</f>
        <v>18</v>
      </c>
      <c r="E34" t="str">
        <f>"This storage account for Agency " &amp; Table16[[#This Row],[Agency (Computed)]]&amp;"'s, Subscription "&amp;Table16[[#This Row],[SubName (Computed)]]&amp;" workload purpose of "&amp;Table16[[#This Row],[Purpose]]</f>
        <v>This storage account for Agency SLG's, Subscription Services workload purpose of Data</v>
      </c>
      <c r="F34" t="str">
        <f>VLOOKUP(Table16[[#This Row],[SubID]], Subscriptions[#All], 7, FALSE)</f>
        <v>Services</v>
      </c>
      <c r="G34" t="str">
        <f>VLOOKUP(Table16[[#This Row],[SubID]], Subscriptions[#All], 4, FALSE)</f>
        <v>SLG</v>
      </c>
      <c r="H34" t="s">
        <v>278</v>
      </c>
      <c r="I34" t="s">
        <v>571</v>
      </c>
      <c r="J34" t="s">
        <v>293</v>
      </c>
      <c r="K34" t="s">
        <v>306</v>
      </c>
      <c r="L34" t="str">
        <f>VLOOKUP(Table16[[#This Row],[SiteID]], Locations[#All], 3, FALSE)</f>
        <v>va</v>
      </c>
      <c r="M34" t="str">
        <f>VLOOKUP(Table16[[#This Row],[SiteID]], Locations[#All], 4, FALSE)</f>
        <v>USGov Virginia</v>
      </c>
      <c r="N34" t="s">
        <v>150</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"vaslgservicesdataa" -Location "USGov Virginia" -Description "This storage account for Agency SLG's, Subscription Services workload purpose of Data" -Type "Standard_LRS"</v>
      </c>
    </row>
    <row r="35" spans="1:15" x14ac:dyDescent="0.45">
      <c r="A35" t="s">
        <v>343</v>
      </c>
      <c r="B35" t="s">
        <v>321</v>
      </c>
      <c r="C35" t="str">
        <f>LOWER(Table16[[#This Row],[LocationID (Computed)]]&amp;Table16[[#This Row],[Agency (Computed)]]&amp;Table16[[#This Row],[SubName (Computed)]]&amp;Table16[[#This Row],[Purpose]]&amp;Table16[[#This Row],[Instance]])</f>
        <v>iaslgservicesdataa</v>
      </c>
      <c r="D35">
        <f>LEN(Table16[[#This Row],[Name (Computed) ]])</f>
        <v>18</v>
      </c>
      <c r="E35" t="str">
        <f>"This storage account for Agency " &amp; Table16[[#This Row],[Agency (Computed)]]&amp;"'s, Subscription "&amp;Table16[[#This Row],[SubName (Computed)]]&amp;" workload purpose of "&amp;Table16[[#This Row],[Purpose]]</f>
        <v>This storage account for Agency SLG's, Subscription Services workload purpose of Data</v>
      </c>
      <c r="F35" t="str">
        <f>VLOOKUP(Table16[[#This Row],[SubID]], Subscriptions[#All], 7, FALSE)</f>
        <v>Services</v>
      </c>
      <c r="G35" t="str">
        <f>VLOOKUP(Table16[[#This Row],[SubID]], Subscriptions[#All], 4, FALSE)</f>
        <v>SLG</v>
      </c>
      <c r="H35" t="s">
        <v>278</v>
      </c>
      <c r="I35" t="s">
        <v>571</v>
      </c>
      <c r="J35" t="s">
        <v>293</v>
      </c>
      <c r="K35" t="s">
        <v>564</v>
      </c>
      <c r="L35" t="str">
        <f>VLOOKUP(Table16[[#This Row],[SiteID]], Locations[#All], 3, FALSE)</f>
        <v>ia</v>
      </c>
      <c r="M35" t="str">
        <f>VLOOKUP(Table16[[#This Row],[SiteID]], Locations[#All], 4, FALSE)</f>
        <v>USGov Iowa</v>
      </c>
      <c r="N35" t="s">
        <v>150</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"iaslgservicesdataa" -Location "USGov Iowa" -Description "This storage account for Agency SLG's, Subscription Services workload purpose of Data" -Type "Standard_LRS"</v>
      </c>
    </row>
    <row r="36" spans="1:15" x14ac:dyDescent="0.45">
      <c r="A36" t="s">
        <v>348</v>
      </c>
      <c r="B36" t="s">
        <v>321</v>
      </c>
      <c r="C36" t="str">
        <f>LOWER(Table16[[#This Row],[LocationID (Computed)]]&amp;Table16[[#This Row],[Agency (Computed)]]&amp;Table16[[#This Row],[SubName (Computed)]]&amp;Table16[[#This Row],[Purpose]]&amp;Table16[[#This Row],[Instance]])</f>
        <v>vaslgservicesdba</v>
      </c>
      <c r="D36">
        <f>LEN(Table16[[#This Row],[Name (Computed) ]])</f>
        <v>16</v>
      </c>
      <c r="E36" t="str">
        <f>"This storage account for Agency " &amp; Table16[[#This Row],[Agency (Computed)]]&amp;"'s, Subscription "&amp;Table16[[#This Row],[SubName (Computed)]]&amp;" workload purpose of "&amp;Table16[[#This Row],[Purpose]]</f>
        <v>This storage account for Agency SLG's, Subscription Services workload purpose of DB</v>
      </c>
      <c r="F36" t="str">
        <f>VLOOKUP(Table16[[#This Row],[SubID]], Subscriptions[#All], 7, FALSE)</f>
        <v>Services</v>
      </c>
      <c r="G36" t="str">
        <f>VLOOKUP(Table16[[#This Row],[SubID]], Subscriptions[#All], 4, FALSE)</f>
        <v>SLG</v>
      </c>
      <c r="H36" t="s">
        <v>278</v>
      </c>
      <c r="I36" t="s">
        <v>776</v>
      </c>
      <c r="J36" t="s">
        <v>487</v>
      </c>
      <c r="K36" t="s">
        <v>306</v>
      </c>
      <c r="L36" t="str">
        <f>VLOOKUP(Table16[[#This Row],[SiteID]], Locations[#All], 3, FALSE)</f>
        <v>va</v>
      </c>
      <c r="M36" t="str">
        <f>VLOOKUP(Table16[[#This Row],[SiteID]], Locations[#All], 4, FALSE)</f>
        <v>USGov Virginia</v>
      </c>
      <c r="N36" t="s">
        <v>150</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"vaslgservicesdba" -Location "USGov Virginia" -Description "This storage account for Agency SLG's, Subscription Services workload purpose of DB" -Type "Premium_LRS"</v>
      </c>
    </row>
    <row r="37" spans="1:15" x14ac:dyDescent="0.45">
      <c r="A37" t="s">
        <v>353</v>
      </c>
      <c r="B37" t="s">
        <v>321</v>
      </c>
      <c r="C37" t="str">
        <f>LOWER(Table16[[#This Row],[LocationID (Computed)]]&amp;Table16[[#This Row],[Agency (Computed)]]&amp;Table16[[#This Row],[SubName (Computed)]]&amp;Table16[[#This Row],[Purpose]]&amp;Table16[[#This Row],[Instance]])</f>
        <v>iaslgservicesdba</v>
      </c>
      <c r="D37">
        <f>LEN(Table16[[#This Row],[Name (Computed) ]])</f>
        <v>16</v>
      </c>
      <c r="E37" t="str">
        <f>"This storage account for Agency " &amp; Table16[[#This Row],[Agency (Computed)]]&amp;"'s, Subscription "&amp;Table16[[#This Row],[SubName (Computed)]]&amp;" workload purpose of "&amp;Table16[[#This Row],[Purpose]]</f>
        <v>This storage account for Agency SLG's, Subscription Services workload purpose of DB</v>
      </c>
      <c r="F37" t="str">
        <f>VLOOKUP(Table16[[#This Row],[SubID]], Subscriptions[#All], 7, FALSE)</f>
        <v>Services</v>
      </c>
      <c r="G37" t="str">
        <f>VLOOKUP(Table16[[#This Row],[SubID]], Subscriptions[#All], 4, FALSE)</f>
        <v>SLG</v>
      </c>
      <c r="H37" t="s">
        <v>278</v>
      </c>
      <c r="I37" t="s">
        <v>776</v>
      </c>
      <c r="J37" t="s">
        <v>487</v>
      </c>
      <c r="K37" t="s">
        <v>564</v>
      </c>
      <c r="L37" t="str">
        <f>VLOOKUP(Table16[[#This Row],[SiteID]], Locations[#All], 3, FALSE)</f>
        <v>ia</v>
      </c>
      <c r="M37" t="str">
        <f>VLOOKUP(Table16[[#This Row],[SiteID]], Locations[#All], 4, FALSE)</f>
        <v>USGov Iowa</v>
      </c>
      <c r="N37" t="s">
        <v>150</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"iaslgservicesdba" -Location "USGov Iowa" -Description "This storage account for Agency SLG's, Subscription Services workload purpose of DB" -Type "Premium_LRS"</v>
      </c>
    </row>
    <row r="38" spans="1:15" x14ac:dyDescent="0.45">
      <c r="A38" t="s">
        <v>328</v>
      </c>
      <c r="B38" t="s">
        <v>321</v>
      </c>
      <c r="C38" t="str">
        <f>LOWER(Table16[[#This Row],[LocationID (Computed)]]&amp;Table16[[#This Row],[Agency (Computed)]]&amp;Table16[[#This Row],[SubName (Computed)]]&amp;Table16[[#This Row],[Purpose]]&amp;Table16[[#This Row],[Instance]])</f>
        <v>vaslgservicesimagesa</v>
      </c>
      <c r="D38">
        <f>LEN(Table16[[#This Row],[Name (Computed) ]])</f>
        <v>20</v>
      </c>
      <c r="E38" t="str">
        <f>"This storage account for Agency " &amp; Table16[[#This Row],[Agency (Computed)]]&amp;"'s, Subscription "&amp;Table16[[#This Row],[SubName (Computed)]]&amp;" workload purpose of "&amp;Table16[[#This Row],[Purpose]]</f>
        <v>This storage account for Agency SLG's, Subscription Services workload purpose of Images</v>
      </c>
      <c r="F38" t="str">
        <f>VLOOKUP(Table16[[#This Row],[SubID]], Subscriptions[#All], 7, FALSE)</f>
        <v>Services</v>
      </c>
      <c r="G38" t="str">
        <f>VLOOKUP(Table16[[#This Row],[SubID]], Subscriptions[#All], 4, FALSE)</f>
        <v>SLG</v>
      </c>
      <c r="H38" t="s">
        <v>278</v>
      </c>
      <c r="I38" t="s">
        <v>571</v>
      </c>
      <c r="J38" t="s">
        <v>292</v>
      </c>
      <c r="K38" t="s">
        <v>306</v>
      </c>
      <c r="L38" t="str">
        <f>VLOOKUP(Table16[[#This Row],[SiteID]], Locations[#All], 3, FALSE)</f>
        <v>va</v>
      </c>
      <c r="M38" t="str">
        <f>VLOOKUP(Table16[[#This Row],[SiteID]], Locations[#All], 4, FALSE)</f>
        <v>USGov Virginia</v>
      </c>
      <c r="N38" t="s">
        <v>150</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"vaslgservicesimagesa" -Location "USGov Virginia" -Description "This storage account for Agency SLG's, Subscription Services workload purpose of Images" -Type "Standard_LRS"</v>
      </c>
    </row>
    <row r="39" spans="1:15" x14ac:dyDescent="0.45">
      <c r="A39" t="s">
        <v>333</v>
      </c>
      <c r="B39" t="s">
        <v>321</v>
      </c>
      <c r="C39" t="str">
        <f>LOWER(Table16[[#This Row],[LocationID (Computed)]]&amp;Table16[[#This Row],[Agency (Computed)]]&amp;Table16[[#This Row],[SubName (Computed)]]&amp;Table16[[#This Row],[Purpose]]&amp;Table16[[#This Row],[Instance]])</f>
        <v>iaslgservicesimagesa</v>
      </c>
      <c r="D39">
        <f>LEN(Table16[[#This Row],[Name (Computed) ]])</f>
        <v>20</v>
      </c>
      <c r="E39" t="str">
        <f>"This storage account for Agency " &amp; Table16[[#This Row],[Agency (Computed)]]&amp;"'s, Subscription "&amp;Table16[[#This Row],[SubName (Computed)]]&amp;" workload purpose of "&amp;Table16[[#This Row],[Purpose]]</f>
        <v>This storage account for Agency SLG's, Subscription Services workload purpose of Images</v>
      </c>
      <c r="F39" t="str">
        <f>VLOOKUP(Table16[[#This Row],[SubID]], Subscriptions[#All], 7, FALSE)</f>
        <v>Services</v>
      </c>
      <c r="G39" t="str">
        <f>VLOOKUP(Table16[[#This Row],[SubID]], Subscriptions[#All], 4, FALSE)</f>
        <v>SLG</v>
      </c>
      <c r="H39" t="s">
        <v>278</v>
      </c>
      <c r="I39" t="s">
        <v>571</v>
      </c>
      <c r="J39" t="s">
        <v>292</v>
      </c>
      <c r="K39" t="s">
        <v>564</v>
      </c>
      <c r="L39" t="str">
        <f>VLOOKUP(Table16[[#This Row],[SiteID]], Locations[#All], 3, FALSE)</f>
        <v>ia</v>
      </c>
      <c r="M39" t="str">
        <f>VLOOKUP(Table16[[#This Row],[SiteID]], Locations[#All], 4, FALSE)</f>
        <v>USGov Iowa</v>
      </c>
      <c r="N39" t="s">
        <v>150</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"iaslgservicesimagesa" -Location "USGov Iowa" -Description "This storage account for Agency SLG's, Subscription Services workload purpose of Images" -Type "Standard_LRS"</v>
      </c>
    </row>
    <row r="40" spans="1:15" x14ac:dyDescent="0.45">
      <c r="A40" t="s">
        <v>773</v>
      </c>
      <c r="B40" t="s">
        <v>321</v>
      </c>
      <c r="C40" t="str">
        <f>LOWER(Table16[[#This Row],[LocationID (Computed)]]&amp;Table16[[#This Row],[Agency (Computed)]]&amp;Table16[[#This Row],[SubName (Computed)]]&amp;Table16[[#This Row],[Purpose]]&amp;Table16[[#This Row],[Instance]])</f>
        <v>vaslgservicesosa</v>
      </c>
      <c r="D40">
        <f>LEN(Table16[[#This Row],[Name (Computed) ]])</f>
        <v>16</v>
      </c>
      <c r="E40" t="str">
        <f>"This storage account for Agency " &amp; Table16[[#This Row],[Agency (Computed)]]&amp;"'s, Subscription "&amp;Table16[[#This Row],[SubName (Computed)]]&amp;" workload purpose of "&amp;Table16[[#This Row],[Purpose]]</f>
        <v>This storage account for Agency SLG's, Subscription Services workload purpose of OS</v>
      </c>
      <c r="F40" t="str">
        <f>VLOOKUP(Table16[[#This Row],[SubID]], Subscriptions[#All], 7, FALSE)</f>
        <v>Services</v>
      </c>
      <c r="G40" t="str">
        <f>VLOOKUP(Table16[[#This Row],[SubID]], Subscriptions[#All], 4, FALSE)</f>
        <v>SLG</v>
      </c>
      <c r="H40" t="s">
        <v>278</v>
      </c>
      <c r="I40" t="s">
        <v>571</v>
      </c>
      <c r="J40" t="s">
        <v>191</v>
      </c>
      <c r="K40" t="s">
        <v>306</v>
      </c>
      <c r="L40" t="str">
        <f>VLOOKUP(Table16[[#This Row],[SiteID]], Locations[#All], 3, FALSE)</f>
        <v>va</v>
      </c>
      <c r="M40" t="str">
        <f>VLOOKUP(Table16[[#This Row],[SiteID]], Locations[#All], 4, FALSE)</f>
        <v>USGov Virginia</v>
      </c>
      <c r="N40" t="s">
        <v>150</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"vaslgservicesosa" -Location "USGov Virginia" -Description "This storage account for Agency SLG's, Subscription Services workload purpose of OS" -Type "Standard_LRS"</v>
      </c>
    </row>
    <row r="41" spans="1:15" x14ac:dyDescent="0.45">
      <c r="A41" t="s">
        <v>285</v>
      </c>
      <c r="B41" t="s">
        <v>321</v>
      </c>
      <c r="C41" t="str">
        <f>LOWER(Table16[[#This Row],[LocationID (Computed)]]&amp;Table16[[#This Row],[Agency (Computed)]]&amp;Table16[[#This Row],[SubName (Computed)]]&amp;Table16[[#This Row],[Purpose]]&amp;Table16[[#This Row],[Instance]])</f>
        <v>iaslgservicesosa</v>
      </c>
      <c r="D41">
        <f>LEN(Table16[[#This Row],[Name (Computed) ]])</f>
        <v>16</v>
      </c>
      <c r="E41" t="str">
        <f>"This storage account for Agency " &amp; Table16[[#This Row],[Agency (Computed)]]&amp;"'s, Subscription "&amp;Table16[[#This Row],[SubName (Computed)]]&amp;" workload purpose of "&amp;Table16[[#This Row],[Purpose]]</f>
        <v>This storage account for Agency SLG's, Subscription Services workload purpose of OS</v>
      </c>
      <c r="F41" t="str">
        <f>VLOOKUP(Table16[[#This Row],[SubID]], Subscriptions[#All], 7, FALSE)</f>
        <v>Services</v>
      </c>
      <c r="G41" t="str">
        <f>VLOOKUP(Table16[[#This Row],[SubID]], Subscriptions[#All], 4, FALSE)</f>
        <v>SLG</v>
      </c>
      <c r="H41" t="s">
        <v>278</v>
      </c>
      <c r="I41" t="s">
        <v>571</v>
      </c>
      <c r="J41" t="s">
        <v>191</v>
      </c>
      <c r="K41" t="s">
        <v>564</v>
      </c>
      <c r="L41" t="str">
        <f>VLOOKUP(Table16[[#This Row],[SiteID]], Locations[#All], 3, FALSE)</f>
        <v>ia</v>
      </c>
      <c r="M41" t="str">
        <f>VLOOKUP(Table16[[#This Row],[SiteID]], Locations[#All], 4, FALSE)</f>
        <v>USGov Iowa</v>
      </c>
      <c r="N41" t="s">
        <v>150</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"iaslgservicesosa" -Location "USGov Iowa" -Description "This storage account for Agency SLG's, Subscription Services workload purpose of OS" -Type "Standard_LRS"</v>
      </c>
    </row>
    <row r="42" spans="1:15" x14ac:dyDescent="0.45">
      <c r="A42" t="s">
        <v>359</v>
      </c>
      <c r="B42" t="s">
        <v>322</v>
      </c>
      <c r="C42" t="str">
        <f>LOWER(Table16[[#This Row],[LocationID (Computed)]]&amp;Table16[[#This Row],[Agency (Computed)]]&amp;Table16[[#This Row],[SubName (Computed)]]&amp;Table16[[#This Row],[Purpose]]&amp;Table16[[#This Row],[Instance]])</f>
        <v>vaslgstoragebackupa</v>
      </c>
      <c r="D42">
        <f>LEN(Table16[[#This Row],[Name (Computed) ]])</f>
        <v>19</v>
      </c>
      <c r="E42" t="str">
        <f>"This storage account for Agency " &amp; Table16[[#This Row],[Agency (Computed)]]&amp;"'s, Subscription "&amp;Table16[[#This Row],[SubName (Computed)]]&amp;" workload purpose of "&amp;Table16[[#This Row],[Purpose]]</f>
        <v>This storage account for Agency SLG's, Subscription Storage workload purpose of Backup</v>
      </c>
      <c r="F42" t="str">
        <f>VLOOKUP(Table16[[#This Row],[SubID]], Subscriptions[#All], 7, FALSE)</f>
        <v>Storage</v>
      </c>
      <c r="G42" t="str">
        <f>VLOOKUP(Table16[[#This Row],[SubID]], Subscriptions[#All], 4, FALSE)</f>
        <v>SLG</v>
      </c>
      <c r="H42" t="s">
        <v>278</v>
      </c>
      <c r="I42" t="s">
        <v>774</v>
      </c>
      <c r="J42" t="s">
        <v>775</v>
      </c>
      <c r="K42" t="s">
        <v>306</v>
      </c>
      <c r="L42" t="str">
        <f>VLOOKUP(Table16[[#This Row],[SiteID]], Locations[#All], 3, FALSE)</f>
        <v>va</v>
      </c>
      <c r="M42" t="str">
        <f>VLOOKUP(Table16[[#This Row],[SiteID]], Locations[#All], 4, FALSE)</f>
        <v>USGov Virginia</v>
      </c>
      <c r="N42" t="s">
        <v>150</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"vaslgstoragebackupa" -Location "USGov Virginia" -Description "This storage account for Agency SLG's, Subscription Storage workload purpose of Backup" -Type "Standard_GRS"</v>
      </c>
    </row>
    <row r="43" spans="1:15" x14ac:dyDescent="0.45">
      <c r="A43" t="s">
        <v>364</v>
      </c>
      <c r="B43" t="s">
        <v>322</v>
      </c>
      <c r="C43" t="str">
        <f>LOWER(Table16[[#This Row],[LocationID (Computed)]]&amp;Table16[[#This Row],[Agency (Computed)]]&amp;Table16[[#This Row],[SubName (Computed)]]&amp;Table16[[#This Row],[Purpose]]&amp;Table16[[#This Row],[Instance]])</f>
        <v>iaslgstoragebackupa</v>
      </c>
      <c r="D43">
        <f>LEN(Table16[[#This Row],[Name (Computed) ]])</f>
        <v>19</v>
      </c>
      <c r="E43" t="str">
        <f>"This storage account for Agency " &amp; Table16[[#This Row],[Agency (Computed)]]&amp;"'s, Subscription "&amp;Table16[[#This Row],[SubName (Computed)]]&amp;" workload purpose of "&amp;Table16[[#This Row],[Purpose]]</f>
        <v>This storage account for Agency SLG's, Subscription Storage workload purpose of Backup</v>
      </c>
      <c r="F43" t="str">
        <f>VLOOKUP(Table16[[#This Row],[SubID]], Subscriptions[#All], 7, FALSE)</f>
        <v>Storage</v>
      </c>
      <c r="G43" t="str">
        <f>VLOOKUP(Table16[[#This Row],[SubID]], Subscriptions[#All], 4, FALSE)</f>
        <v>SLG</v>
      </c>
      <c r="H43" t="s">
        <v>278</v>
      </c>
      <c r="I43" t="s">
        <v>774</v>
      </c>
      <c r="J43" t="s">
        <v>775</v>
      </c>
      <c r="K43" t="s">
        <v>564</v>
      </c>
      <c r="L43" t="str">
        <f>VLOOKUP(Table16[[#This Row],[SiteID]], Locations[#All], 3, FALSE)</f>
        <v>ia</v>
      </c>
      <c r="M43" t="str">
        <f>VLOOKUP(Table16[[#This Row],[SiteID]], Locations[#All], 4, FALSE)</f>
        <v>USGov Iowa</v>
      </c>
      <c r="N43" t="s">
        <v>150</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"iaslgstoragebackupa" -Location "USGov Iowa" -Description "This storage account for Agency SLG's, Subscription Storage workload purpose of Backup" -Type "Standard_GRS"</v>
      </c>
    </row>
    <row r="44" spans="1:15" x14ac:dyDescent="0.45">
      <c r="A44" t="s">
        <v>339</v>
      </c>
      <c r="B44" t="s">
        <v>322</v>
      </c>
      <c r="C44" t="str">
        <f>LOWER(Table16[[#This Row],[LocationID (Computed)]]&amp;Table16[[#This Row],[Agency (Computed)]]&amp;Table16[[#This Row],[SubName (Computed)]]&amp;Table16[[#This Row],[Purpose]]&amp;Table16[[#This Row],[Instance]])</f>
        <v>vaslgstoragedataa</v>
      </c>
      <c r="D44">
        <f>LEN(Table16[[#This Row],[Name (Computed) ]])</f>
        <v>17</v>
      </c>
      <c r="E44" t="str">
        <f>"This storage account for Agency " &amp; Table16[[#This Row],[Agency (Computed)]]&amp;"'s, Subscription "&amp;Table16[[#This Row],[SubName (Computed)]]&amp;" workload purpose of "&amp;Table16[[#This Row],[Purpose]]</f>
        <v>This storage account for Agency SLG's, Subscription Storage workload purpose of Data</v>
      </c>
      <c r="F44" t="str">
        <f>VLOOKUP(Table16[[#This Row],[SubID]], Subscriptions[#All], 7, FALSE)</f>
        <v>Storage</v>
      </c>
      <c r="G44" t="str">
        <f>VLOOKUP(Table16[[#This Row],[SubID]], Subscriptions[#All], 4, FALSE)</f>
        <v>SLG</v>
      </c>
      <c r="H44" t="s">
        <v>278</v>
      </c>
      <c r="I44" t="s">
        <v>571</v>
      </c>
      <c r="J44" t="s">
        <v>293</v>
      </c>
      <c r="K44" t="s">
        <v>306</v>
      </c>
      <c r="L44" t="str">
        <f>VLOOKUP(Table16[[#This Row],[SiteID]], Locations[#All], 3, FALSE)</f>
        <v>va</v>
      </c>
      <c r="M44" t="str">
        <f>VLOOKUP(Table16[[#This Row],[SiteID]], Locations[#All], 4, FALSE)</f>
        <v>USGov Virginia</v>
      </c>
      <c r="N44" t="s">
        <v>150</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"vaslgstoragedataa" -Location "USGov Virginia" -Description "This storage account for Agency SLG's, Subscription Storage workload purpose of Data" -Type "Standard_LRS"</v>
      </c>
    </row>
    <row r="45" spans="1:15" x14ac:dyDescent="0.45">
      <c r="A45" t="s">
        <v>344</v>
      </c>
      <c r="B45" t="s">
        <v>322</v>
      </c>
      <c r="C45" t="str">
        <f>LOWER(Table16[[#This Row],[LocationID (Computed)]]&amp;Table16[[#This Row],[Agency (Computed)]]&amp;Table16[[#This Row],[SubName (Computed)]]&amp;Table16[[#This Row],[Purpose]]&amp;Table16[[#This Row],[Instance]])</f>
        <v>iaslgstoragedataa</v>
      </c>
      <c r="D45">
        <f>LEN(Table16[[#This Row],[Name (Computed) ]])</f>
        <v>17</v>
      </c>
      <c r="E45" t="str">
        <f>"This storage account for Agency " &amp; Table16[[#This Row],[Agency (Computed)]]&amp;"'s, Subscription "&amp;Table16[[#This Row],[SubName (Computed)]]&amp;" workload purpose of "&amp;Table16[[#This Row],[Purpose]]</f>
        <v>This storage account for Agency SLG's, Subscription Storage workload purpose of Data</v>
      </c>
      <c r="F45" t="str">
        <f>VLOOKUP(Table16[[#This Row],[SubID]], Subscriptions[#All], 7, FALSE)</f>
        <v>Storage</v>
      </c>
      <c r="G45" t="str">
        <f>VLOOKUP(Table16[[#This Row],[SubID]], Subscriptions[#All], 4, FALSE)</f>
        <v>SLG</v>
      </c>
      <c r="H45" t="s">
        <v>278</v>
      </c>
      <c r="I45" t="s">
        <v>571</v>
      </c>
      <c r="J45" t="s">
        <v>293</v>
      </c>
      <c r="K45" t="s">
        <v>564</v>
      </c>
      <c r="L45" t="str">
        <f>VLOOKUP(Table16[[#This Row],[SiteID]], Locations[#All], 3, FALSE)</f>
        <v>ia</v>
      </c>
      <c r="M45" t="str">
        <f>VLOOKUP(Table16[[#This Row],[SiteID]], Locations[#All], 4, FALSE)</f>
        <v>USGov Iowa</v>
      </c>
      <c r="N45" t="s">
        <v>150</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"iaslgstoragedataa" -Location "USGov Iowa" -Description "This storage account for Agency SLG's, Subscription Storage workload purpose of Data" -Type "Standard_LRS"</v>
      </c>
    </row>
    <row r="46" spans="1:15" x14ac:dyDescent="0.45">
      <c r="A46" t="s">
        <v>349</v>
      </c>
      <c r="B46" t="s">
        <v>322</v>
      </c>
      <c r="C46" t="str">
        <f>LOWER(Table16[[#This Row],[LocationID (Computed)]]&amp;Table16[[#This Row],[Agency (Computed)]]&amp;Table16[[#This Row],[SubName (Computed)]]&amp;Table16[[#This Row],[Purpose]]&amp;Table16[[#This Row],[Instance]])</f>
        <v>vaslgstoragedba</v>
      </c>
      <c r="D46">
        <f>LEN(Table16[[#This Row],[Name (Computed) ]])</f>
        <v>15</v>
      </c>
      <c r="E46" t="s">
        <v>294</v>
      </c>
      <c r="F46" t="str">
        <f>VLOOKUP(Table16[[#This Row],[SubID]], Subscriptions[#All], 7, FALSE)</f>
        <v>Storage</v>
      </c>
      <c r="G46" t="str">
        <f>VLOOKUP(Table16[[#This Row],[SubID]], Subscriptions[#All], 4, FALSE)</f>
        <v>SLG</v>
      </c>
      <c r="H46" t="s">
        <v>278</v>
      </c>
      <c r="I46" t="s">
        <v>776</v>
      </c>
      <c r="J46" t="s">
        <v>487</v>
      </c>
      <c r="K46" t="s">
        <v>306</v>
      </c>
      <c r="L46" t="str">
        <f>VLOOKUP(Table16[[#This Row],[SiteID]], Locations[#All], 3, FALSE)</f>
        <v>va</v>
      </c>
      <c r="M46" t="str">
        <f>VLOOKUP(Table16[[#This Row],[SiteID]], Locations[#All], 4, FALSE)</f>
        <v>USGov Virginia</v>
      </c>
      <c r="N46" t="s">
        <v>150</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"vaslgstoragedba" -Location "USGov Virginia" -Description "Used to host Images" -Type "Premium_LRS"</v>
      </c>
    </row>
    <row r="47" spans="1:15" x14ac:dyDescent="0.45">
      <c r="A47" t="s">
        <v>354</v>
      </c>
      <c r="B47" t="s">
        <v>322</v>
      </c>
      <c r="C47" t="str">
        <f>LOWER(Table16[[#This Row],[LocationID (Computed)]]&amp;Table16[[#This Row],[Agency (Computed)]]&amp;Table16[[#This Row],[SubName (Computed)]]&amp;Table16[[#This Row],[Purpose]]&amp;Table16[[#This Row],[Instance]])</f>
        <v>iaslgstoragedba</v>
      </c>
      <c r="D47">
        <f>LEN(Table16[[#This Row],[Name (Computed) ]])</f>
        <v>15</v>
      </c>
      <c r="E47" t="s">
        <v>295</v>
      </c>
      <c r="F47" t="str">
        <f>VLOOKUP(Table16[[#This Row],[SubID]], Subscriptions[#All], 7, FALSE)</f>
        <v>Storage</v>
      </c>
      <c r="G47" t="str">
        <f>VLOOKUP(Table16[[#This Row],[SubID]], Subscriptions[#All], 4, FALSE)</f>
        <v>SLG</v>
      </c>
      <c r="H47" t="s">
        <v>278</v>
      </c>
      <c r="I47" t="s">
        <v>776</v>
      </c>
      <c r="J47" t="s">
        <v>487</v>
      </c>
      <c r="K47" t="s">
        <v>564</v>
      </c>
      <c r="L47" t="str">
        <f>VLOOKUP(Table16[[#This Row],[SiteID]], Locations[#All], 3, FALSE)</f>
        <v>ia</v>
      </c>
      <c r="M47" t="str">
        <f>VLOOKUP(Table16[[#This Row],[SiteID]], Locations[#All], 4, FALSE)</f>
        <v>USGov Iowa</v>
      </c>
      <c r="N47" t="s">
        <v>150</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"iaslgstoragedba" -Location "USGov Iowa" -Description "Used to Host Data" -Type "Premium_LRS"</v>
      </c>
    </row>
    <row r="48" spans="1:15" x14ac:dyDescent="0.45">
      <c r="A48" t="s">
        <v>329</v>
      </c>
      <c r="B48" t="s">
        <v>322</v>
      </c>
      <c r="C48" t="str">
        <f>LOWER(Table16[[#This Row],[LocationID (Computed)]]&amp;Table16[[#This Row],[Agency (Computed)]]&amp;Table16[[#This Row],[SubName (Computed)]]&amp;Table16[[#This Row],[Purpose]]&amp;Table16[[#This Row],[Instance]])</f>
        <v>vaslgstorageimagesa</v>
      </c>
      <c r="D48">
        <f>LEN(Table16[[#This Row],[Name (Computed) ]])</f>
        <v>19</v>
      </c>
      <c r="E48" t="s">
        <v>327</v>
      </c>
      <c r="F48" t="str">
        <f>VLOOKUP(Table16[[#This Row],[SubID]], Subscriptions[#All], 7, FALSE)</f>
        <v>Storage</v>
      </c>
      <c r="G48" t="str">
        <f>VLOOKUP(Table16[[#This Row],[SubID]], Subscriptions[#All], 4, FALSE)</f>
        <v>SLG</v>
      </c>
      <c r="H48" t="s">
        <v>278</v>
      </c>
      <c r="I48" t="s">
        <v>571</v>
      </c>
      <c r="J48" t="s">
        <v>292</v>
      </c>
      <c r="K48" t="s">
        <v>306</v>
      </c>
      <c r="L48" t="str">
        <f>VLOOKUP(Table16[[#This Row],[SiteID]], Locations[#All], 3, FALSE)</f>
        <v>va</v>
      </c>
      <c r="M48" t="str">
        <f>VLOOKUP(Table16[[#This Row],[SiteID]], Locations[#All], 4, FALSE)</f>
        <v>USGov Virginia</v>
      </c>
      <c r="N48" t="s">
        <v>150</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"vaslgstorageimagesa" -Location "USGov Virginia" -Description "On premise connected to Azure Storage" -Type "Standard_LRS"</v>
      </c>
    </row>
    <row r="49" spans="1:15" x14ac:dyDescent="0.45">
      <c r="A49" t="s">
        <v>334</v>
      </c>
      <c r="B49" t="s">
        <v>322</v>
      </c>
      <c r="C49" t="str">
        <f>LOWER(Table16[[#This Row],[LocationID (Computed)]]&amp;Table16[[#This Row],[Agency (Computed)]]&amp;Table16[[#This Row],[SubName (Computed)]]&amp;Table16[[#This Row],[Purpose]]&amp;Table16[[#This Row],[Instance]])</f>
        <v>iaslgstorageimagesa</v>
      </c>
      <c r="D49">
        <f>LEN(Table16[[#This Row],[Name (Computed) ]])</f>
        <v>19</v>
      </c>
      <c r="E49" t="s">
        <v>290</v>
      </c>
      <c r="F49" t="str">
        <f>VLOOKUP(Table16[[#This Row],[SubID]], Subscriptions[#All], 7, FALSE)</f>
        <v>Storage</v>
      </c>
      <c r="G49" t="str">
        <f>VLOOKUP(Table16[[#This Row],[SubID]], Subscriptions[#All], 4, FALSE)</f>
        <v>SLG</v>
      </c>
      <c r="H49" t="s">
        <v>278</v>
      </c>
      <c r="I49" t="s">
        <v>571</v>
      </c>
      <c r="J49" t="s">
        <v>292</v>
      </c>
      <c r="K49" t="s">
        <v>564</v>
      </c>
      <c r="L49" t="str">
        <f>VLOOKUP(Table16[[#This Row],[SiteID]], Locations[#All], 3, FALSE)</f>
        <v>ia</v>
      </c>
      <c r="M49" t="str">
        <f>VLOOKUP(Table16[[#This Row],[SiteID]], Locations[#All], 4, FALSE)</f>
        <v>USGov Iowa</v>
      </c>
      <c r="N49" t="s">
        <v>150</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"iaslgstorageimagesa" -Location "USGov Iowa" -Description "This storage account in the Services Subscription is used to host VHD's for Virtual Machines" -Type "Standard_LRS"</v>
      </c>
    </row>
    <row r="50" spans="1:15" x14ac:dyDescent="0.45">
      <c r="A50" t="s">
        <v>367</v>
      </c>
      <c r="B50" t="s">
        <v>322</v>
      </c>
      <c r="C50" t="str">
        <f>LOWER(Table16[[#This Row],[LocationID (Computed)]]&amp;Table16[[#This Row],[Agency (Computed)]]&amp;Table16[[#This Row],[SubName (Computed)]]&amp;Table16[[#This Row],[Purpose]]&amp;Table16[[#This Row],[Instance]])</f>
        <v>vaslgstorageonprembackupa</v>
      </c>
      <c r="D50">
        <f>LEN(Table16[[#This Row],[Name (Computed) ]])</f>
        <v>25</v>
      </c>
      <c r="E50" t="s">
        <v>294</v>
      </c>
      <c r="F50" t="str">
        <f>VLOOKUP(Table16[[#This Row],[SubID]], Subscriptions[#All], 7, FALSE)</f>
        <v>Storage</v>
      </c>
      <c r="G50" t="str">
        <f>VLOOKUP(Table16[[#This Row],[SubID]], Subscriptions[#All], 4, FALSE)</f>
        <v>SLG</v>
      </c>
      <c r="H50" t="s">
        <v>278</v>
      </c>
      <c r="I50" t="s">
        <v>774</v>
      </c>
      <c r="J50" t="s">
        <v>777</v>
      </c>
      <c r="K50" t="s">
        <v>306</v>
      </c>
      <c r="L50" t="str">
        <f>VLOOKUP(Table16[[#This Row],[SiteID]], Locations[#All], 3, FALSE)</f>
        <v>va</v>
      </c>
      <c r="M50" t="str">
        <f>VLOOKUP(Table16[[#This Row],[SiteID]], Locations[#All], 4, FALSE)</f>
        <v>USGov Virginia</v>
      </c>
      <c r="N50" t="s">
        <v>150</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"vaslgstorageonprembackupa" -Location "USGov Virginia" -Description "Used to host Images" -Type "Standard_GRS"</v>
      </c>
    </row>
    <row r="51" spans="1:15" x14ac:dyDescent="0.45">
      <c r="A51" t="s">
        <v>368</v>
      </c>
      <c r="B51" t="s">
        <v>322</v>
      </c>
      <c r="C51" t="str">
        <f>LOWER(Table16[[#This Row],[LocationID (Computed)]]&amp;Table16[[#This Row],[Agency (Computed)]]&amp;Table16[[#This Row],[SubName (Computed)]]&amp;Table16[[#This Row],[Purpose]]&amp;Table16[[#This Row],[Instance]])</f>
        <v>iaslgstorageonprembackupa</v>
      </c>
      <c r="D51">
        <f>LEN(Table16[[#This Row],[Name (Computed) ]])</f>
        <v>25</v>
      </c>
      <c r="E51" t="s">
        <v>295</v>
      </c>
      <c r="F51" t="str">
        <f>VLOOKUP(Table16[[#This Row],[SubID]], Subscriptions[#All], 7, FALSE)</f>
        <v>Storage</v>
      </c>
      <c r="G51" t="str">
        <f>VLOOKUP(Table16[[#This Row],[SubID]], Subscriptions[#All], 4, FALSE)</f>
        <v>SLG</v>
      </c>
      <c r="H51" t="s">
        <v>278</v>
      </c>
      <c r="I51" t="s">
        <v>774</v>
      </c>
      <c r="J51" t="s">
        <v>777</v>
      </c>
      <c r="K51" t="s">
        <v>564</v>
      </c>
      <c r="L51" t="str">
        <f>VLOOKUP(Table16[[#This Row],[SiteID]], Locations[#All], 3, FALSE)</f>
        <v>ia</v>
      </c>
      <c r="M51" t="str">
        <f>VLOOKUP(Table16[[#This Row],[SiteID]], Locations[#All], 4, FALSE)</f>
        <v>USGov Iowa</v>
      </c>
      <c r="N51" t="s">
        <v>150</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"iaslgstorageonprembackupa" -Location "USGov Iowa" -Description "Used to Host Data" -Type "Standard_GRS"</v>
      </c>
    </row>
    <row r="52" spans="1:15" x14ac:dyDescent="0.45">
      <c r="A52" t="s">
        <v>369</v>
      </c>
      <c r="B52" t="s">
        <v>322</v>
      </c>
      <c r="C52" t="str">
        <f>LOWER(Table16[[#This Row],[LocationID (Computed)]]&amp;Table16[[#This Row],[Agency (Computed)]]&amp;Table16[[#This Row],[SubName (Computed)]]&amp;Table16[[#This Row],[Purpose]]&amp;Table16[[#This Row],[Instance]])</f>
        <v>vaslgstorageonpremhybrida</v>
      </c>
      <c r="D52">
        <f>LEN(Table16[[#This Row],[Name (Computed) ]])</f>
        <v>25</v>
      </c>
      <c r="E52" t="s">
        <v>327</v>
      </c>
      <c r="F52" t="str">
        <f>VLOOKUP(Table16[[#This Row],[SubID]], Subscriptions[#All], 7, FALSE)</f>
        <v>Storage</v>
      </c>
      <c r="G52" t="str">
        <f>VLOOKUP(Table16[[#This Row],[SubID]], Subscriptions[#All], 4, FALSE)</f>
        <v>SLG</v>
      </c>
      <c r="H52" t="s">
        <v>278</v>
      </c>
      <c r="I52" t="s">
        <v>774</v>
      </c>
      <c r="J52" t="s">
        <v>778</v>
      </c>
      <c r="K52" t="s">
        <v>306</v>
      </c>
      <c r="L52" t="str">
        <f>VLOOKUP(Table16[[#This Row],[SiteID]], Locations[#All], 3, FALSE)</f>
        <v>va</v>
      </c>
      <c r="M52" t="str">
        <f>VLOOKUP(Table16[[#This Row],[SiteID]], Locations[#All], 4, FALSE)</f>
        <v>USGov Virginia</v>
      </c>
      <c r="N52" t="s">
        <v>150</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"vaslgstorageonpremhybrida" -Location "USGov Virginia" -Description "On premise connected to Azure Storage" -Type "Standard_GRS"</v>
      </c>
    </row>
    <row r="53" spans="1:15" x14ac:dyDescent="0.45">
      <c r="A53" t="s">
        <v>370</v>
      </c>
      <c r="B53" t="s">
        <v>322</v>
      </c>
      <c r="C53" t="str">
        <f>LOWER(Table16[[#This Row],[LocationID (Computed)]]&amp;Table16[[#This Row],[Agency (Computed)]]&amp;Table16[[#This Row],[SubName (Computed)]]&amp;Table16[[#This Row],[Purpose]]&amp;Table16[[#This Row],[Instance]])</f>
        <v>iaslgstorageonpremhybrida</v>
      </c>
      <c r="D53">
        <f>LEN(Table16[[#This Row],[Name (Computed) ]])</f>
        <v>25</v>
      </c>
      <c r="E53" t="s">
        <v>290</v>
      </c>
      <c r="F53" t="str">
        <f>VLOOKUP(Table16[[#This Row],[SubID]], Subscriptions[#All], 7, FALSE)</f>
        <v>Storage</v>
      </c>
      <c r="G53" t="str">
        <f>VLOOKUP(Table16[[#This Row],[SubID]], Subscriptions[#All], 4, FALSE)</f>
        <v>SLG</v>
      </c>
      <c r="H53" t="s">
        <v>278</v>
      </c>
      <c r="I53" t="s">
        <v>774</v>
      </c>
      <c r="J53" t="s">
        <v>778</v>
      </c>
      <c r="K53" t="s">
        <v>564</v>
      </c>
      <c r="L53" t="str">
        <f>VLOOKUP(Table16[[#This Row],[SiteID]], Locations[#All], 3, FALSE)</f>
        <v>ia</v>
      </c>
      <c r="M53" t="str">
        <f>VLOOKUP(Table16[[#This Row],[SiteID]], Locations[#All], 4, FALSE)</f>
        <v>USGov Iowa</v>
      </c>
      <c r="N53" t="s">
        <v>150</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"iaslgstorageonpremhybrida" -Location "USGov Iowa" -Description "This storage account in the Services Subscription is used to host VHD's for Virtual Machines" -Type "Standard_GRS"</v>
      </c>
    </row>
    <row r="54" spans="1:15" x14ac:dyDescent="0.45">
      <c r="A54" t="s">
        <v>281</v>
      </c>
      <c r="B54" t="s">
        <v>322</v>
      </c>
      <c r="C54" t="str">
        <f>LOWER(Table16[[#This Row],[LocationID (Computed)]]&amp;Table16[[#This Row],[Agency (Computed)]]&amp;Table16[[#This Row],[SubName (Computed)]]&amp;Table16[[#This Row],[Purpose]]&amp;Table16[[#This Row],[Instance]])</f>
        <v>vaslgstorageosa</v>
      </c>
      <c r="D54">
        <f>LEN(Table16[[#This Row],[Name (Computed) ]])</f>
        <v>15</v>
      </c>
      <c r="E54" t="s">
        <v>294</v>
      </c>
      <c r="F54" t="str">
        <f>VLOOKUP(Table16[[#This Row],[SubID]], Subscriptions[#All], 7, FALSE)</f>
        <v>Storage</v>
      </c>
      <c r="G54" t="str">
        <f>VLOOKUP(Table16[[#This Row],[SubID]], Subscriptions[#All], 4, FALSE)</f>
        <v>SLG</v>
      </c>
      <c r="H54" t="s">
        <v>278</v>
      </c>
      <c r="I54" t="s">
        <v>571</v>
      </c>
      <c r="J54" t="s">
        <v>191</v>
      </c>
      <c r="K54" t="s">
        <v>306</v>
      </c>
      <c r="L54" t="str">
        <f>VLOOKUP(Table16[[#This Row],[SiteID]], Locations[#All], 3, FALSE)</f>
        <v>va</v>
      </c>
      <c r="M54" t="str">
        <f>VLOOKUP(Table16[[#This Row],[SiteID]], Locations[#All], 4, FALSE)</f>
        <v>USGov Virginia</v>
      </c>
      <c r="N54" t="s">
        <v>150</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"vaslgstorageosa" -Location "USGov Virginia" -Description "Used to host Images" -Type "Standard_LRS"</v>
      </c>
    </row>
    <row r="55" spans="1:15" x14ac:dyDescent="0.45">
      <c r="A55" t="s">
        <v>286</v>
      </c>
      <c r="B55" t="s">
        <v>322</v>
      </c>
      <c r="C55" t="str">
        <f>LOWER(Table16[[#This Row],[LocationID (Computed)]]&amp;Table16[[#This Row],[Agency (Computed)]]&amp;Table16[[#This Row],[SubName (Computed)]]&amp;Table16[[#This Row],[Purpose]]&amp;Table16[[#This Row],[Instance]])</f>
        <v>iaslgstorageosa</v>
      </c>
      <c r="D55">
        <f>LEN(Table16[[#This Row],[Name (Computed) ]])</f>
        <v>15</v>
      </c>
      <c r="E55" t="s">
        <v>295</v>
      </c>
      <c r="F55" t="str">
        <f>VLOOKUP(Table16[[#This Row],[SubID]], Subscriptions[#All], 7, FALSE)</f>
        <v>Storage</v>
      </c>
      <c r="G55" t="str">
        <f>VLOOKUP(Table16[[#This Row],[SubID]], Subscriptions[#All], 4, FALSE)</f>
        <v>SLG</v>
      </c>
      <c r="H55" t="s">
        <v>278</v>
      </c>
      <c r="I55" t="s">
        <v>571</v>
      </c>
      <c r="J55" t="s">
        <v>191</v>
      </c>
      <c r="K55" t="s">
        <v>564</v>
      </c>
      <c r="L55" t="str">
        <f>VLOOKUP(Table16[[#This Row],[SiteID]], Locations[#All], 3, FALSE)</f>
        <v>ia</v>
      </c>
      <c r="M55" t="str">
        <f>VLOOKUP(Table16[[#This Row],[SiteID]], Locations[#All], 4, FALSE)</f>
        <v>USGov Iowa</v>
      </c>
      <c r="N55" t="s">
        <v>150</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"iaslgstorageosa" -Location "USGov Iowa" -Description "Used to Host Data" -Type "Standard_LRS"</v>
      </c>
    </row>
    <row r="56" spans="1:15" x14ac:dyDescent="0.45">
      <c r="A56" t="s">
        <v>365</v>
      </c>
      <c r="B56" t="s">
        <v>322</v>
      </c>
      <c r="C56" t="str">
        <f>LOWER(Table16[[#This Row],[LocationID (Computed)]]&amp;Table16[[#This Row],[Agency (Computed)]]&amp;Table16[[#This Row],[SubName (Computed)]]&amp;Table16[[#This Row],[Purpose]]&amp;Table16[[#This Row],[Instance]])</f>
        <v>vaslgstoragestorsimplea</v>
      </c>
      <c r="D56">
        <f>LEN(Table16[[#This Row],[Name (Computed) ]])</f>
        <v>23</v>
      </c>
      <c r="E56" t="s">
        <v>327</v>
      </c>
      <c r="F56" t="str">
        <f>VLOOKUP(Table16[[#This Row],[SubID]], Subscriptions[#All], 7, FALSE)</f>
        <v>Storage</v>
      </c>
      <c r="G56" t="str">
        <f>VLOOKUP(Table16[[#This Row],[SubID]], Subscriptions[#All], 4, FALSE)</f>
        <v>SLG</v>
      </c>
      <c r="H56" t="s">
        <v>278</v>
      </c>
      <c r="I56" t="s">
        <v>774</v>
      </c>
      <c r="J56" t="s">
        <v>565</v>
      </c>
      <c r="K56" t="s">
        <v>306</v>
      </c>
      <c r="L56" t="str">
        <f>VLOOKUP(Table16[[#This Row],[SiteID]], Locations[#All], 3, FALSE)</f>
        <v>va</v>
      </c>
      <c r="M56" t="str">
        <f>VLOOKUP(Table16[[#This Row],[SiteID]], Locations[#All], 4, FALSE)</f>
        <v>USGov Virginia</v>
      </c>
      <c r="N56" t="s">
        <v>150</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"vaslgstoragestorsimplea" -Location "USGov Virginia" -Description "On premise connected to Azure Storage" -Type "Standard_GRS"</v>
      </c>
    </row>
    <row r="57" spans="1:15" x14ac:dyDescent="0.45">
      <c r="A57" t="s">
        <v>366</v>
      </c>
      <c r="B57" t="s">
        <v>322</v>
      </c>
      <c r="C57" t="str">
        <f>LOWER(Table16[[#This Row],[LocationID (Computed)]]&amp;Table16[[#This Row],[Agency (Computed)]]&amp;Table16[[#This Row],[SubName (Computed)]]&amp;Table16[[#This Row],[Purpose]]&amp;Table16[[#This Row],[Instance]])</f>
        <v>iaslgstoragestorsimplea</v>
      </c>
      <c r="D57">
        <f>LEN(Table16[[#This Row],[Name (Computed) ]])</f>
        <v>23</v>
      </c>
      <c r="E57" t="s">
        <v>290</v>
      </c>
      <c r="F57" t="str">
        <f>VLOOKUP(Table16[[#This Row],[SubID]], Subscriptions[#All], 7, FALSE)</f>
        <v>Storage</v>
      </c>
      <c r="G57" t="str">
        <f>VLOOKUP(Table16[[#This Row],[SubID]], Subscriptions[#All], 4, FALSE)</f>
        <v>SLG</v>
      </c>
      <c r="H57" t="s">
        <v>278</v>
      </c>
      <c r="I57" t="s">
        <v>774</v>
      </c>
      <c r="J57" t="s">
        <v>565</v>
      </c>
      <c r="K57" t="s">
        <v>564</v>
      </c>
      <c r="L57" t="str">
        <f>VLOOKUP(Table16[[#This Row],[SiteID]], Locations[#All], 3, FALSE)</f>
        <v>ia</v>
      </c>
      <c r="M57" t="str">
        <f>VLOOKUP(Table16[[#This Row],[SiteID]], Locations[#All], 4, FALSE)</f>
        <v>USGov Iowa</v>
      </c>
      <c r="N57" t="s">
        <v>150</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"iaslgstoragestorsimplea"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779</v>
      </c>
      <c r="B1" s="35" t="s">
        <v>581</v>
      </c>
      <c r="C1" s="34" t="s">
        <v>111</v>
      </c>
      <c r="D1" s="34" t="s">
        <v>648</v>
      </c>
      <c r="E1" s="32" t="s">
        <v>0</v>
      </c>
      <c r="F1" s="34" t="s">
        <v>233</v>
      </c>
      <c r="G1" s="35" t="s">
        <v>646</v>
      </c>
      <c r="H1" s="35" t="s">
        <v>647</v>
      </c>
      <c r="I1" s="34" t="s">
        <v>781</v>
      </c>
      <c r="J1" s="35" t="s">
        <v>103</v>
      </c>
      <c r="K1" s="34" t="s">
        <v>780</v>
      </c>
      <c r="L1" s="35" t="s">
        <v>234</v>
      </c>
      <c r="M1" s="34" t="s">
        <v>105</v>
      </c>
      <c r="N1" s="35" t="s">
        <v>235</v>
      </c>
      <c r="O1" s="34" t="s">
        <v>108</v>
      </c>
      <c r="P1" s="35" t="s">
        <v>236</v>
      </c>
      <c r="Q1" s="35" t="s">
        <v>238</v>
      </c>
      <c r="R1" s="34" t="s">
        <v>239</v>
      </c>
      <c r="S1" s="35" t="s">
        <v>106</v>
      </c>
      <c r="T1" s="34" t="s">
        <v>107</v>
      </c>
      <c r="U1" s="35" t="s">
        <v>248</v>
      </c>
      <c r="V1" s="35" t="s">
        <v>240</v>
      </c>
      <c r="W1" s="34" t="s">
        <v>246</v>
      </c>
      <c r="X1" s="34" t="s">
        <v>245</v>
      </c>
      <c r="Y1" s="34" t="s">
        <v>241</v>
      </c>
      <c r="Z1" s="35" t="s">
        <v>242</v>
      </c>
      <c r="AA1" s="34" t="s">
        <v>243</v>
      </c>
      <c r="AB1" s="35" t="s">
        <v>244</v>
      </c>
      <c r="AC1" s="35" t="s">
        <v>109</v>
      </c>
      <c r="AD1" s="35" t="s">
        <v>110</v>
      </c>
      <c r="AE1" s="34" t="s">
        <v>247</v>
      </c>
      <c r="AF1" s="34" t="s">
        <v>249</v>
      </c>
      <c r="AG1" s="34" t="s">
        <v>250</v>
      </c>
      <c r="AH1" s="34" t="s">
        <v>112</v>
      </c>
    </row>
    <row r="2" spans="1:34" x14ac:dyDescent="0.45">
      <c r="A2" t="s">
        <v>392</v>
      </c>
      <c r="B2" t="s">
        <v>587</v>
      </c>
      <c r="C2" t="e">
        <f>Users[[#This Row],[DepartmentName (Computed)]]&amp;"_"&amp;Users[[#This Row],[AccountName (Computed)]]&amp;"_"&amp;E2</f>
        <v>#N/A</v>
      </c>
      <c r="E2" t="s">
        <v>548</v>
      </c>
      <c r="G2" t="e">
        <f>VLOOKUP(Users[[#This Row],[DeptID]], Departments[#All], 2)</f>
        <v>#N/A</v>
      </c>
      <c r="H2" t="e">
        <f>VLOOKUP(Users[[#This Row],[DeptID]], Departments[#All], 4)</f>
        <v>#N/A</v>
      </c>
      <c r="I2" t="s">
        <v>634</v>
      </c>
      <c r="J2" t="s">
        <v>297</v>
      </c>
      <c r="K2" t="e">
        <f>VLOOKUP(Users[[#This Row],[DeptID]], Departments[#All],3)</f>
        <v>#N/A</v>
      </c>
      <c r="L2" t="e">
        <f>Users[[#This Row],[DepartmentName (Computed)]]&amp;"_"&amp;Users[[#This Row],[Title]]</f>
        <v>#N/A</v>
      </c>
      <c r="M2" t="e">
        <f>Users[[#This Row],[username]]&amp;"@"&amp;Users[[#This Row],[Tenant ]]</f>
        <v>#N/A</v>
      </c>
      <c r="P2" t="s">
        <v>237</v>
      </c>
    </row>
    <row r="3" spans="1:34" x14ac:dyDescent="0.45">
      <c r="A3" t="s">
        <v>393</v>
      </c>
      <c r="B3" t="s">
        <v>635</v>
      </c>
      <c r="C3" t="str">
        <f>Users[[#This Row],[DepartmentName (Computed)]]&amp;"_"&amp;Users[[#This Row],[AccountName (Computed)]]&amp;"_"&amp;E3</f>
        <v>SLG_Sandbox_DA</v>
      </c>
      <c r="E3" t="s">
        <v>548</v>
      </c>
      <c r="G3" t="str">
        <f>VLOOKUP(Users[[#This Row],[DeptID]], Departments[#All], 2)</f>
        <v>SLG</v>
      </c>
      <c r="H3" t="str">
        <f>VLOOKUP(Users[[#This Row],[DeptID]], Departments[#All], 4)</f>
        <v>Sandbox</v>
      </c>
      <c r="I3" t="s">
        <v>634</v>
      </c>
      <c r="J3" t="s">
        <v>297</v>
      </c>
      <c r="K3" t="str">
        <f>VLOOKUP(Users[[#This Row],[DeptID]], Departments[#All],3)</f>
        <v xml:space="preserve">State and Local Government </v>
      </c>
      <c r="L3" t="str">
        <f>Users[[#This Row],[DepartmentName (Computed)]]&amp;"_"&amp;Users[[#This Row],[Title]]</f>
        <v>SLG_DA</v>
      </c>
      <c r="M3" t="str">
        <f>Users[[#This Row],[username]]&amp;"@"&amp;Users[[#This Row],[Tenant ]]</f>
        <v>SLG_Sandbox_DA@&lt;tenant&gt;.onmicrosoft.com</v>
      </c>
      <c r="P3" t="s">
        <v>237</v>
      </c>
    </row>
    <row r="4" spans="1:34" x14ac:dyDescent="0.45">
      <c r="A4" t="s">
        <v>394</v>
      </c>
      <c r="B4" t="s">
        <v>587</v>
      </c>
      <c r="C4" t="e">
        <f>Users[[#This Row],[DepartmentName (Computed)]]&amp;"_"&amp;Users[[#This Row],[AccountName (Computed)]]&amp;"_"&amp;E4</f>
        <v>#N/A</v>
      </c>
      <c r="E4" t="s">
        <v>549</v>
      </c>
      <c r="G4" t="e">
        <f>VLOOKUP(Users[[#This Row],[DeptID]], Departments[#All], 2)</f>
        <v>#N/A</v>
      </c>
      <c r="H4" t="e">
        <f>VLOOKUP(Users[[#This Row],[DeptID]], Departments[#All], 4)</f>
        <v>#N/A</v>
      </c>
      <c r="I4" t="s">
        <v>634</v>
      </c>
      <c r="J4" t="s">
        <v>297</v>
      </c>
      <c r="K4" t="e">
        <f>VLOOKUP(Users[[#This Row],[DeptID]], Departments[#All],3)</f>
        <v>#N/A</v>
      </c>
      <c r="L4" t="e">
        <f>Users[[#This Row],[DepartmentName (Computed)]]&amp;"_"&amp;Users[[#This Row],[Title]]</f>
        <v>#N/A</v>
      </c>
      <c r="M4" t="e">
        <f>Users[[#This Row],[username]]&amp;"@"&amp;Users[[#This Row],[Tenant ]]</f>
        <v>#N/A</v>
      </c>
      <c r="P4" t="s">
        <v>237</v>
      </c>
    </row>
    <row r="5" spans="1:34" x14ac:dyDescent="0.45">
      <c r="A5" t="s">
        <v>395</v>
      </c>
      <c r="B5" t="s">
        <v>635</v>
      </c>
      <c r="C5" t="str">
        <f>Users[[#This Row],[DepartmentName (Computed)]]&amp;"_"&amp;Users[[#This Row],[AccountName (Computed)]]&amp;"_"&amp;E5</f>
        <v>SLG_Sandbox_AA</v>
      </c>
      <c r="E5" t="s">
        <v>549</v>
      </c>
      <c r="G5" t="str">
        <f>VLOOKUP(Users[[#This Row],[DeptID]], Departments[#All], 2)</f>
        <v>SLG</v>
      </c>
      <c r="H5" t="str">
        <f>VLOOKUP(Users[[#This Row],[DeptID]], Departments[#All], 4)</f>
        <v>Sandbox</v>
      </c>
      <c r="I5" t="s">
        <v>634</v>
      </c>
      <c r="J5" t="s">
        <v>297</v>
      </c>
      <c r="K5" t="str">
        <f>VLOOKUP(Users[[#This Row],[DeptID]], Departments[#All],3)</f>
        <v xml:space="preserve">State and Local Government </v>
      </c>
      <c r="L5" t="str">
        <f>Users[[#This Row],[DepartmentName (Computed)]]&amp;"_"&amp;Users[[#This Row],[Title]]</f>
        <v>SLG_AA</v>
      </c>
      <c r="M5" t="str">
        <f>Users[[#This Row],[username]]&amp;"@"&amp;Users[[#This Row],[Tenant ]]</f>
        <v>SLG_Sandbox_AA@&lt;tenant&gt;.onmicrosoft.com</v>
      </c>
      <c r="P5" t="s">
        <v>237</v>
      </c>
    </row>
    <row r="6" spans="1:34" x14ac:dyDescent="0.45">
      <c r="A6" t="s">
        <v>828</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829</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807</v>
      </c>
      <c r="B1" t="s">
        <v>808</v>
      </c>
      <c r="C1" t="s">
        <v>809</v>
      </c>
    </row>
    <row r="2" spans="1:3" x14ac:dyDescent="0.45">
      <c r="A2" t="s">
        <v>817</v>
      </c>
      <c r="B2" t="s">
        <v>824</v>
      </c>
    </row>
    <row r="3" spans="1:3" x14ac:dyDescent="0.45">
      <c r="A3" t="s">
        <v>818</v>
      </c>
      <c r="B3" t="s">
        <v>825</v>
      </c>
    </row>
    <row r="4" spans="1:3" x14ac:dyDescent="0.45">
      <c r="A4" t="s">
        <v>819</v>
      </c>
      <c r="B4" t="s">
        <v>826</v>
      </c>
    </row>
    <row r="5" spans="1:3" x14ac:dyDescent="0.45">
      <c r="A5" t="s">
        <v>820</v>
      </c>
      <c r="B5" t="s">
        <v>827</v>
      </c>
    </row>
    <row r="6" spans="1:3" x14ac:dyDescent="0.45">
      <c r="A6" t="s">
        <v>821</v>
      </c>
      <c r="B6" t="s">
        <v>928</v>
      </c>
    </row>
    <row r="7" spans="1:3" x14ac:dyDescent="0.45">
      <c r="A7" t="s">
        <v>822</v>
      </c>
      <c r="B7" t="s">
        <v>36</v>
      </c>
    </row>
    <row r="8" spans="1:3" x14ac:dyDescent="0.45">
      <c r="A8" t="s">
        <v>823</v>
      </c>
      <c r="B8" t="s">
        <v>927</v>
      </c>
    </row>
    <row r="9" spans="1:3" x14ac:dyDescent="0.45">
      <c r="B9" t="s">
        <v>937</v>
      </c>
    </row>
    <row r="10" spans="1:3" x14ac:dyDescent="0.45">
      <c r="B10" t="s">
        <v>938</v>
      </c>
    </row>
    <row r="11" spans="1:3" x14ac:dyDescent="0.45">
      <c r="B11" t="s">
        <v>939</v>
      </c>
    </row>
    <row r="12" spans="1:3" x14ac:dyDescent="0.45">
      <c r="B12" t="s">
        <v>940</v>
      </c>
    </row>
    <row r="13" spans="1:3" x14ac:dyDescent="0.45">
      <c r="B13" t="s">
        <v>941</v>
      </c>
    </row>
    <row r="14" spans="1:3" x14ac:dyDescent="0.45">
      <c r="B14" t="s">
        <v>942</v>
      </c>
    </row>
    <row r="15" spans="1:3" x14ac:dyDescent="0.45">
      <c r="B15" t="s">
        <v>943</v>
      </c>
    </row>
    <row r="16" spans="1:3" x14ac:dyDescent="0.45">
      <c r="B16" t="s">
        <v>944</v>
      </c>
    </row>
    <row r="17" spans="2:2" x14ac:dyDescent="0.45">
      <c r="B17" t="s">
        <v>945</v>
      </c>
    </row>
    <row r="18" spans="2:2" x14ac:dyDescent="0.45">
      <c r="B18" t="s">
        <v>946</v>
      </c>
    </row>
    <row r="19" spans="2:2" x14ac:dyDescent="0.45">
      <c r="B19" t="s">
        <v>947</v>
      </c>
    </row>
    <row r="20" spans="2:2" x14ac:dyDescent="0.45">
      <c r="B20" t="s">
        <v>948</v>
      </c>
    </row>
    <row r="21" spans="2:2" x14ac:dyDescent="0.45">
      <c r="B21" t="s">
        <v>949</v>
      </c>
    </row>
    <row r="22" spans="2:2" x14ac:dyDescent="0.45">
      <c r="B22" t="s">
        <v>928</v>
      </c>
    </row>
    <row r="23" spans="2:2" x14ac:dyDescent="0.45">
      <c r="B23" t="s">
        <v>950</v>
      </c>
    </row>
    <row r="24" spans="2:2" x14ac:dyDescent="0.45">
      <c r="B24" t="s">
        <v>951</v>
      </c>
    </row>
    <row r="25" spans="2:2" x14ac:dyDescent="0.45">
      <c r="B25" t="s">
        <v>952</v>
      </c>
    </row>
    <row r="26" spans="2:2" x14ac:dyDescent="0.45">
      <c r="B26" t="s">
        <v>953</v>
      </c>
    </row>
    <row r="27" spans="2:2" x14ac:dyDescent="0.45">
      <c r="B27" t="s">
        <v>954</v>
      </c>
    </row>
    <row r="28" spans="2:2" x14ac:dyDescent="0.45">
      <c r="B28" t="s">
        <v>955</v>
      </c>
    </row>
    <row r="29" spans="2:2" x14ac:dyDescent="0.45">
      <c r="B29" t="s">
        <v>956</v>
      </c>
    </row>
    <row r="30" spans="2:2" x14ac:dyDescent="0.45">
      <c r="B30" t="s">
        <v>957</v>
      </c>
    </row>
    <row r="31" spans="2:2" x14ac:dyDescent="0.45">
      <c r="B31" t="s">
        <v>958</v>
      </c>
    </row>
    <row r="32" spans="2:2" x14ac:dyDescent="0.45">
      <c r="B32" t="s">
        <v>959</v>
      </c>
    </row>
    <row r="33" spans="2:2" x14ac:dyDescent="0.45">
      <c r="B33" t="s">
        <v>960</v>
      </c>
    </row>
    <row r="34" spans="2:2" x14ac:dyDescent="0.45">
      <c r="B34" t="s">
        <v>36</v>
      </c>
    </row>
    <row r="35" spans="2:2" x14ac:dyDescent="0.45">
      <c r="B35" t="s">
        <v>927</v>
      </c>
    </row>
    <row r="36" spans="2:2" x14ac:dyDescent="0.45">
      <c r="B36" t="s">
        <v>961</v>
      </c>
    </row>
    <row r="37" spans="2:2" x14ac:dyDescent="0.45">
      <c r="B37" t="s">
        <v>962</v>
      </c>
    </row>
    <row r="38" spans="2:2" x14ac:dyDescent="0.45">
      <c r="B38" t="s">
        <v>963</v>
      </c>
    </row>
    <row r="39" spans="2:2" x14ac:dyDescent="0.45">
      <c r="B39" t="s">
        <v>964</v>
      </c>
    </row>
    <row r="40" spans="2:2" x14ac:dyDescent="0.45">
      <c r="B40" t="s">
        <v>965</v>
      </c>
    </row>
    <row r="41" spans="2:2" x14ac:dyDescent="0.45">
      <c r="B41" t="s">
        <v>966</v>
      </c>
    </row>
    <row r="42" spans="2:2" x14ac:dyDescent="0.45">
      <c r="B42" t="s">
        <v>967</v>
      </c>
    </row>
    <row r="43" spans="2:2" x14ac:dyDescent="0.45">
      <c r="B43" t="s">
        <v>968</v>
      </c>
    </row>
    <row r="44" spans="2:2" x14ac:dyDescent="0.45">
      <c r="B44" t="s">
        <v>969</v>
      </c>
    </row>
    <row r="45" spans="2:2" x14ac:dyDescent="0.45">
      <c r="B45" t="s">
        <v>970</v>
      </c>
    </row>
    <row r="46" spans="2:2" x14ac:dyDescent="0.45">
      <c r="B46" t="s">
        <v>971</v>
      </c>
    </row>
    <row r="47" spans="2:2" x14ac:dyDescent="0.45">
      <c r="B47" t="s">
        <v>972</v>
      </c>
    </row>
    <row r="48" spans="2:2" x14ac:dyDescent="0.45">
      <c r="B48" t="s">
        <v>973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810</v>
      </c>
      <c r="B1" t="s">
        <v>807</v>
      </c>
      <c r="C1" t="s">
        <v>811</v>
      </c>
      <c r="D1" t="s">
        <v>779</v>
      </c>
      <c r="E1" t="s">
        <v>812</v>
      </c>
    </row>
    <row r="2" spans="1:5" x14ac:dyDescent="0.45">
      <c r="A2" t="s">
        <v>813</v>
      </c>
      <c r="B2" t="s">
        <v>36</v>
      </c>
    </row>
    <row r="3" spans="1:5" x14ac:dyDescent="0.45">
      <c r="A3" t="s">
        <v>814</v>
      </c>
      <c r="B3" t="s">
        <v>926</v>
      </c>
    </row>
    <row r="4" spans="1:5" x14ac:dyDescent="0.45">
      <c r="A4" t="s">
        <v>815</v>
      </c>
    </row>
    <row r="5" spans="1:5" x14ac:dyDescent="0.45">
      <c r="A5" t="s">
        <v>816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205</v>
      </c>
      <c r="B1" t="s">
        <v>42</v>
      </c>
      <c r="C1" t="s">
        <v>63</v>
      </c>
      <c r="D1" t="s">
        <v>1</v>
      </c>
      <c r="E1" t="s">
        <v>212</v>
      </c>
    </row>
    <row r="2" spans="1:5" x14ac:dyDescent="0.45">
      <c r="A2" t="s">
        <v>211</v>
      </c>
      <c r="B2">
        <v>3</v>
      </c>
    </row>
    <row r="3" spans="1:5" ht="24" customHeight="1" x14ac:dyDescent="0.45">
      <c r="A3" t="s">
        <v>213</v>
      </c>
      <c r="B3">
        <v>1</v>
      </c>
    </row>
    <row r="4" spans="1:5" x14ac:dyDescent="0.45">
      <c r="A4" t="s">
        <v>214</v>
      </c>
      <c r="B4">
        <v>1</v>
      </c>
    </row>
    <row r="5" spans="1:5" x14ac:dyDescent="0.45">
      <c r="A5" t="s">
        <v>215</v>
      </c>
      <c r="B5">
        <v>2</v>
      </c>
    </row>
    <row r="6" spans="1:5" x14ac:dyDescent="0.45">
      <c r="A6" t="s">
        <v>216</v>
      </c>
      <c r="B6">
        <v>2</v>
      </c>
    </row>
    <row r="7" spans="1:5" x14ac:dyDescent="0.45">
      <c r="A7" t="s">
        <v>217</v>
      </c>
      <c r="B7">
        <v>3</v>
      </c>
    </row>
    <row r="8" spans="1:5" x14ac:dyDescent="0.45">
      <c r="A8" t="s">
        <v>218</v>
      </c>
      <c r="B8">
        <v>3</v>
      </c>
    </row>
    <row r="9" spans="1:5" x14ac:dyDescent="0.45">
      <c r="A9" t="s">
        <v>219</v>
      </c>
    </row>
    <row r="10" spans="1:5" x14ac:dyDescent="0.45">
      <c r="A10" t="s">
        <v>220</v>
      </c>
    </row>
    <row r="11" spans="1:5" x14ac:dyDescent="0.45">
      <c r="A11" t="s">
        <v>221</v>
      </c>
    </row>
    <row r="12" spans="1:5" x14ac:dyDescent="0.45">
      <c r="A12" t="s">
        <v>222</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zoomScaleNormal="100" workbookViewId="0">
      <pane ySplit="1" topLeftCell="A2" activePane="bottomLeft" state="frozen"/>
      <selection pane="bottomLeft" activeCell="A22" sqref="A22"/>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7"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113</v>
      </c>
      <c r="C1" s="16" t="s">
        <v>184</v>
      </c>
      <c r="D1" s="16" t="s">
        <v>1</v>
      </c>
      <c r="E1" s="17" t="s">
        <v>172</v>
      </c>
      <c r="F1" s="17" t="s">
        <v>539</v>
      </c>
      <c r="G1" s="17" t="s">
        <v>538</v>
      </c>
      <c r="H1" s="17" t="s">
        <v>832</v>
      </c>
      <c r="I1" s="18" t="s">
        <v>155</v>
      </c>
      <c r="J1" s="18" t="s">
        <v>537</v>
      </c>
      <c r="K1" s="19" t="s">
        <v>169</v>
      </c>
      <c r="L1" s="20" t="s">
        <v>83</v>
      </c>
      <c r="M1" s="20" t="s">
        <v>84</v>
      </c>
      <c r="N1" s="20" t="s">
        <v>206</v>
      </c>
      <c r="O1" s="20" t="s">
        <v>754</v>
      </c>
      <c r="P1" s="59" t="s">
        <v>38</v>
      </c>
      <c r="Q1" s="54" t="s">
        <v>168</v>
      </c>
      <c r="R1" s="60" t="s">
        <v>784</v>
      </c>
      <c r="S1" s="55" t="s">
        <v>387</v>
      </c>
      <c r="T1" s="58" t="s">
        <v>755</v>
      </c>
      <c r="U1" s="58" t="s">
        <v>756</v>
      </c>
      <c r="V1" s="61" t="s">
        <v>757</v>
      </c>
      <c r="W1" s="50" t="s">
        <v>6</v>
      </c>
      <c r="X1" s="15" t="s">
        <v>305</v>
      </c>
      <c r="Y1" s="52" t="s">
        <v>88</v>
      </c>
      <c r="Z1" s="20" t="s">
        <v>37</v>
      </c>
      <c r="AA1" s="20" t="s">
        <v>304</v>
      </c>
      <c r="AB1" s="20" t="s">
        <v>302</v>
      </c>
      <c r="AC1" s="20" t="s">
        <v>149</v>
      </c>
      <c r="AD1" s="20" t="s">
        <v>193</v>
      </c>
      <c r="AE1" s="20" t="s">
        <v>194</v>
      </c>
      <c r="AF1" s="15" t="s">
        <v>185</v>
      </c>
      <c r="AG1" s="5" t="s">
        <v>298</v>
      </c>
    </row>
    <row r="2" spans="1:33" s="15" customFormat="1" ht="42.75" x14ac:dyDescent="0.45">
      <c r="A2" t="s">
        <v>253</v>
      </c>
      <c r="B2" s="15" t="s">
        <v>148</v>
      </c>
      <c r="C2" s="24" t="str">
        <f>LOWER(VMs[[#This Row],[SiteID (Computed)]] &amp;VMs[[#This Row],[Class]]&amp; VMs[[#This Row],[Function]]&amp;VMs[[#This Row],[Service Name '#]]&amp;VMs[[#This Row],[Instance]])</f>
        <v>servicespaads1a</v>
      </c>
      <c r="D2" s="21" t="s">
        <v>173</v>
      </c>
      <c r="E2" s="21">
        <f>SUM(VMs[[#This Row],[ImageDiskSize (GB)]:[DataDiskSize (GB)]])</f>
        <v>151</v>
      </c>
      <c r="F2" s="21">
        <v>127</v>
      </c>
      <c r="G2" s="21">
        <v>24</v>
      </c>
      <c r="H2" s="21"/>
      <c r="I2" s="21" t="s">
        <v>229</v>
      </c>
      <c r="J2" s="15" t="s">
        <v>117</v>
      </c>
      <c r="K2" s="22">
        <v>744</v>
      </c>
      <c r="L2" s="24" t="s">
        <v>152</v>
      </c>
      <c r="M2" s="15" t="s">
        <v>200</v>
      </c>
      <c r="O2" s="24" t="s">
        <v>469</v>
      </c>
      <c r="P2" s="16" t="str">
        <f>VLOOKUP(VMs[[#This Row],[SubnetID]], Subnets!A14:U210, 8, FALSE)</f>
        <v>va</v>
      </c>
      <c r="Q2" s="26" t="str">
        <f>VLOOKUP(VMs[[#This Row],[SubnetID]], Subnets[],21, FALSE)</f>
        <v>SERVICES</v>
      </c>
      <c r="R2" t="str">
        <f>VLOOKUP(VMs[[#This Row],[SubnetID]], Subnets[],22, FALSE)</f>
        <v>sub04</v>
      </c>
      <c r="S2" s="56" t="str">
        <f>VLOOKUP(VMs[[#This Row],[SubnetID]], Subnets[],14, FALSE)</f>
        <v>mag_slg_managed_services</v>
      </c>
      <c r="T2" s="25">
        <f>VLOOKUP(VMs[[#This Row],[SubnetID]], Subnets[],  2, FALSE)</f>
        <v>600</v>
      </c>
      <c r="U2" s="49" t="str">
        <f>VLOOKUP(VMs[[#This Row],[SubnetID]], Subnets[], 4, FALSE)</f>
        <v>Services_600_SLG_Srvcs_va</v>
      </c>
      <c r="V2" s="15" t="str">
        <f>VLOOKUP(VMs[[#This Row],[SubnetID]], Subnets[], 12, FALSE)</f>
        <v>10.130.56.0</v>
      </c>
      <c r="W2" s="16">
        <v>15</v>
      </c>
      <c r="X2" s="16"/>
      <c r="Y2" s="15" t="s">
        <v>87</v>
      </c>
      <c r="Z2" s="15">
        <v>1</v>
      </c>
      <c r="AA2" s="15" t="str">
        <f>LOWER(VMs[[#This Row],[SiteID (Computed)]] &amp;VMs[[#This Row],[Class]]&amp; VMs[[#This Row],[Function]]&amp;VMs[[#This Row],[Service Name '#]])</f>
        <v>servicespaads1</v>
      </c>
      <c r="AB2" s="15">
        <v>1</v>
      </c>
      <c r="AC2" s="15" t="s">
        <v>150</v>
      </c>
      <c r="AD2" s="15">
        <f>VLOOKUP(VMs[[#This Row],[RoleSize]], AzureSpecs[],7, FALSE)</f>
        <v>3.5</v>
      </c>
      <c r="AE2" s="15">
        <f>VLOOKUP(VMs[[#This Row],[RoleSize]], AzureSpecs[],6, FALSE)</f>
        <v>2</v>
      </c>
      <c r="AG2" s="36" t="b">
        <v>1</v>
      </c>
    </row>
    <row r="3" spans="1:33" s="15" customFormat="1" ht="42.75" x14ac:dyDescent="0.45">
      <c r="A3" t="s">
        <v>254</v>
      </c>
      <c r="B3" s="15" t="s">
        <v>148</v>
      </c>
      <c r="C3" s="24" t="str">
        <f>LOWER(VMs[[#This Row],[SiteID (Computed)]] &amp;VMs[[#This Row],[Class]]&amp; VMs[[#This Row],[Function]]&amp;VMs[[#This Row],[Service Name '#]]&amp;VMs[[#This Row],[Instance]])</f>
        <v>servicespadds1a</v>
      </c>
      <c r="D3" s="21" t="s">
        <v>260</v>
      </c>
      <c r="E3" s="21">
        <f>SUM(VMs[[#This Row],[ImageDiskSize (GB)]:[DataDiskSize (GB)]])</f>
        <v>151</v>
      </c>
      <c r="F3" s="21">
        <v>127</v>
      </c>
      <c r="G3" s="21">
        <v>24</v>
      </c>
      <c r="H3" s="21"/>
      <c r="I3" s="21" t="s">
        <v>230</v>
      </c>
      <c r="J3" s="15" t="s">
        <v>117</v>
      </c>
      <c r="K3" s="22">
        <f>24*31</f>
        <v>744</v>
      </c>
      <c r="L3" s="15" t="s">
        <v>152</v>
      </c>
      <c r="M3" s="15" t="s">
        <v>200</v>
      </c>
      <c r="O3" s="24" t="s">
        <v>469</v>
      </c>
      <c r="P3" s="16" t="str">
        <f>VLOOKUP(VMs[[#This Row],[SubnetID]], Subnets!A15:U211, 8, FALSE)</f>
        <v>va</v>
      </c>
      <c r="Q3" s="26" t="str">
        <f>VLOOKUP(VMs[[#This Row],[SubnetID]], Subnets[],21, FALSE)</f>
        <v>SERVICES</v>
      </c>
      <c r="R3" s="24" t="str">
        <f>VLOOKUP(VMs[[#This Row],[SubnetID]], Subnets[#Data],22, FALSE)</f>
        <v>sub04</v>
      </c>
      <c r="S3" s="56" t="str">
        <f>VLOOKUP(VMs[[#This Row],[SubnetID]], Subnets[],14, FALSE)</f>
        <v>mag_slg_managed_services</v>
      </c>
      <c r="T3" s="25">
        <f>VLOOKUP(VMs[[#This Row],[SubnetID]], Subnets[],  2, FALSE)</f>
        <v>600</v>
      </c>
      <c r="U3" s="49" t="str">
        <f>VLOOKUP(VMs[[#This Row],[SubnetID]], Subnets[], 4, FALSE)</f>
        <v>Services_600_SLG_Srvcs_va</v>
      </c>
      <c r="V3" s="15" t="str">
        <f>VLOOKUP(VMs[[#This Row],[SubnetID]], Subnets[], 12, FALSE)</f>
        <v>10.130.56.0</v>
      </c>
      <c r="W3" s="15">
        <v>11</v>
      </c>
      <c r="Y3" s="15" t="s">
        <v>87</v>
      </c>
      <c r="Z3" s="15">
        <v>1</v>
      </c>
      <c r="AA3" s="15" t="str">
        <f>LOWER(VMs[[#This Row],[SiteID (Computed)]] &amp;VMs[[#This Row],[Class]]&amp; VMs[[#This Row],[Function]]&amp;VMs[[#This Row],[Service Name '#]])</f>
        <v>servicespadds1</v>
      </c>
      <c r="AB3" s="15">
        <v>1</v>
      </c>
      <c r="AC3" s="15" t="s">
        <v>150</v>
      </c>
      <c r="AD3" s="15">
        <f>VLOOKUP(VMs[[#This Row],[RoleSize]], AzureSpecs[],7, FALSE)</f>
        <v>3.5</v>
      </c>
      <c r="AE3" s="15">
        <f>VLOOKUP(VMs[[#This Row],[RoleSize]], AzureSpecs[],6, FALSE)</f>
        <v>2</v>
      </c>
      <c r="AG3" s="36" t="b">
        <v>1</v>
      </c>
    </row>
    <row r="4" spans="1:33" s="15" customFormat="1" ht="42.75" x14ac:dyDescent="0.45">
      <c r="A4" t="s">
        <v>255</v>
      </c>
      <c r="B4" s="15" t="s">
        <v>148</v>
      </c>
      <c r="C4" s="24" t="str">
        <f>LOWER(VMs[[#This Row],[SiteID (Computed)]] &amp;VMs[[#This Row],[Class]]&amp; VMs[[#This Row],[Function]]&amp;VMs[[#This Row],[Service Name '#]]&amp;VMs[[#This Row],[Instance]])</f>
        <v>servicespadds1b</v>
      </c>
      <c r="D4" s="21" t="s">
        <v>171</v>
      </c>
      <c r="E4" s="21">
        <f>SUM(VMs[[#This Row],[ImageDiskSize (GB)]:[DataDiskSize (GB)]])</f>
        <v>151</v>
      </c>
      <c r="F4" s="21">
        <v>127</v>
      </c>
      <c r="G4" s="21">
        <v>24</v>
      </c>
      <c r="H4" s="21"/>
      <c r="I4" s="21" t="s">
        <v>230</v>
      </c>
      <c r="J4" s="15" t="s">
        <v>117</v>
      </c>
      <c r="K4" s="22">
        <f>24*31</f>
        <v>744</v>
      </c>
      <c r="L4" s="15" t="s">
        <v>152</v>
      </c>
      <c r="M4" s="15" t="s">
        <v>200</v>
      </c>
      <c r="O4" s="24" t="s">
        <v>469</v>
      </c>
      <c r="P4" s="16" t="str">
        <f>VLOOKUP(VMs[[#This Row],[SubnetID]], Subnets!A16:U212, 8, FALSE)</f>
        <v>va</v>
      </c>
      <c r="Q4" s="26" t="str">
        <f>VLOOKUP(VMs[[#This Row],[SubnetID]], Subnets[],21, FALSE)</f>
        <v>SERVICES</v>
      </c>
      <c r="R4" s="24" t="str">
        <f>VLOOKUP(VMs[[#This Row],[SubnetID]], Subnets[#Data],22, FALSE)</f>
        <v>sub04</v>
      </c>
      <c r="S4" s="56" t="str">
        <f>VLOOKUP(VMs[[#This Row],[SubnetID]], Subnets[],14, FALSE)</f>
        <v>mag_slg_managed_services</v>
      </c>
      <c r="T4" s="25">
        <f>VLOOKUP(VMs[[#This Row],[SubnetID]], Subnets[],  2, FALSE)</f>
        <v>600</v>
      </c>
      <c r="U4" s="49" t="str">
        <f>VLOOKUP(VMs[[#This Row],[SubnetID]], Subnets[], 4, FALSE)</f>
        <v>Services_600_SLG_Srvcs_va</v>
      </c>
      <c r="V4" s="15" t="str">
        <f>VLOOKUP(VMs[[#This Row],[SubnetID]], Subnets[], 12, FALSE)</f>
        <v>10.130.56.0</v>
      </c>
      <c r="W4" s="15">
        <v>12</v>
      </c>
      <c r="Y4" s="15" t="s">
        <v>87</v>
      </c>
      <c r="Z4" s="15">
        <v>1</v>
      </c>
      <c r="AA4" s="15" t="str">
        <f>LOWER(VMs[[#This Row],[SiteID (Computed)]] &amp;VMs[[#This Row],[Class]]&amp; VMs[[#This Row],[Function]]&amp;VMs[[#This Row],[Service Name '#]])</f>
        <v>servicespadds1</v>
      </c>
      <c r="AB4" s="15">
        <v>1</v>
      </c>
      <c r="AC4" s="15" t="s">
        <v>151</v>
      </c>
      <c r="AD4" s="15">
        <f>VLOOKUP(VMs[[#This Row],[RoleSize]], AzureSpecs[],7, FALSE)</f>
        <v>3.5</v>
      </c>
      <c r="AE4" s="15">
        <f>VLOOKUP(VMs[[#This Row],[RoleSize]], AzureSpecs[],6, FALSE)</f>
        <v>2</v>
      </c>
      <c r="AG4" s="36" t="b">
        <v>1</v>
      </c>
    </row>
    <row r="5" spans="1:33" s="15" customFormat="1" ht="42.75" x14ac:dyDescent="0.45">
      <c r="A5" t="s">
        <v>259</v>
      </c>
      <c r="B5" s="15" t="s">
        <v>148</v>
      </c>
      <c r="C5" s="24" t="str">
        <f>LOWER(VMs[[#This Row],[SiteID (Computed)]] &amp;VMs[[#This Row],[Class]]&amp; VMs[[#This Row],[Function]]&amp;VMs[[#This Row],[Service Name '#]]&amp;VMs[[#This Row],[Instance]])</f>
        <v>servicespadfs1a</v>
      </c>
      <c r="D5" s="21" t="s">
        <v>153</v>
      </c>
      <c r="E5" s="21">
        <f>SUM(VMs[[#This Row],[ImageDiskSize (GB)]:[DataDiskSize (GB)]])</f>
        <v>151</v>
      </c>
      <c r="F5" s="21">
        <v>127</v>
      </c>
      <c r="G5" s="21">
        <v>24</v>
      </c>
      <c r="H5" s="21"/>
      <c r="I5" s="21" t="s">
        <v>231</v>
      </c>
      <c r="J5" s="15" t="s">
        <v>117</v>
      </c>
      <c r="K5" s="22">
        <f>24*31</f>
        <v>744</v>
      </c>
      <c r="L5" s="24" t="s">
        <v>152</v>
      </c>
      <c r="M5" s="15" t="s">
        <v>195</v>
      </c>
      <c r="N5" s="15" t="s">
        <v>200</v>
      </c>
      <c r="O5" s="24" t="s">
        <v>469</v>
      </c>
      <c r="P5" s="16" t="str">
        <f>VLOOKUP(VMs[[#This Row],[SubnetID]], Subnets!A17:U213, 8, FALSE)</f>
        <v>va</v>
      </c>
      <c r="Q5" s="26" t="str">
        <f>VLOOKUP(VMs[[#This Row],[SubnetID]], Subnets[],21, FALSE)</f>
        <v>SERVICES</v>
      </c>
      <c r="R5" s="24" t="str">
        <f>VLOOKUP(VMs[[#This Row],[SubnetID]], Subnets[#Data],22, FALSE)</f>
        <v>sub04</v>
      </c>
      <c r="S5" s="56" t="str">
        <f>VLOOKUP(VMs[[#This Row],[SubnetID]], Subnets[],14, FALSE)</f>
        <v>mag_slg_managed_services</v>
      </c>
      <c r="T5" s="25">
        <f>VLOOKUP(VMs[[#This Row],[SubnetID]], Subnets[],  2, FALSE)</f>
        <v>600</v>
      </c>
      <c r="U5" s="49" t="str">
        <f>VLOOKUP(VMs[[#This Row],[SubnetID]], Subnets[], 4, FALSE)</f>
        <v>Services_600_SLG_Srvcs_va</v>
      </c>
      <c r="V5" s="15" t="str">
        <f>VLOOKUP(VMs[[#This Row],[SubnetID]], Subnets[], 12, FALSE)</f>
        <v>10.130.56.0</v>
      </c>
      <c r="W5" s="15">
        <v>13</v>
      </c>
      <c r="X5" s="15" t="s">
        <v>782</v>
      </c>
      <c r="Y5" s="15" t="s">
        <v>87</v>
      </c>
      <c r="Z5" s="15">
        <v>1</v>
      </c>
      <c r="AA5" s="15" t="str">
        <f>LOWER(VMs[[#This Row],[SiteID (Computed)]] &amp;VMs[[#This Row],[Class]]&amp; VMs[[#This Row],[Function]]&amp;VMs[[#This Row],[Service Name '#]])</f>
        <v>servicespadfs1</v>
      </c>
      <c r="AB5" s="15">
        <v>1</v>
      </c>
      <c r="AC5" s="15" t="s">
        <v>150</v>
      </c>
      <c r="AD5" s="15">
        <f>VLOOKUP(VMs[[#This Row],[RoleSize]], AzureSpecs[],7, FALSE)</f>
        <v>3.5</v>
      </c>
      <c r="AE5" s="15">
        <f>VLOOKUP(VMs[[#This Row],[RoleSize]], AzureSpecs[],6, FALSE)</f>
        <v>2</v>
      </c>
      <c r="AG5" s="36" t="b">
        <v>1</v>
      </c>
    </row>
    <row r="6" spans="1:33" s="15" customFormat="1" ht="42.75" x14ac:dyDescent="0.45">
      <c r="A6" t="s">
        <v>256</v>
      </c>
      <c r="B6" s="15" t="s">
        <v>148</v>
      </c>
      <c r="C6" s="24" t="str">
        <f>LOWER(VMs[[#This Row],[SiteID (Computed)]] &amp;VMs[[#This Row],[Class]]&amp; VMs[[#This Row],[Function]]&amp;VMs[[#This Row],[Service Name '#]]&amp;VMs[[#This Row],[Instance]])</f>
        <v>servicespadfs1b</v>
      </c>
      <c r="D6" s="21" t="s">
        <v>153</v>
      </c>
      <c r="E6" s="21">
        <f>SUM(VMs[[#This Row],[ImageDiskSize (GB)]:[DataDiskSize (GB)]])</f>
        <v>151</v>
      </c>
      <c r="F6" s="21">
        <v>127</v>
      </c>
      <c r="G6" s="21">
        <v>24</v>
      </c>
      <c r="H6" s="21"/>
      <c r="I6" s="21" t="s">
        <v>231</v>
      </c>
      <c r="J6" s="15" t="s">
        <v>117</v>
      </c>
      <c r="K6" s="22">
        <f>24*31</f>
        <v>744</v>
      </c>
      <c r="L6" s="24" t="s">
        <v>152</v>
      </c>
      <c r="M6" s="15" t="s">
        <v>195</v>
      </c>
      <c r="N6" s="15" t="s">
        <v>200</v>
      </c>
      <c r="O6" s="24" t="s">
        <v>469</v>
      </c>
      <c r="P6" s="16" t="str">
        <f>VLOOKUP(VMs[[#This Row],[SubnetID]], Subnets!A18:U214, 8, FALSE)</f>
        <v>va</v>
      </c>
      <c r="Q6" s="26" t="str">
        <f>VLOOKUP(VMs[[#This Row],[SubnetID]], Subnets[],21, FALSE)</f>
        <v>SERVICES</v>
      </c>
      <c r="R6" s="24" t="str">
        <f>VLOOKUP(VMs[[#This Row],[SubnetID]], Subnets[#Data],22, FALSE)</f>
        <v>sub04</v>
      </c>
      <c r="S6" s="56" t="str">
        <f>VLOOKUP(VMs[[#This Row],[SubnetID]], Subnets[],14, FALSE)</f>
        <v>mag_slg_managed_services</v>
      </c>
      <c r="T6" s="25">
        <f>VLOOKUP(VMs[[#This Row],[SubnetID]], Subnets[],  2, FALSE)</f>
        <v>600</v>
      </c>
      <c r="U6" s="49" t="str">
        <f>VLOOKUP(VMs[[#This Row],[SubnetID]], Subnets[], 4, FALSE)</f>
        <v>Services_600_SLG_Srvcs_va</v>
      </c>
      <c r="V6" s="15" t="str">
        <f>VLOOKUP(VMs[[#This Row],[SubnetID]], Subnets[], 12, FALSE)</f>
        <v>10.130.56.0</v>
      </c>
      <c r="W6" s="15">
        <v>14</v>
      </c>
      <c r="X6" s="15" t="s">
        <v>782</v>
      </c>
      <c r="Y6" s="15" t="s">
        <v>87</v>
      </c>
      <c r="Z6" s="15">
        <v>1</v>
      </c>
      <c r="AA6" s="15" t="str">
        <f>LOWER(VMs[[#This Row],[SiteID (Computed)]] &amp;VMs[[#This Row],[Class]]&amp; VMs[[#This Row],[Function]]&amp;VMs[[#This Row],[Service Name '#]])</f>
        <v>servicespadfs1</v>
      </c>
      <c r="AB6" s="15">
        <v>1</v>
      </c>
      <c r="AC6" s="15" t="s">
        <v>151</v>
      </c>
      <c r="AD6" s="15">
        <f>VLOOKUP(VMs[[#This Row],[RoleSize]], AzureSpecs[],7, FALSE)</f>
        <v>3.5</v>
      </c>
      <c r="AE6" s="15">
        <f>VLOOKUP(VMs[[#This Row],[RoleSize]], AzureSpecs[],6, FALSE)</f>
        <v>2</v>
      </c>
      <c r="AG6" s="36" t="b">
        <v>1</v>
      </c>
    </row>
    <row r="7" spans="1:33" s="15" customFormat="1" ht="42.75" x14ac:dyDescent="0.45">
      <c r="A7" t="s">
        <v>257</v>
      </c>
      <c r="B7" s="15" t="s">
        <v>148</v>
      </c>
      <c r="C7" s="24" t="str">
        <f>LOWER(VMs[[#This Row],[SiteID (Computed)]] &amp;VMs[[#This Row],[Class]]&amp; VMs[[#This Row],[Function]]&amp;VMs[[#This Row],[Service Name '#]]&amp;VMs[[#This Row],[Instance]])</f>
        <v>servicespprxy1a</v>
      </c>
      <c r="D7" s="21" t="s">
        <v>170</v>
      </c>
      <c r="E7" s="21">
        <f>SUM(VMs[[#This Row],[ImageDiskSize (GB)]:[DataDiskSize (GB)]])</f>
        <v>151</v>
      </c>
      <c r="F7" s="21">
        <v>127</v>
      </c>
      <c r="G7" s="21">
        <v>24</v>
      </c>
      <c r="H7" s="21"/>
      <c r="I7" s="21" t="s">
        <v>232</v>
      </c>
      <c r="J7" s="15" t="s">
        <v>117</v>
      </c>
      <c r="K7" s="22">
        <f>24*31</f>
        <v>744</v>
      </c>
      <c r="L7" s="15" t="s">
        <v>152</v>
      </c>
      <c r="M7" s="15" t="s">
        <v>200</v>
      </c>
      <c r="O7" s="15" t="s">
        <v>470</v>
      </c>
      <c r="P7" s="16" t="str">
        <f>VLOOKUP(VMs[[#This Row],[SubnetID]], Subnets!A19:U215, 8, FALSE)</f>
        <v>va</v>
      </c>
      <c r="Q7" s="26" t="str">
        <f>VLOOKUP(VMs[[#This Row],[SubnetID]], Subnets[],21, FALSE)</f>
        <v>SERVICES</v>
      </c>
      <c r="R7" s="24" t="str">
        <f>VLOOKUP(VMs[[#This Row],[SubnetID]], Subnets[#Data],22, FALSE)</f>
        <v>sub04</v>
      </c>
      <c r="S7" s="56" t="str">
        <f>VLOOKUP(VMs[[#This Row],[SubnetID]], Subnets[],14, FALSE)</f>
        <v>mag_slg_managed_services</v>
      </c>
      <c r="T7" s="25">
        <f>VLOOKUP(VMs[[#This Row],[SubnetID]], Subnets[],  2, FALSE)</f>
        <v>650</v>
      </c>
      <c r="U7" s="49" t="str">
        <f>VLOOKUP(VMs[[#This Row],[SubnetID]], Subnets[], 4, FALSE)</f>
        <v>DMZ_650_SLG_Srvcs_va</v>
      </c>
      <c r="V7" s="15" t="str">
        <f>VLOOKUP(VMs[[#This Row],[SubnetID]], Subnets[], 12, FALSE)</f>
        <v>10.130.58.0</v>
      </c>
      <c r="W7" s="15">
        <v>11</v>
      </c>
      <c r="X7" s="15" t="s">
        <v>303</v>
      </c>
      <c r="Y7" s="15" t="s">
        <v>87</v>
      </c>
      <c r="Z7" s="15">
        <v>1</v>
      </c>
      <c r="AA7" s="15" t="str">
        <f>LOWER(VMs[[#This Row],[SiteID (Computed)]] &amp;VMs[[#This Row],[Class]]&amp; VMs[[#This Row],[Function]]&amp;VMs[[#This Row],[Service Name '#]])</f>
        <v>servicespprxy1</v>
      </c>
      <c r="AB7" s="15">
        <v>1</v>
      </c>
      <c r="AC7" s="15" t="s">
        <v>150</v>
      </c>
      <c r="AD7" s="15">
        <f>VLOOKUP(VMs[[#This Row],[RoleSize]], AzureSpecs[],7, FALSE)</f>
        <v>3.5</v>
      </c>
      <c r="AE7" s="15">
        <f>VLOOKUP(VMs[[#This Row],[RoleSize]], AzureSpecs[],6, FALSE)</f>
        <v>2</v>
      </c>
      <c r="AG7" s="15" t="b">
        <v>0</v>
      </c>
    </row>
    <row r="8" spans="1:33" s="15" customFormat="1" ht="42.75" x14ac:dyDescent="0.45">
      <c r="A8" t="s">
        <v>258</v>
      </c>
      <c r="B8" s="15" t="s">
        <v>148</v>
      </c>
      <c r="C8" s="24" t="str">
        <f>LOWER(VMs[[#This Row],[SiteID (Computed)]] &amp;VMs[[#This Row],[Class]]&amp; VMs[[#This Row],[Function]]&amp;VMs[[#This Row],[Service Name '#]]&amp;VMs[[#This Row],[Instance]])</f>
        <v>servicespprxy1b</v>
      </c>
      <c r="D8" s="21" t="s">
        <v>170</v>
      </c>
      <c r="E8" s="21">
        <f>SUM(VMs[[#This Row],[ImageDiskSize (GB)]:[DataDiskSize (GB)]])</f>
        <v>151</v>
      </c>
      <c r="F8" s="21">
        <v>127</v>
      </c>
      <c r="G8" s="21">
        <v>24</v>
      </c>
      <c r="H8" s="21"/>
      <c r="I8" s="21" t="s">
        <v>232</v>
      </c>
      <c r="J8" s="15" t="s">
        <v>117</v>
      </c>
      <c r="K8" s="22">
        <v>744</v>
      </c>
      <c r="L8" s="15" t="s">
        <v>152</v>
      </c>
      <c r="M8" s="15" t="s">
        <v>200</v>
      </c>
      <c r="O8" s="15" t="s">
        <v>470</v>
      </c>
      <c r="P8" s="16" t="str">
        <f>VLOOKUP(VMs[[#This Row],[SubnetID]], Subnets!A20:U216, 8, FALSE)</f>
        <v>va</v>
      </c>
      <c r="Q8" s="26" t="str">
        <f>VLOOKUP(VMs[[#This Row],[SubnetID]], Subnets[],21, FALSE)</f>
        <v>SERVICES</v>
      </c>
      <c r="R8" s="24" t="str">
        <f>VLOOKUP(VMs[[#This Row],[SubnetID]], Subnets[#Data],22, FALSE)</f>
        <v>sub04</v>
      </c>
      <c r="S8" s="56" t="str">
        <f>VLOOKUP(VMs[[#This Row],[SubnetID]], Subnets[],14, FALSE)</f>
        <v>mag_slg_managed_services</v>
      </c>
      <c r="T8" s="25">
        <f>VLOOKUP(VMs[[#This Row],[SubnetID]], Subnets[],  2, FALSE)</f>
        <v>650</v>
      </c>
      <c r="U8" s="49" t="str">
        <f>VLOOKUP(VMs[[#This Row],[SubnetID]], Subnets[], 4, FALSE)</f>
        <v>DMZ_650_SLG_Srvcs_va</v>
      </c>
      <c r="V8" s="15" t="str">
        <f>VLOOKUP(VMs[[#This Row],[SubnetID]], Subnets[], 12, FALSE)</f>
        <v>10.130.58.0</v>
      </c>
      <c r="W8" s="15">
        <v>12</v>
      </c>
      <c r="X8" s="15" t="s">
        <v>303</v>
      </c>
      <c r="Y8" s="15" t="s">
        <v>87</v>
      </c>
      <c r="Z8" s="15">
        <v>1</v>
      </c>
      <c r="AA8" s="15" t="str">
        <f>LOWER(VMs[[#This Row],[SiteID (Computed)]] &amp;VMs[[#This Row],[Class]]&amp; VMs[[#This Row],[Function]]&amp;VMs[[#This Row],[Service Name '#]])</f>
        <v>servicespprxy1</v>
      </c>
      <c r="AB8" s="15">
        <v>1</v>
      </c>
      <c r="AC8" s="15" t="s">
        <v>151</v>
      </c>
      <c r="AD8" s="15">
        <f>VLOOKUP(VMs[[#This Row],[RoleSize]], AzureSpecs[],7, FALSE)</f>
        <v>3.5</v>
      </c>
      <c r="AE8" s="15">
        <f>VLOOKUP(VMs[[#This Row],[RoleSize]], AzureSpecs[],6, FALSE)</f>
        <v>2</v>
      </c>
      <c r="AG8" s="15" t="b">
        <v>0</v>
      </c>
    </row>
    <row r="9" spans="1:33" s="15" customFormat="1" ht="42.75" hidden="1" x14ac:dyDescent="0.45">
      <c r="A9" t="s">
        <v>786</v>
      </c>
      <c r="B9" s="15" t="s">
        <v>785</v>
      </c>
      <c r="C9" s="24" t="str">
        <f>LOWER(VMs[[#This Row],[SiteID (Computed)]] &amp;VMs[[#This Row],[Class]]&amp; VMs[[#This Row],[Function]]&amp;VMs[[#This Row],[Service Name '#]]&amp;VMs[[#This Row],[Instance]])</f>
        <v>prodprdgw1a</v>
      </c>
      <c r="D9" s="21" t="s">
        <v>787</v>
      </c>
      <c r="E9" s="21">
        <f>SUM(VMs[[#This Row],[ImageDiskSize (GB)]:[DataDiskSize (GB)]])</f>
        <v>151</v>
      </c>
      <c r="F9" s="51">
        <v>127</v>
      </c>
      <c r="G9" s="51">
        <v>24</v>
      </c>
      <c r="H9" s="51"/>
      <c r="I9" s="21" t="s">
        <v>788</v>
      </c>
      <c r="J9" s="15" t="s">
        <v>789</v>
      </c>
      <c r="K9" s="22">
        <v>744</v>
      </c>
      <c r="L9" s="15" t="s">
        <v>152</v>
      </c>
      <c r="O9" s="24" t="s">
        <v>452</v>
      </c>
      <c r="P9" s="16" t="str">
        <f>VLOOKUP(VMs[[#This Row],[SubnetID]], Subnets!A21:U217, 8, FALSE)</f>
        <v>va</v>
      </c>
      <c r="Q9" s="26" t="str">
        <f>VLOOKUP(VMs[[#This Row],[SubnetID]], Subnets[],21, FALSE)</f>
        <v>PROD</v>
      </c>
      <c r="R9" s="24" t="str">
        <f>VLOOKUP(VMs[[#This Row],[SubnetID]], Subnets[#Data],22, FALSE)</f>
        <v>sub03</v>
      </c>
      <c r="S9" s="56" t="str">
        <f>VLOOKUP(VMs[[#This Row],[SubnetID]], Subnets[],14, FALSE)</f>
        <v>mag_slg_managed_prod</v>
      </c>
      <c r="T9" s="25">
        <f>VLOOKUP(VMs[[#This Row],[SubnetID]], Subnets[],  2, FALSE)</f>
        <v>150</v>
      </c>
      <c r="U9" s="49" t="str">
        <f>VLOOKUP(VMs[[#This Row],[SubnetID]], Subnets[], 4, FALSE)</f>
        <v>DMZ_150_SLG_prod_va</v>
      </c>
      <c r="V9" s="15" t="str">
        <f>VLOOKUP(VMs[[#This Row],[SubnetID]], Subnets[], 12, FALSE)</f>
        <v>10.130.8.0</v>
      </c>
      <c r="W9" s="16">
        <v>11</v>
      </c>
      <c r="Y9" s="15" t="s">
        <v>87</v>
      </c>
      <c r="Z9" s="15">
        <v>1</v>
      </c>
      <c r="AA9" s="15" t="str">
        <f>LOWER(VMs[[#This Row],[SiteID (Computed)]] &amp;VMs[[#This Row],[Class]]&amp; VMs[[#This Row],[Function]]&amp;VMs[[#This Row],[Service Name '#]])</f>
        <v>prodprdgw1</v>
      </c>
      <c r="AB9" s="15">
        <v>1</v>
      </c>
      <c r="AC9" s="15" t="s">
        <v>150</v>
      </c>
      <c r="AD9" s="15">
        <f>VLOOKUP(VMs[[#This Row],[RoleSize]], AzureSpecs[],7, FALSE)</f>
        <v>1.7</v>
      </c>
      <c r="AE9" s="15">
        <f>VLOOKUP(VMs[[#This Row],[RoleSize]], AzureSpecs[],6, FALSE)</f>
        <v>1</v>
      </c>
      <c r="AF9" s="24"/>
      <c r="AG9" s="15" t="b">
        <v>0</v>
      </c>
    </row>
    <row r="10" spans="1:33" s="15" customFormat="1" ht="42.75" hidden="1" x14ac:dyDescent="0.45">
      <c r="A10" t="s">
        <v>790</v>
      </c>
      <c r="B10" s="15" t="s">
        <v>785</v>
      </c>
      <c r="C10" s="24" t="str">
        <f>LOWER(VMs[[#This Row],[SiteID (Computed)]] &amp;VMs[[#This Row],[Class]]&amp; VMs[[#This Row],[Function]]&amp;VMs[[#This Row],[Service Name '#]]&amp;VMs[[#This Row],[Instance]])</f>
        <v>prodprdgw1b</v>
      </c>
      <c r="D10" s="21" t="s">
        <v>787</v>
      </c>
      <c r="E10" s="21">
        <f>SUM(VMs[[#This Row],[ImageDiskSize (GB)]:[DataDiskSize (GB)]])</f>
        <v>151</v>
      </c>
      <c r="F10" s="51">
        <v>127</v>
      </c>
      <c r="G10" s="51">
        <v>24</v>
      </c>
      <c r="H10" s="51"/>
      <c r="I10" s="21" t="s">
        <v>788</v>
      </c>
      <c r="J10" s="15" t="s">
        <v>789</v>
      </c>
      <c r="K10" s="22">
        <v>744</v>
      </c>
      <c r="L10" s="15" t="s">
        <v>152</v>
      </c>
      <c r="O10" t="s">
        <v>452</v>
      </c>
      <c r="P10" s="16" t="str">
        <f>VLOOKUP(VMs[[#This Row],[SubnetID]], Subnets!A22:U218, 8, FALSE)</f>
        <v>va</v>
      </c>
      <c r="Q10" s="26" t="str">
        <f>VLOOKUP(VMs[[#This Row],[SubnetID]], Subnets[],21, FALSE)</f>
        <v>PROD</v>
      </c>
      <c r="R10" s="24" t="str">
        <f>VLOOKUP(VMs[[#This Row],[SubnetID]], Subnets[#Data],22, FALSE)</f>
        <v>sub03</v>
      </c>
      <c r="S10" s="56" t="str">
        <f>VLOOKUP(VMs[[#This Row],[SubnetID]], Subnets[],14, FALSE)</f>
        <v>mag_slg_managed_prod</v>
      </c>
      <c r="T10" s="25">
        <f>VLOOKUP(VMs[[#This Row],[SubnetID]], Subnets[],  2, FALSE)</f>
        <v>150</v>
      </c>
      <c r="U10" s="49" t="str">
        <f>VLOOKUP(VMs[[#This Row],[SubnetID]], Subnets[], 4, FALSE)</f>
        <v>DMZ_150_SLG_prod_va</v>
      </c>
      <c r="V10" s="15" t="str">
        <f>VLOOKUP(VMs[[#This Row],[SubnetID]], Subnets[], 12, FALSE)</f>
        <v>10.130.8.0</v>
      </c>
      <c r="W10" s="16">
        <v>12</v>
      </c>
      <c r="Y10" s="15" t="s">
        <v>87</v>
      </c>
      <c r="Z10" s="15">
        <v>1</v>
      </c>
      <c r="AA10" s="15" t="str">
        <f>LOWER(VMs[[#This Row],[SiteID (Computed)]] &amp;VMs[[#This Row],[Class]]&amp; VMs[[#This Row],[Function]]&amp;VMs[[#This Row],[Service Name '#]])</f>
        <v>prodprdgw1</v>
      </c>
      <c r="AB10" s="15">
        <v>1</v>
      </c>
      <c r="AC10" s="15" t="s">
        <v>151</v>
      </c>
      <c r="AD10" s="15">
        <f>VLOOKUP(VMs[[#This Row],[RoleSize]], AzureSpecs[],7, FALSE)</f>
        <v>1.7</v>
      </c>
      <c r="AE10" s="15">
        <f>VLOOKUP(VMs[[#This Row],[RoleSize]], AzureSpecs[],6, FALSE)</f>
        <v>1</v>
      </c>
      <c r="AF10" s="24"/>
      <c r="AG10" s="15" t="b">
        <v>0</v>
      </c>
    </row>
    <row r="11" spans="1:33" s="15" customFormat="1" ht="42.75" hidden="1" x14ac:dyDescent="0.45">
      <c r="A11" t="s">
        <v>791</v>
      </c>
      <c r="B11" s="15" t="s">
        <v>785</v>
      </c>
      <c r="C11" s="24" t="str">
        <f>LOWER(VMs[[#This Row],[SiteID (Computed)]] &amp;VMs[[#This Row],[Class]]&amp; VMs[[#This Row],[Function]]&amp;VMs[[#This Row],[Service Name '#]]&amp;VMs[[#This Row],[Instance]])</f>
        <v>prodprdlc1a</v>
      </c>
      <c r="D11" s="21" t="s">
        <v>792</v>
      </c>
      <c r="E11" s="21">
        <f>SUM(VMs[[#This Row],[ImageDiskSize (GB)]:[DataDiskSize (GB)]])</f>
        <v>151</v>
      </c>
      <c r="F11" s="51">
        <v>127</v>
      </c>
      <c r="G11" s="51">
        <v>24</v>
      </c>
      <c r="H11" s="51"/>
      <c r="I11" s="21" t="s">
        <v>793</v>
      </c>
      <c r="J11" s="15" t="s">
        <v>794</v>
      </c>
      <c r="K11" s="22">
        <v>744</v>
      </c>
      <c r="L11" s="15" t="s">
        <v>152</v>
      </c>
      <c r="O11" t="s">
        <v>450</v>
      </c>
      <c r="P11" s="16" t="str">
        <f>VLOOKUP(VMs[[#This Row],[SubnetID]], Subnets!A23:U219, 8, FALSE)</f>
        <v>va</v>
      </c>
      <c r="Q11" s="26" t="str">
        <f>VLOOKUP(VMs[[#This Row],[SubnetID]], Subnets[],21, FALSE)</f>
        <v>PROD</v>
      </c>
      <c r="R11" s="24" t="str">
        <f>VLOOKUP(VMs[[#This Row],[SubnetID]], Subnets[#Data],22, FALSE)</f>
        <v>sub03</v>
      </c>
      <c r="S11" s="56" t="str">
        <f>VLOOKUP(VMs[[#This Row],[SubnetID]], Subnets[],14, FALSE)</f>
        <v>mag_slg_managed_prod</v>
      </c>
      <c r="T11" s="25">
        <f>VLOOKUP(VMs[[#This Row],[SubnetID]], Subnets[],  2, FALSE)</f>
        <v>120</v>
      </c>
      <c r="U11" s="49" t="str">
        <f>VLOOKUP(VMs[[#This Row],[SubnetID]], Subnets[], 4, FALSE)</f>
        <v>App_120_SLG_prod_va</v>
      </c>
      <c r="V11" s="15" t="str">
        <f>VLOOKUP(VMs[[#This Row],[SubnetID]], Subnets[], 12, FALSE)</f>
        <v>10.130.4.0</v>
      </c>
      <c r="W11" s="15" t="s">
        <v>87</v>
      </c>
      <c r="Y11" s="16">
        <v>11</v>
      </c>
      <c r="AA11" s="15" t="str">
        <f>LOWER(VMs[[#This Row],[SiteID (Computed)]] &amp;VMs[[#This Row],[Class]]&amp; VMs[[#This Row],[Function]]&amp;VMs[[#This Row],[Service Name '#]])</f>
        <v>prodprdlc1</v>
      </c>
      <c r="AB11" s="15">
        <v>1</v>
      </c>
      <c r="AC11" s="15" t="s">
        <v>150</v>
      </c>
      <c r="AD11" s="15">
        <f>VLOOKUP(VMs[[#This Row],[RoleSize]], AzureSpecs[],7, FALSE)</f>
        <v>3.5</v>
      </c>
      <c r="AE11" s="15">
        <f>VLOOKUP(VMs[[#This Row],[RoleSize]], AzureSpecs[],6, FALSE)</f>
        <v>2</v>
      </c>
      <c r="AF11" s="24"/>
    </row>
    <row r="12" spans="1:33" s="15" customFormat="1" ht="28.5" hidden="1" x14ac:dyDescent="0.45">
      <c r="A12" t="s">
        <v>795</v>
      </c>
      <c r="B12" s="15" t="s">
        <v>785</v>
      </c>
      <c r="C12" s="24" t="str">
        <f>LOWER(VMs[[#This Row],[SiteID (Computed)]] &amp;VMs[[#This Row],[Class]]&amp; VMs[[#This Row],[Function]]&amp;VMs[[#This Row],[Service Name '#]]&amp;VMs[[#This Row],[Instance]])</f>
        <v>prodprdcb1a</v>
      </c>
      <c r="D12" s="21" t="s">
        <v>796</v>
      </c>
      <c r="E12" s="21">
        <f>SUM(VMs[[#This Row],[ImageDiskSize (GB)]:[DataDiskSize (GB)]])</f>
        <v>151</v>
      </c>
      <c r="F12" s="51">
        <v>127</v>
      </c>
      <c r="G12" s="51">
        <v>24</v>
      </c>
      <c r="H12" s="51"/>
      <c r="I12" s="21" t="s">
        <v>797</v>
      </c>
      <c r="J12" s="15" t="s">
        <v>789</v>
      </c>
      <c r="K12" s="22">
        <v>744</v>
      </c>
      <c r="L12" s="15" t="s">
        <v>152</v>
      </c>
      <c r="O12" t="s">
        <v>450</v>
      </c>
      <c r="P12" s="16" t="str">
        <f>VLOOKUP(VMs[[#This Row],[SubnetID]], Subnets!A24:U220, 8, FALSE)</f>
        <v>va</v>
      </c>
      <c r="Q12" s="26" t="str">
        <f>VLOOKUP(VMs[[#This Row],[SubnetID]], Subnets[],21, FALSE)</f>
        <v>PROD</v>
      </c>
      <c r="R12" s="24" t="str">
        <f>VLOOKUP(VMs[[#This Row],[SubnetID]], Subnets[#Data],22, FALSE)</f>
        <v>sub03</v>
      </c>
      <c r="S12" s="56" t="str">
        <f>VLOOKUP(VMs[[#This Row],[SubnetID]], Subnets[],14, FALSE)</f>
        <v>mag_slg_managed_prod</v>
      </c>
      <c r="T12" s="25">
        <f>VLOOKUP(VMs[[#This Row],[SubnetID]], Subnets[],  2, FALSE)</f>
        <v>120</v>
      </c>
      <c r="U12" s="49" t="str">
        <f>VLOOKUP(VMs[[#This Row],[SubnetID]], Subnets[], 4, FALSE)</f>
        <v>App_120_SLG_prod_va</v>
      </c>
      <c r="V12" s="15" t="str">
        <f>VLOOKUP(VMs[[#This Row],[SubnetID]], Subnets[], 12, FALSE)</f>
        <v>10.130.4.0</v>
      </c>
      <c r="W12" s="15" t="s">
        <v>87</v>
      </c>
      <c r="Y12" s="16">
        <v>12</v>
      </c>
      <c r="AA12" s="15" t="str">
        <f>LOWER(VMs[[#This Row],[SiteID (Computed)]] &amp;VMs[[#This Row],[Class]]&amp; VMs[[#This Row],[Function]]&amp;VMs[[#This Row],[Service Name '#]])</f>
        <v>prodprdcb1</v>
      </c>
      <c r="AB12" s="15">
        <v>1</v>
      </c>
      <c r="AC12" s="15" t="s">
        <v>150</v>
      </c>
      <c r="AD12" s="15">
        <f>VLOOKUP(VMs[[#This Row],[RoleSize]], AzureSpecs[],7, FALSE)</f>
        <v>1.7</v>
      </c>
      <c r="AE12" s="15">
        <f>VLOOKUP(VMs[[#This Row],[RoleSize]], AzureSpecs[],6, FALSE)</f>
        <v>1</v>
      </c>
      <c r="AF12" s="24"/>
    </row>
    <row r="13" spans="1:33" s="15" customFormat="1" ht="42.75" hidden="1" x14ac:dyDescent="0.45">
      <c r="A13" t="s">
        <v>798</v>
      </c>
      <c r="B13" s="15" t="s">
        <v>785</v>
      </c>
      <c r="C13" s="24" t="str">
        <f>LOWER(VMs[[#This Row],[SiteID (Computed)]] &amp;VMs[[#This Row],[Class]]&amp; VMs[[#This Row],[Function]]&amp;VMs[[#This Row],[Service Name '#]]&amp;VMs[[#This Row],[Instance]])</f>
        <v>prodprdsb1a</v>
      </c>
      <c r="D13" s="21" t="s">
        <v>799</v>
      </c>
      <c r="E13" s="21">
        <f>SUM(VMs[[#This Row],[ImageDiskSize (GB)]:[DataDiskSize (GB)]])</f>
        <v>151</v>
      </c>
      <c r="F13" s="51">
        <v>127</v>
      </c>
      <c r="G13" s="51">
        <v>24</v>
      </c>
      <c r="H13" s="51"/>
      <c r="I13" s="21" t="s">
        <v>800</v>
      </c>
      <c r="J13" s="15" t="s">
        <v>117</v>
      </c>
      <c r="K13" s="22">
        <v>744</v>
      </c>
      <c r="L13" s="15" t="s">
        <v>152</v>
      </c>
      <c r="O13" t="s">
        <v>455</v>
      </c>
      <c r="P13" s="16" t="str">
        <f>VLOOKUP(VMs[[#This Row],[SubnetID]], Subnets!A25:U221, 8, FALSE)</f>
        <v>va</v>
      </c>
      <c r="Q13" s="26" t="str">
        <f>VLOOKUP(VMs[[#This Row],[SubnetID]], Subnets[],21, FALSE)</f>
        <v>PROD</v>
      </c>
      <c r="R13" s="24" t="str">
        <f>VLOOKUP(VMs[[#This Row],[SubnetID]], Subnets[#Data],22, FALSE)</f>
        <v>sub03</v>
      </c>
      <c r="S13" s="56" t="str">
        <f>VLOOKUP(VMs[[#This Row],[SubnetID]], Subnets[],14, FALSE)</f>
        <v>mag_slg_managed_prod</v>
      </c>
      <c r="T13" s="25">
        <f>VLOOKUP(VMs[[#This Row],[SubnetID]], Subnets[],  2, FALSE)</f>
        <v>162</v>
      </c>
      <c r="U13" s="49" t="str">
        <f>VLOOKUP(VMs[[#This Row],[SubnetID]], Subnets[], 4, FALSE)</f>
        <v>Users_Tier2_162_SLG_prod_va</v>
      </c>
      <c r="V13" s="15" t="str">
        <f>VLOOKUP(VMs[[#This Row],[SubnetID]], Subnets[], 12, FALSE)</f>
        <v>10.130.11.0</v>
      </c>
      <c r="W13" s="15" t="s">
        <v>87</v>
      </c>
      <c r="Y13" s="16">
        <v>11</v>
      </c>
      <c r="Z13" s="15">
        <v>10</v>
      </c>
      <c r="AA13" s="15" t="str">
        <f>LOWER(VMs[[#This Row],[SiteID (Computed)]] &amp;VMs[[#This Row],[Class]]&amp; VMs[[#This Row],[Function]]&amp;VMs[[#This Row],[Service Name '#]])</f>
        <v>prodprdsb1</v>
      </c>
      <c r="AB13" s="15">
        <v>1</v>
      </c>
      <c r="AC13" s="15" t="s">
        <v>150</v>
      </c>
      <c r="AD13" s="15">
        <f>VLOOKUP(VMs[[#This Row],[RoleSize]], AzureSpecs[],7, FALSE)</f>
        <v>3.5</v>
      </c>
      <c r="AE13" s="15">
        <f>VLOOKUP(VMs[[#This Row],[RoleSize]], AzureSpecs[],6, FALSE)</f>
        <v>2</v>
      </c>
      <c r="AF13" s="24"/>
    </row>
    <row r="14" spans="1:33" s="15" customFormat="1" ht="42.75" hidden="1" x14ac:dyDescent="0.45">
      <c r="A14" t="s">
        <v>801</v>
      </c>
      <c r="B14" s="15" t="s">
        <v>785</v>
      </c>
      <c r="C14" s="24" t="str">
        <f>LOWER(VMs[[#This Row],[SiteID (Computed)]] &amp;VMs[[#This Row],[Class]]&amp; VMs[[#This Row],[Function]]&amp;VMs[[#This Row],[Service Name '#]]&amp;VMs[[#This Row],[Instance]])</f>
        <v>prodprdsb1b</v>
      </c>
      <c r="D14" s="21" t="s">
        <v>799</v>
      </c>
      <c r="E14" s="21">
        <f>SUM(VMs[[#This Row],[ImageDiskSize (GB)]:[DataDiskSize (GB)]])</f>
        <v>151</v>
      </c>
      <c r="F14" s="51">
        <v>127</v>
      </c>
      <c r="G14" s="51">
        <v>24</v>
      </c>
      <c r="H14" s="51"/>
      <c r="I14" s="21" t="s">
        <v>800</v>
      </c>
      <c r="J14" s="15" t="s">
        <v>794</v>
      </c>
      <c r="K14" s="22">
        <v>744</v>
      </c>
      <c r="L14" s="15" t="s">
        <v>152</v>
      </c>
      <c r="O14" t="s">
        <v>455</v>
      </c>
      <c r="P14" s="16" t="str">
        <f>VLOOKUP(VMs[[#This Row],[SubnetID]], Subnets!A26:U222, 8, FALSE)</f>
        <v>va</v>
      </c>
      <c r="Q14" s="26" t="str">
        <f>VLOOKUP(VMs[[#This Row],[SubnetID]], Subnets[],21, FALSE)</f>
        <v>PROD</v>
      </c>
      <c r="R14" s="24" t="str">
        <f>VLOOKUP(VMs[[#This Row],[SubnetID]], Subnets[#Data],22, FALSE)</f>
        <v>sub03</v>
      </c>
      <c r="S14" s="56" t="str">
        <f>VLOOKUP(VMs[[#This Row],[SubnetID]], Subnets[],14, FALSE)</f>
        <v>mag_slg_managed_prod</v>
      </c>
      <c r="T14" s="25">
        <f>VLOOKUP(VMs[[#This Row],[SubnetID]], Subnets[],  2, FALSE)</f>
        <v>162</v>
      </c>
      <c r="U14" s="49" t="str">
        <f>VLOOKUP(VMs[[#This Row],[SubnetID]], Subnets[], 4, FALSE)</f>
        <v>Users_Tier2_162_SLG_prod_va</v>
      </c>
      <c r="V14" s="15" t="str">
        <f>VLOOKUP(VMs[[#This Row],[SubnetID]], Subnets[], 12, FALSE)</f>
        <v>10.130.11.0</v>
      </c>
      <c r="W14" s="15" t="s">
        <v>87</v>
      </c>
      <c r="Y14" s="16">
        <v>12</v>
      </c>
      <c r="AA14" s="15" t="str">
        <f>LOWER(VMs[[#This Row],[SiteID (Computed)]] &amp;VMs[[#This Row],[Class]]&amp; VMs[[#This Row],[Function]]&amp;VMs[[#This Row],[Service Name '#]])</f>
        <v>prodprdsb1</v>
      </c>
      <c r="AB14" s="15">
        <v>1</v>
      </c>
      <c r="AC14" s="15" t="s">
        <v>151</v>
      </c>
      <c r="AD14" s="15">
        <f>VLOOKUP(VMs[[#This Row],[RoleSize]], AzureSpecs[],7, FALSE)</f>
        <v>3.5</v>
      </c>
      <c r="AE14" s="15">
        <f>VLOOKUP(VMs[[#This Row],[RoleSize]], AzureSpecs[],6, FALSE)</f>
        <v>2</v>
      </c>
      <c r="AF14" s="24"/>
    </row>
    <row r="15" spans="1:33" s="15" customFormat="1" ht="42.75" hidden="1" x14ac:dyDescent="0.45">
      <c r="A15" t="s">
        <v>802</v>
      </c>
      <c r="B15" s="15" t="s">
        <v>803</v>
      </c>
      <c r="C15" s="24" t="str">
        <f>LOWER(VMs[[#This Row],[SiteID (Computed)]] &amp;VMs[[#This Row],[Class]]&amp; VMs[[#This Row],[Function]]&amp;VMs[[#This Row],[Service Name '#]]&amp;VMs[[#This Row],[Instance]])</f>
        <v>prodpsqls1a</v>
      </c>
      <c r="D15" s="21" t="s">
        <v>804</v>
      </c>
      <c r="E15" s="21">
        <f>SUM(VMs[[#This Row],[ImageDiskSize (GB)]:[DataDiskSize (GB)]])</f>
        <v>151</v>
      </c>
      <c r="F15" s="51">
        <v>127</v>
      </c>
      <c r="G15" s="51">
        <v>24</v>
      </c>
      <c r="H15" s="51"/>
      <c r="I15" s="21" t="s">
        <v>805</v>
      </c>
      <c r="J15" s="15" t="s">
        <v>203</v>
      </c>
      <c r="K15" s="22">
        <v>744</v>
      </c>
      <c r="L15" s="15" t="s">
        <v>152</v>
      </c>
      <c r="O15" t="s">
        <v>451</v>
      </c>
      <c r="P15" s="16" t="str">
        <f>VLOOKUP(VMs[[#This Row],[SubnetID]], Subnets!A27:U223, 8, FALSE)</f>
        <v>va</v>
      </c>
      <c r="Q15" s="39" t="str">
        <f>VLOOKUP(VMs[[#This Row],[SubnetID]], Subnets[#Data],21, FALSE)</f>
        <v>PROD</v>
      </c>
      <c r="R15" s="24" t="str">
        <f>VLOOKUP(VMs[[#This Row],[SubnetID]], Subnets[#Data],22, FALSE)</f>
        <v>sub03</v>
      </c>
      <c r="S15" s="56" t="str">
        <f>VLOOKUP(VMs[[#This Row],[SubnetID]], Subnets[],14, FALSE)</f>
        <v>mag_slg_managed_prod</v>
      </c>
      <c r="T15" s="25">
        <f>VLOOKUP(VMs[[#This Row],[SubnetID]], Subnets[],  2, FALSE)</f>
        <v>130</v>
      </c>
      <c r="U15" s="49" t="str">
        <f>VLOOKUP(VMs[[#This Row],[SubnetID]], Subnets[], 4, FALSE)</f>
        <v>Database_130_SLG_prod_va</v>
      </c>
      <c r="V15" s="15" t="str">
        <f>VLOOKUP(VMs[[#This Row],[SubnetID]], Subnets[], 12, FALSE)</f>
        <v>10.130.6.0</v>
      </c>
      <c r="W15" s="15" t="s">
        <v>87</v>
      </c>
      <c r="Y15" s="16">
        <v>11</v>
      </c>
      <c r="AA15" s="15" t="str">
        <f>LOWER(VMs[[#This Row],[SiteID (Computed)]] &amp;VMs[[#This Row],[Class]]&amp; VMs[[#This Row],[Function]]&amp;VMs[[#This Row],[Service Name '#]])</f>
        <v>prodpsqls1</v>
      </c>
      <c r="AB15" s="15">
        <v>1</v>
      </c>
      <c r="AC15" s="15" t="s">
        <v>150</v>
      </c>
      <c r="AD15" s="15">
        <f>VLOOKUP(VMs[[#This Row],[RoleSize]], AzureSpecs[],7, FALSE)</f>
        <v>7</v>
      </c>
      <c r="AE15" s="15">
        <f>VLOOKUP(VMs[[#This Row],[RoleSize]], AzureSpecs[],6, FALSE)</f>
        <v>2</v>
      </c>
      <c r="AF15" s="24"/>
    </row>
    <row r="16" spans="1:33" s="15" customFormat="1" ht="42.75" hidden="1" x14ac:dyDescent="0.45">
      <c r="A16" t="s">
        <v>806</v>
      </c>
      <c r="B16" s="15" t="s">
        <v>803</v>
      </c>
      <c r="C16" s="24" t="str">
        <f>LOWER(VMs[[#This Row],[SiteID (Computed)]] &amp;VMs[[#This Row],[Class]]&amp; VMs[[#This Row],[Function]]&amp;VMs[[#This Row],[Service Name '#]]&amp;VMs[[#This Row],[Instance]])</f>
        <v>prodpsqls1b</v>
      </c>
      <c r="D16" s="21" t="s">
        <v>804</v>
      </c>
      <c r="E16" s="21">
        <f>SUM(VMs[[#This Row],[ImageDiskSize (GB)]:[DataDiskSize (GB)]])</f>
        <v>151</v>
      </c>
      <c r="F16" s="51">
        <v>127</v>
      </c>
      <c r="G16" s="51">
        <v>24</v>
      </c>
      <c r="H16" s="51"/>
      <c r="I16" s="21" t="s">
        <v>805</v>
      </c>
      <c r="J16" s="15" t="s">
        <v>203</v>
      </c>
      <c r="K16" s="22">
        <v>744</v>
      </c>
      <c r="L16" s="15" t="s">
        <v>152</v>
      </c>
      <c r="O16" t="s">
        <v>451</v>
      </c>
      <c r="P16" s="16" t="str">
        <f>VLOOKUP(VMs[[#This Row],[SubnetID]], Subnets!A28:U224, 8, FALSE)</f>
        <v>va</v>
      </c>
      <c r="Q16" s="39" t="str">
        <f>VLOOKUP(VMs[[#This Row],[SubnetID]], Subnets[#Data],21, FALSE)</f>
        <v>PROD</v>
      </c>
      <c r="R16" s="24" t="str">
        <f>VLOOKUP(VMs[[#This Row],[SubnetID]], Subnets[#Data],22, FALSE)</f>
        <v>sub03</v>
      </c>
      <c r="S16" s="56" t="str">
        <f>VLOOKUP(VMs[[#This Row],[SubnetID]], Subnets[],14, FALSE)</f>
        <v>mag_slg_managed_prod</v>
      </c>
      <c r="T16" s="25">
        <f>VLOOKUP(VMs[[#This Row],[SubnetID]], Subnets[],  2, FALSE)</f>
        <v>130</v>
      </c>
      <c r="U16" s="49" t="str">
        <f>VLOOKUP(VMs[[#This Row],[SubnetID]], Subnets[], 4, FALSE)</f>
        <v>Database_130_SLG_prod_va</v>
      </c>
      <c r="V16" s="15" t="str">
        <f>VLOOKUP(VMs[[#This Row],[SubnetID]], Subnets[], 12, FALSE)</f>
        <v>10.130.6.0</v>
      </c>
      <c r="W16" s="15" t="s">
        <v>87</v>
      </c>
      <c r="Y16" s="16">
        <v>12</v>
      </c>
      <c r="AA16" s="15" t="str">
        <f>LOWER(VMs[[#This Row],[SiteID (Computed)]] &amp;VMs[[#This Row],[Class]]&amp; VMs[[#This Row],[Function]]&amp;VMs[[#This Row],[Service Name '#]])</f>
        <v>prodpsqls1</v>
      </c>
      <c r="AB16" s="15">
        <v>1</v>
      </c>
      <c r="AC16" s="15" t="s">
        <v>151</v>
      </c>
      <c r="AD16" s="15">
        <f>VLOOKUP(VMs[[#This Row],[RoleSize]], AzureSpecs[],7, FALSE)</f>
        <v>7</v>
      </c>
      <c r="AE16" s="15">
        <f>VLOOKUP(VMs[[#This Row],[RoleSize]], AzureSpecs[],6, FALSE)</f>
        <v>2</v>
      </c>
      <c r="AF16" s="24"/>
    </row>
    <row r="17" spans="1:33" ht="42.75" x14ac:dyDescent="0.45">
      <c r="B17" s="15" t="s">
        <v>148</v>
      </c>
      <c r="C17" s="24" t="str">
        <f>LOWER(VMs[[#This Row],[SiteID (Computed)]] &amp;VMs[[#This Row],[Class]]&amp; VMs[[#This Row],[Function]]&amp;VMs[[#This Row],[Service Name '#]]&amp;VMs[[#This Row],[Instance]])</f>
        <v>servicespatag1a</v>
      </c>
      <c r="D17" s="21" t="s">
        <v>977</v>
      </c>
      <c r="E17" s="51"/>
      <c r="F17" s="51">
        <v>127</v>
      </c>
      <c r="G17" s="51">
        <v>24</v>
      </c>
      <c r="H17" s="51"/>
      <c r="I17" s="21" t="s">
        <v>976</v>
      </c>
      <c r="J17" s="15" t="s">
        <v>117</v>
      </c>
      <c r="K17" s="22">
        <v>744</v>
      </c>
      <c r="L17" s="24" t="s">
        <v>978</v>
      </c>
      <c r="M17" s="24" t="s">
        <v>200</v>
      </c>
      <c r="N17" s="24"/>
      <c r="O17" s="24" t="s">
        <v>469</v>
      </c>
      <c r="P17" s="68" t="str">
        <f>VLOOKUP(VMs[[#This Row],[SubnetID]], Subnets!A29:U225, 8, FALSE)</f>
        <v>va</v>
      </c>
      <c r="Q17" s="69" t="str">
        <f>VLOOKUP(VMs[[#This Row],[SubnetID]], Subnets[],21, FALSE)</f>
        <v>SERVICES</v>
      </c>
      <c r="R17" s="24" t="str">
        <f>VLOOKUP(VMs[[#This Row],[SubnetID]], Subnets[#Data],22, FALSE)</f>
        <v>sub04</v>
      </c>
      <c r="S17" s="70" t="str">
        <f>VLOOKUP(VMs[[#This Row],[SubnetID]], Subnets[],14, FALSE)</f>
        <v>mag_slg_managed_services</v>
      </c>
      <c r="T17" s="25">
        <f>VLOOKUP(VMs[[#This Row],[SubnetID]], Subnets[],  2, FALSE)</f>
        <v>600</v>
      </c>
      <c r="U17" s="71" t="str">
        <f>VLOOKUP(VMs[[#This Row],[SubnetID]], Subnets[], 4, FALSE)</f>
        <v>Services_600_SLG_Srvcs_va</v>
      </c>
      <c r="V17" s="49" t="str">
        <f>VLOOKUP(VMs[[#This Row],[SubnetID]], Subnets[], 12, FALSE)</f>
        <v>10.130.56.0</v>
      </c>
      <c r="W17" s="16">
        <v>15</v>
      </c>
      <c r="Y17" s="16" t="s">
        <v>87</v>
      </c>
      <c r="Z17" s="15">
        <v>1</v>
      </c>
      <c r="AA17" s="24" t="str">
        <f>LOWER(VMs[[#This Row],[SiteID (Computed)]] &amp;VMs[[#This Row],[Class]]&amp; VMs[[#This Row],[Function]]&amp;VMs[[#This Row],[Service Name '#]])</f>
        <v>servicespatag1</v>
      </c>
      <c r="AB17" s="15">
        <v>1</v>
      </c>
      <c r="AC17" s="15" t="s">
        <v>150</v>
      </c>
      <c r="AD17" s="15">
        <f>VLOOKUP(VMs[[#This Row],[RoleSize]], AzureSpecs[],7, FALSE)</f>
        <v>3.5</v>
      </c>
      <c r="AE17" s="24">
        <f>VLOOKUP(VMs[[#This Row],[RoleSize]], AzureSpecs[],6, FALSE)</f>
        <v>2</v>
      </c>
      <c r="AF17" s="24"/>
      <c r="AG17" s="15" t="b">
        <v>0</v>
      </c>
    </row>
    <row r="18" spans="1:33" x14ac:dyDescent="0.45">
      <c r="B18" s="15"/>
      <c r="C18" s="24" t="e">
        <f>LOWER(VMs[[#This Row],[SiteID (Computed)]] &amp;VMs[[#This Row],[Class]]&amp; VMs[[#This Row],[Function]]&amp;VMs[[#This Row],[Service Name '#]]&amp;VMs[[#This Row],[Instance]])</f>
        <v>#N/A</v>
      </c>
      <c r="D18" s="21"/>
      <c r="E18" s="51"/>
      <c r="F18" s="51"/>
      <c r="G18" s="51"/>
      <c r="H18" s="51"/>
      <c r="I18" s="51"/>
      <c r="J18" s="15"/>
      <c r="K18" s="22"/>
      <c r="L18" s="24" t="str">
        <f>MID(VMs[[#This Row],[Admin Name]], 4, 1)</f>
        <v/>
      </c>
      <c r="M18" s="24"/>
      <c r="N18" s="24"/>
      <c r="O18" s="24"/>
      <c r="P18" s="68" t="e">
        <f>VLOOKUP(VMs[[#This Row],[SubnetID]], Subnets!A31:U226, 8, FALSE)</f>
        <v>#N/A</v>
      </c>
      <c r="Q18" s="69" t="e">
        <f>VLOOKUP(VMs[[#This Row],[SubnetID]], Subnets[],21, FALSE)</f>
        <v>#N/A</v>
      </c>
      <c r="R18" s="24"/>
      <c r="S18" s="70" t="e">
        <f>VLOOKUP(VMs[[#This Row],[SubnetID]], Subnets[],14, FALSE)</f>
        <v>#N/A</v>
      </c>
      <c r="T18" s="25" t="e">
        <f>VLOOKUP(VMs[[#This Row],[SubnetID]], Subnets[],  2, FALSE)</f>
        <v>#N/A</v>
      </c>
      <c r="U18" s="71" t="e">
        <f>VLOOKUP(VMs[[#This Row],[SubnetID]], Subnets[], 4, FALSE)</f>
        <v>#N/A</v>
      </c>
      <c r="V18" s="49"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1:33" x14ac:dyDescent="0.45">
      <c r="E19" s="15">
        <f>COUNT(VMs[ServerName (Computed:  Site)
"Sitename + function+uid+instance"])</f>
        <v>0</v>
      </c>
      <c r="G19" s="15">
        <f>SUM(E2:E18)</f>
        <v>2265</v>
      </c>
      <c r="H19" s="15"/>
      <c r="J19" s="15"/>
      <c r="Q19" s="15">
        <f>SUM(VMs[Hr/Mo (&lt;=744)])</f>
        <v>11904</v>
      </c>
      <c r="S19" s="15"/>
      <c r="AE19" s="27">
        <f>SUM(K2:K18)</f>
        <v>11904</v>
      </c>
    </row>
    <row r="22" spans="1:33" x14ac:dyDescent="0.45">
      <c r="A22" t="s">
        <v>1202</v>
      </c>
    </row>
  </sheetData>
  <conditionalFormatting sqref="E31:E1048576 E19 C1:C18">
    <cfRule type="duplicateValues" dxfId="59" priority="42"/>
  </conditionalFormatting>
  <pageMargins left="0.7" right="0.7" top="0.75" bottom="0.75" header="0.3" footer="0.3"/>
  <pageSetup orientation="portrait" horizontalDpi="4294967293"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78" t="s">
        <v>192</v>
      </c>
      <c r="B1" s="78"/>
      <c r="C1" s="78"/>
      <c r="F1" s="78" t="s">
        <v>210</v>
      </c>
      <c r="G1" s="78"/>
    </row>
    <row r="2" spans="1:7" x14ac:dyDescent="0.45">
      <c r="A2" s="28" t="s">
        <v>196</v>
      </c>
      <c r="B2" t="s">
        <v>198</v>
      </c>
      <c r="C2" t="s">
        <v>199</v>
      </c>
      <c r="D2" t="s">
        <v>208</v>
      </c>
      <c r="F2" s="28" t="s">
        <v>196</v>
      </c>
      <c r="G2" t="s">
        <v>209</v>
      </c>
    </row>
    <row r="3" spans="1:7" x14ac:dyDescent="0.45">
      <c r="A3" s="13" t="s">
        <v>116</v>
      </c>
      <c r="B3" s="29">
        <v>4</v>
      </c>
      <c r="C3" s="30">
        <v>200</v>
      </c>
      <c r="D3" s="29">
        <v>4</v>
      </c>
      <c r="F3" s="13" t="s">
        <v>89</v>
      </c>
      <c r="G3" s="29">
        <v>508</v>
      </c>
    </row>
    <row r="4" spans="1:7" x14ac:dyDescent="0.45">
      <c r="A4" s="13" t="s">
        <v>117</v>
      </c>
      <c r="B4" s="29">
        <v>7</v>
      </c>
      <c r="C4" s="30">
        <v>744</v>
      </c>
      <c r="D4" s="29">
        <v>14</v>
      </c>
      <c r="F4" s="13" t="s">
        <v>152</v>
      </c>
      <c r="G4" s="29">
        <v>1050</v>
      </c>
    </row>
    <row r="5" spans="1:7" x14ac:dyDescent="0.45">
      <c r="A5" s="13" t="s">
        <v>197</v>
      </c>
      <c r="B5" s="29">
        <v>11</v>
      </c>
      <c r="C5" s="30">
        <v>546.18181818181813</v>
      </c>
      <c r="D5" s="29">
        <v>18</v>
      </c>
      <c r="F5" s="13" t="s">
        <v>197</v>
      </c>
      <c r="G5" s="29">
        <v>1558</v>
      </c>
    </row>
  </sheetData>
  <mergeCells count="2">
    <mergeCell ref="A1:C1"/>
    <mergeCell ref="F1:G1"/>
  </mergeCells>
  <pageMargins left="0.7" right="0.7" top="0.75" bottom="0.75" header="0.3" footer="0.3"/>
  <pageSetup orientation="portrait" horizontalDpi="4294967293"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8" customWidth="1"/>
    <col min="8" max="8" width="11.59765625" style="8" customWidth="1"/>
    <col min="9" max="10" width="11.59765625" customWidth="1"/>
    <col min="12" max="12" width="11.59765625" customWidth="1"/>
  </cols>
  <sheetData>
    <row r="1" spans="1:11" x14ac:dyDescent="0.45">
      <c r="A1" t="s">
        <v>114</v>
      </c>
      <c r="B1" t="s">
        <v>123</v>
      </c>
      <c r="C1" s="14" t="s">
        <v>147</v>
      </c>
      <c r="D1" t="s">
        <v>683</v>
      </c>
      <c r="E1" s="45" t="s">
        <v>684</v>
      </c>
      <c r="F1" s="8" t="s">
        <v>686</v>
      </c>
      <c r="G1" s="48" t="s">
        <v>126</v>
      </c>
      <c r="H1" s="8" t="s">
        <v>210</v>
      </c>
      <c r="I1" s="46" t="s">
        <v>685</v>
      </c>
      <c r="J1" t="s">
        <v>724</v>
      </c>
      <c r="K1" s="46"/>
    </row>
    <row r="2" spans="1:11" x14ac:dyDescent="0.45">
      <c r="A2" t="s">
        <v>997</v>
      </c>
      <c r="B2" t="s">
        <v>1007</v>
      </c>
      <c r="C2" s="73"/>
      <c r="D2" s="74"/>
      <c r="E2" s="74"/>
      <c r="I2" s="75" t="e">
        <f>1-AzureSpecs[[#This Row],[MACPrice]]/AzureSpecs[[#This Row],[MAGPrice]]</f>
        <v>#DIV/0!</v>
      </c>
      <c r="K2" s="46"/>
    </row>
    <row r="3" spans="1:11" x14ac:dyDescent="0.45">
      <c r="A3" t="s">
        <v>998</v>
      </c>
      <c r="B3" t="s">
        <v>1008</v>
      </c>
      <c r="C3" s="73"/>
      <c r="D3" s="74"/>
      <c r="E3" s="74"/>
      <c r="I3" s="75" t="e">
        <f>1-AzureSpecs[[#This Row],[MACPrice]]/AzureSpecs[[#This Row],[MAGPrice]]</f>
        <v>#DIV/0!</v>
      </c>
      <c r="K3" s="46"/>
    </row>
    <row r="4" spans="1:11" x14ac:dyDescent="0.45">
      <c r="A4" t="s">
        <v>999</v>
      </c>
      <c r="B4" t="s">
        <v>1009</v>
      </c>
      <c r="C4" s="73"/>
      <c r="D4" s="74"/>
      <c r="E4" s="74"/>
      <c r="I4" s="75" t="e">
        <f>1-AzureSpecs[[#This Row],[MACPrice]]/AzureSpecs[[#This Row],[MAGPrice]]</f>
        <v>#DIV/0!</v>
      </c>
      <c r="K4" s="46"/>
    </row>
    <row r="5" spans="1:11" x14ac:dyDescent="0.45">
      <c r="A5" t="s">
        <v>1000</v>
      </c>
      <c r="B5" t="s">
        <v>1010</v>
      </c>
      <c r="C5" s="73"/>
      <c r="D5" s="74"/>
      <c r="E5" s="74"/>
      <c r="I5" s="75" t="e">
        <f>1-AzureSpecs[[#This Row],[MACPrice]]/AzureSpecs[[#This Row],[MAGPrice]]</f>
        <v>#DIV/0!</v>
      </c>
      <c r="K5" s="46"/>
    </row>
    <row r="6" spans="1:11" x14ac:dyDescent="0.45">
      <c r="A6" t="s">
        <v>1001</v>
      </c>
      <c r="B6" t="s">
        <v>1011</v>
      </c>
      <c r="C6" s="73"/>
      <c r="D6" s="74"/>
      <c r="E6" s="74"/>
      <c r="I6" s="75" t="e">
        <f>1-AzureSpecs[[#This Row],[MACPrice]]/AzureSpecs[[#This Row],[MAGPrice]]</f>
        <v>#DIV/0!</v>
      </c>
      <c r="K6" s="46"/>
    </row>
    <row r="7" spans="1:11" x14ac:dyDescent="0.45">
      <c r="A7" t="s">
        <v>1002</v>
      </c>
      <c r="B7" t="s">
        <v>1012</v>
      </c>
      <c r="C7" s="73"/>
      <c r="D7" s="74"/>
      <c r="E7" s="74"/>
      <c r="I7" s="75" t="e">
        <f>1-AzureSpecs[[#This Row],[MACPrice]]/AzureSpecs[[#This Row],[MAGPrice]]</f>
        <v>#DIV/0!</v>
      </c>
      <c r="K7" s="46"/>
    </row>
    <row r="8" spans="1:11" x14ac:dyDescent="0.45">
      <c r="A8" t="s">
        <v>1003</v>
      </c>
      <c r="B8" t="s">
        <v>1013</v>
      </c>
      <c r="C8" s="73"/>
      <c r="D8" s="74"/>
      <c r="E8" s="74"/>
      <c r="I8" s="75" t="e">
        <f>1-AzureSpecs[[#This Row],[MACPrice]]/AzureSpecs[[#This Row],[MAGPrice]]</f>
        <v>#DIV/0!</v>
      </c>
      <c r="K8" s="46"/>
    </row>
    <row r="9" spans="1:11" x14ac:dyDescent="0.45">
      <c r="A9" t="s">
        <v>1004</v>
      </c>
      <c r="B9" t="s">
        <v>1014</v>
      </c>
      <c r="C9" s="73"/>
      <c r="D9" s="74"/>
      <c r="E9" s="74"/>
      <c r="I9" s="75" t="e">
        <f>1-AzureSpecs[[#This Row],[MACPrice]]/AzureSpecs[[#This Row],[MAGPrice]]</f>
        <v>#DIV/0!</v>
      </c>
      <c r="K9" s="46"/>
    </row>
    <row r="10" spans="1:11" x14ac:dyDescent="0.45">
      <c r="A10" t="s">
        <v>1005</v>
      </c>
      <c r="B10" t="s">
        <v>1015</v>
      </c>
      <c r="C10" s="73"/>
      <c r="D10" s="74"/>
      <c r="E10" s="74"/>
      <c r="I10" s="75" t="e">
        <f>1-AzureSpecs[[#This Row],[MACPrice]]/AzureSpecs[[#This Row],[MAGPrice]]</f>
        <v>#DIV/0!</v>
      </c>
      <c r="K10" s="46"/>
    </row>
    <row r="11" spans="1:11" x14ac:dyDescent="0.45">
      <c r="A11" t="s">
        <v>1006</v>
      </c>
      <c r="B11" t="s">
        <v>1016</v>
      </c>
      <c r="C11" s="73"/>
      <c r="D11" s="74"/>
      <c r="E11" s="74"/>
      <c r="I11" s="75" t="e">
        <f>1-AzureSpecs[[#This Row],[MACPrice]]/AzureSpecs[[#This Row],[MAGPrice]]</f>
        <v>#DIV/0!</v>
      </c>
      <c r="K11" s="46"/>
    </row>
    <row r="12" spans="1:11" x14ac:dyDescent="0.45">
      <c r="A12" t="s">
        <v>115</v>
      </c>
      <c r="B12" t="s">
        <v>688</v>
      </c>
      <c r="D12" s="45"/>
      <c r="E12" s="45"/>
      <c r="F12" s="8">
        <v>1</v>
      </c>
      <c r="G12" s="48">
        <v>0.76800000000000002</v>
      </c>
      <c r="I12" s="46" t="e">
        <f>1-AzureSpecs[[#This Row],[MACPrice]]/AzureSpecs[[#This Row],[MAGPrice]]</f>
        <v>#DIV/0!</v>
      </c>
      <c r="J12" t="s">
        <v>724</v>
      </c>
      <c r="K12" s="46"/>
    </row>
    <row r="13" spans="1:11" x14ac:dyDescent="0.45">
      <c r="A13" t="s">
        <v>116</v>
      </c>
      <c r="B13" t="s">
        <v>689</v>
      </c>
      <c r="D13" s="45"/>
      <c r="E13" s="45"/>
      <c r="F13" s="8">
        <v>1</v>
      </c>
      <c r="G13" s="48">
        <v>1.7</v>
      </c>
      <c r="I13" s="46" t="e">
        <f>1-AzureSpecs[[#This Row],[MACPrice]]/AzureSpecs[[#This Row],[MAGPrice]]</f>
        <v>#DIV/0!</v>
      </c>
      <c r="J13" t="s">
        <v>724</v>
      </c>
      <c r="K13" s="46"/>
    </row>
    <row r="14" spans="1:11" x14ac:dyDescent="0.45">
      <c r="A14" t="s">
        <v>117</v>
      </c>
      <c r="B14" t="s">
        <v>690</v>
      </c>
      <c r="D14" s="45"/>
      <c r="E14" s="45"/>
      <c r="F14" s="8">
        <v>2</v>
      </c>
      <c r="G14" s="48">
        <v>3.5</v>
      </c>
      <c r="I14" s="46" t="e">
        <f>1-AzureSpecs[[#This Row],[MACPrice]]/AzureSpecs[[#This Row],[MAGPrice]]</f>
        <v>#DIV/0!</v>
      </c>
      <c r="J14" t="s">
        <v>724</v>
      </c>
      <c r="K14" s="46"/>
    </row>
    <row r="15" spans="1:11" x14ac:dyDescent="0.45">
      <c r="A15" t="s">
        <v>846</v>
      </c>
      <c r="B15" t="s">
        <v>847</v>
      </c>
      <c r="D15" s="45"/>
      <c r="E15" s="45"/>
      <c r="I15" s="47" t="e">
        <f>1-AzureSpecs[[#This Row],[MACPrice]]/AzureSpecs[[#This Row],[MAGPrice]]</f>
        <v>#DIV/0!</v>
      </c>
      <c r="K15" s="46"/>
    </row>
    <row r="16" spans="1:11" x14ac:dyDescent="0.45">
      <c r="A16" t="s">
        <v>118</v>
      </c>
      <c r="B16" t="s">
        <v>691</v>
      </c>
      <c r="D16" s="45"/>
      <c r="E16" s="45"/>
      <c r="F16" s="8">
        <v>4</v>
      </c>
      <c r="G16" s="48">
        <v>7</v>
      </c>
      <c r="I16" s="46" t="e">
        <f>1-AzureSpecs[[#This Row],[MACPrice]]/AzureSpecs[[#This Row],[MAGPrice]]</f>
        <v>#DIV/0!</v>
      </c>
      <c r="J16" t="s">
        <v>724</v>
      </c>
      <c r="K16" s="46"/>
    </row>
    <row r="17" spans="1:11" x14ac:dyDescent="0.45">
      <c r="A17" t="s">
        <v>119</v>
      </c>
      <c r="B17" t="s">
        <v>692</v>
      </c>
      <c r="D17" s="45"/>
      <c r="E17" s="45"/>
      <c r="F17" s="8">
        <v>8</v>
      </c>
      <c r="G17" s="48">
        <v>14</v>
      </c>
      <c r="I17" s="46" t="e">
        <f>1-AzureSpecs[[#This Row],[MACPrice]]/AzureSpecs[[#This Row],[MAGPrice]]</f>
        <v>#DIV/0!</v>
      </c>
      <c r="J17" t="s">
        <v>724</v>
      </c>
      <c r="K17" s="46"/>
    </row>
    <row r="18" spans="1:11" x14ac:dyDescent="0.45">
      <c r="A18" t="s">
        <v>850</v>
      </c>
      <c r="B18" t="s">
        <v>851</v>
      </c>
      <c r="D18" s="45"/>
      <c r="E18" s="45"/>
      <c r="I18" s="47" t="e">
        <f>1-AzureSpecs[[#This Row],[MACPrice]]/AzureSpecs[[#This Row],[MAGPrice]]</f>
        <v>#DIV/0!</v>
      </c>
      <c r="K18" s="46"/>
    </row>
    <row r="19" spans="1:11" x14ac:dyDescent="0.45">
      <c r="A19" t="s">
        <v>120</v>
      </c>
      <c r="B19" t="s">
        <v>124</v>
      </c>
      <c r="D19" s="45"/>
      <c r="E19" s="45"/>
      <c r="F19" s="8">
        <v>2</v>
      </c>
      <c r="G19" s="48">
        <v>14</v>
      </c>
      <c r="I19" s="46" t="e">
        <f>1-AzureSpecs[[#This Row],[MACPrice]]/AzureSpecs[[#This Row],[MAGPrice]]</f>
        <v>#DIV/0!</v>
      </c>
      <c r="J19" t="s">
        <v>724</v>
      </c>
      <c r="K19" s="46"/>
    </row>
    <row r="20" spans="1:11" x14ac:dyDescent="0.45">
      <c r="A20" t="s">
        <v>121</v>
      </c>
      <c r="B20" t="s">
        <v>887</v>
      </c>
      <c r="D20" s="45"/>
      <c r="E20" s="45"/>
      <c r="F20" s="8">
        <v>4</v>
      </c>
      <c r="G20" s="48">
        <v>28</v>
      </c>
      <c r="I20" s="46" t="e">
        <f>1-AzureSpecs[[#This Row],[MACPrice]]/AzureSpecs[[#This Row],[MAGPrice]]</f>
        <v>#DIV/0!</v>
      </c>
      <c r="J20" t="s">
        <v>724</v>
      </c>
      <c r="K20" s="46"/>
    </row>
    <row r="21" spans="1:11" x14ac:dyDescent="0.45">
      <c r="A21" t="s">
        <v>848</v>
      </c>
      <c r="B21" t="s">
        <v>849</v>
      </c>
      <c r="D21" s="45"/>
      <c r="E21" s="45"/>
      <c r="I21" s="47" t="e">
        <f>1-AzureSpecs[[#This Row],[MACPrice]]/AzureSpecs[[#This Row],[MAGPrice]]</f>
        <v>#DIV/0!</v>
      </c>
      <c r="K21" s="46"/>
    </row>
    <row r="22" spans="1:11" x14ac:dyDescent="0.45">
      <c r="A22" t="s">
        <v>122</v>
      </c>
      <c r="B22" t="s">
        <v>125</v>
      </c>
      <c r="D22" s="45"/>
      <c r="E22" s="45"/>
      <c r="F22" s="8">
        <v>8</v>
      </c>
      <c r="G22" s="48">
        <v>56</v>
      </c>
      <c r="I22" s="46" t="e">
        <f>1-AzureSpecs[[#This Row],[MACPrice]]/AzureSpecs[[#This Row],[MAGPrice]]</f>
        <v>#DIV/0!</v>
      </c>
      <c r="J22" t="s">
        <v>724</v>
      </c>
      <c r="K22" s="46"/>
    </row>
    <row r="23" spans="1:11" x14ac:dyDescent="0.45">
      <c r="A23" t="s">
        <v>664</v>
      </c>
      <c r="B23" t="s">
        <v>665</v>
      </c>
      <c r="D23" s="45"/>
      <c r="E23" s="45"/>
      <c r="I23" s="46" t="e">
        <f>1-AzureSpecs[[#This Row],[MACPrice]]/AzureSpecs[[#This Row],[MAGPrice]]</f>
        <v>#DIV/0!</v>
      </c>
      <c r="J23" t="s">
        <v>724</v>
      </c>
      <c r="K23" s="46"/>
    </row>
    <row r="24" spans="1:11" x14ac:dyDescent="0.45">
      <c r="A24" t="s">
        <v>666</v>
      </c>
      <c r="B24" t="s">
        <v>667</v>
      </c>
      <c r="D24" s="45"/>
      <c r="E24" s="45"/>
      <c r="I24" s="46" t="e">
        <f>1-AzureSpecs[[#This Row],[MACPrice]]/AzureSpecs[[#This Row],[MAGPrice]]</f>
        <v>#DIV/0!</v>
      </c>
      <c r="J24" t="s">
        <v>724</v>
      </c>
      <c r="K24" s="46"/>
    </row>
    <row r="25" spans="1:11" x14ac:dyDescent="0.45">
      <c r="A25" t="s">
        <v>725</v>
      </c>
      <c r="B25" t="s">
        <v>726</v>
      </c>
      <c r="D25" s="45"/>
      <c r="E25" s="45"/>
      <c r="I25" s="47" t="e">
        <f>1-AzureSpecs[[#This Row],[MACPrice]]/AzureSpecs[[#This Row],[MAGPrice]]</f>
        <v>#DIV/0!</v>
      </c>
      <c r="J25" s="41" t="s">
        <v>724</v>
      </c>
      <c r="K25" s="46"/>
    </row>
    <row r="26" spans="1:11" x14ac:dyDescent="0.45">
      <c r="A26" t="s">
        <v>760</v>
      </c>
      <c r="B26" t="s">
        <v>763</v>
      </c>
      <c r="D26" s="45"/>
      <c r="E26" s="45"/>
      <c r="I26" s="47" t="e">
        <f>1-AzureSpecs[[#This Row],[MACPrice]]/AzureSpecs[[#This Row],[MAGPrice]]</f>
        <v>#DIV/0!</v>
      </c>
      <c r="J26" s="41" t="s">
        <v>724</v>
      </c>
      <c r="K26" s="46"/>
    </row>
    <row r="27" spans="1:11" x14ac:dyDescent="0.45">
      <c r="A27" t="s">
        <v>759</v>
      </c>
      <c r="B27" t="s">
        <v>762</v>
      </c>
      <c r="D27" s="45"/>
      <c r="E27" s="45"/>
      <c r="I27" s="47" t="e">
        <f>1-AzureSpecs[[#This Row],[MACPrice]]/AzureSpecs[[#This Row],[MAGPrice]]</f>
        <v>#DIV/0!</v>
      </c>
      <c r="J27" s="41" t="s">
        <v>724</v>
      </c>
      <c r="K27" s="46"/>
    </row>
    <row r="28" spans="1:11" x14ac:dyDescent="0.45">
      <c r="A28" t="s">
        <v>758</v>
      </c>
      <c r="B28" t="s">
        <v>761</v>
      </c>
      <c r="D28" s="45"/>
      <c r="E28" s="45"/>
      <c r="I28" s="47" t="e">
        <f>1-AzureSpecs[[#This Row],[MACPrice]]/AzureSpecs[[#This Row],[MAGPrice]]</f>
        <v>#DIV/0!</v>
      </c>
      <c r="J28" s="41" t="s">
        <v>724</v>
      </c>
      <c r="K28" s="47"/>
    </row>
    <row r="29" spans="1:11" x14ac:dyDescent="0.45">
      <c r="A29" t="s">
        <v>765</v>
      </c>
      <c r="B29" t="s">
        <v>767</v>
      </c>
      <c r="D29" s="45"/>
      <c r="E29" s="45"/>
      <c r="I29" s="47" t="e">
        <f>1-AzureSpecs[[#This Row],[MACPrice]]/AzureSpecs[[#This Row],[MAGPrice]]</f>
        <v>#DIV/0!</v>
      </c>
      <c r="K29" s="47"/>
    </row>
    <row r="30" spans="1:11" x14ac:dyDescent="0.45">
      <c r="A30" t="s">
        <v>768</v>
      </c>
      <c r="B30" t="s">
        <v>769</v>
      </c>
      <c r="D30" s="45"/>
      <c r="E30" s="45"/>
      <c r="I30" s="47"/>
      <c r="K30" s="47"/>
    </row>
    <row r="31" spans="1:11" x14ac:dyDescent="0.45">
      <c r="A31" t="s">
        <v>727</v>
      </c>
      <c r="B31" t="s">
        <v>728</v>
      </c>
      <c r="D31" s="45"/>
      <c r="E31" s="45"/>
      <c r="I31" s="47" t="e">
        <f>1-AzureSpecs[[#This Row],[MACPrice]]/AzureSpecs[[#This Row],[MAGPrice]]</f>
        <v>#DIV/0!</v>
      </c>
      <c r="J31" s="41" t="s">
        <v>724</v>
      </c>
      <c r="K31" s="47"/>
    </row>
    <row r="32" spans="1:11" x14ac:dyDescent="0.45">
      <c r="A32" t="s">
        <v>764</v>
      </c>
      <c r="B32" t="s">
        <v>766</v>
      </c>
      <c r="D32" s="45"/>
      <c r="E32" s="45"/>
      <c r="I32" s="47" t="e">
        <f>1-AzureSpecs[[#This Row],[MACPrice]]/AzureSpecs[[#This Row],[MAGPrice]]</f>
        <v>#DIV/0!</v>
      </c>
      <c r="J32" s="41" t="s">
        <v>724</v>
      </c>
      <c r="K32" s="47"/>
    </row>
    <row r="33" spans="1:11" x14ac:dyDescent="0.45">
      <c r="A33" t="s">
        <v>899</v>
      </c>
      <c r="B33" t="s">
        <v>898</v>
      </c>
      <c r="D33" s="45"/>
      <c r="E33" s="45"/>
      <c r="I33" s="47" t="e">
        <f>1-AzureSpecs[[#This Row],[MACPrice]]/AzureSpecs[[#This Row],[MAGPrice]]</f>
        <v>#DIV/0!</v>
      </c>
      <c r="K33" s="47"/>
    </row>
    <row r="34" spans="1:11" x14ac:dyDescent="0.45">
      <c r="A34" t="s">
        <v>770</v>
      </c>
      <c r="B34" t="s">
        <v>771</v>
      </c>
      <c r="D34" s="45"/>
      <c r="E34" s="45"/>
      <c r="I34" s="47" t="e">
        <f>1-AzureSpecs[[#This Row],[MACPrice]]/AzureSpecs[[#This Row],[MAGPrice]]</f>
        <v>#DIV/0!</v>
      </c>
      <c r="K34" s="47"/>
    </row>
    <row r="35" spans="1:11" x14ac:dyDescent="0.45">
      <c r="A35" t="s">
        <v>202</v>
      </c>
      <c r="B35" t="s">
        <v>891</v>
      </c>
      <c r="D35" s="45"/>
      <c r="E35" s="45"/>
      <c r="F35" s="8">
        <v>1</v>
      </c>
      <c r="G35" s="48">
        <v>3.5</v>
      </c>
      <c r="I35" s="46" t="e">
        <f>1-AzureSpecs[[#This Row],[MACPrice]]/AzureSpecs[[#This Row],[MAGPrice]]</f>
        <v>#DIV/0!</v>
      </c>
      <c r="J35" t="s">
        <v>724</v>
      </c>
      <c r="K35" s="47"/>
    </row>
    <row r="36" spans="1:11" x14ac:dyDescent="0.45">
      <c r="A36" t="s">
        <v>224</v>
      </c>
      <c r="B36" t="s">
        <v>892</v>
      </c>
      <c r="D36" s="45"/>
      <c r="E36" s="45"/>
      <c r="F36" s="8">
        <v>2</v>
      </c>
      <c r="G36" s="48">
        <v>14</v>
      </c>
      <c r="I36" s="46" t="e">
        <f>1-AzureSpecs[[#This Row],[MACPrice]]/AzureSpecs[[#This Row],[MAGPrice]]</f>
        <v>#DIV/0!</v>
      </c>
      <c r="J36" t="s">
        <v>724</v>
      </c>
      <c r="K36" s="47"/>
    </row>
    <row r="37" spans="1:11" x14ac:dyDescent="0.45">
      <c r="A37" t="s">
        <v>251</v>
      </c>
      <c r="B37" t="s">
        <v>893</v>
      </c>
      <c r="D37" s="45"/>
      <c r="E37" s="45"/>
      <c r="F37" s="8">
        <v>4</v>
      </c>
      <c r="G37" s="48">
        <v>28</v>
      </c>
      <c r="I37" s="46" t="e">
        <f>1-AzureSpecs[[#This Row],[MACPrice]]/AzureSpecs[[#This Row],[MAGPrice]]</f>
        <v>#DIV/0!</v>
      </c>
      <c r="J37" t="s">
        <v>724</v>
      </c>
      <c r="K37" s="47"/>
    </row>
    <row r="38" spans="1:11" x14ac:dyDescent="0.45">
      <c r="A38" t="s">
        <v>207</v>
      </c>
      <c r="B38" t="s">
        <v>723</v>
      </c>
      <c r="D38" s="45"/>
      <c r="E38" s="45"/>
      <c r="F38" s="8">
        <v>8</v>
      </c>
      <c r="G38" s="48">
        <v>56</v>
      </c>
      <c r="I38" s="46" t="e">
        <f>1-AzureSpecs[[#This Row],[MACPrice]]/AzureSpecs[[#This Row],[MAGPrice]]</f>
        <v>#DIV/0!</v>
      </c>
      <c r="J38" t="s">
        <v>724</v>
      </c>
      <c r="K38" s="47"/>
    </row>
    <row r="39" spans="1:11" x14ac:dyDescent="0.45">
      <c r="A39" t="s">
        <v>252</v>
      </c>
      <c r="B39" t="s">
        <v>894</v>
      </c>
      <c r="D39" s="45"/>
      <c r="E39" s="45"/>
      <c r="F39" s="8">
        <v>16</v>
      </c>
      <c r="G39" s="48">
        <v>128</v>
      </c>
      <c r="I39" s="46" t="e">
        <f>1-AzureSpecs[[#This Row],[MACPrice]]/AzureSpecs[[#This Row],[MAGPrice]]</f>
        <v>#DIV/0!</v>
      </c>
      <c r="J39" t="s">
        <v>724</v>
      </c>
      <c r="K39" s="47"/>
    </row>
    <row r="40" spans="1:11" x14ac:dyDescent="0.45">
      <c r="A40" t="s">
        <v>844</v>
      </c>
      <c r="B40" t="s">
        <v>845</v>
      </c>
      <c r="D40" s="45"/>
      <c r="E40" s="45"/>
      <c r="I40" s="47" t="e">
        <f>1-AzureSpecs[[#This Row],[MACPrice]]/AzureSpecs[[#This Row],[MAGPrice]]</f>
        <v>#DIV/0!</v>
      </c>
      <c r="K40" s="47"/>
    </row>
    <row r="41" spans="1:11" x14ac:dyDescent="0.45">
      <c r="A41" t="s">
        <v>840</v>
      </c>
      <c r="B41" t="s">
        <v>838</v>
      </c>
      <c r="D41" s="45"/>
      <c r="E41" s="45"/>
      <c r="I41" s="47" t="e">
        <f>1-AzureSpecs[[#This Row],[MACPrice]]/AzureSpecs[[#This Row],[MAGPrice]]</f>
        <v>#DIV/0!</v>
      </c>
      <c r="J41" t="s">
        <v>724</v>
      </c>
      <c r="K41" s="47"/>
    </row>
    <row r="42" spans="1:11" x14ac:dyDescent="0.45">
      <c r="A42" t="s">
        <v>203</v>
      </c>
      <c r="B42" t="s">
        <v>890</v>
      </c>
      <c r="D42" s="45"/>
      <c r="E42" s="45"/>
      <c r="F42" s="8">
        <v>2</v>
      </c>
      <c r="G42" s="48">
        <v>7</v>
      </c>
      <c r="I42" s="46" t="e">
        <f>1-AzureSpecs[[#This Row],[MACPrice]]/AzureSpecs[[#This Row],[MAGPrice]]</f>
        <v>#DIV/0!</v>
      </c>
      <c r="J42" t="s">
        <v>724</v>
      </c>
      <c r="K42" s="47"/>
    </row>
    <row r="43" spans="1:11" x14ac:dyDescent="0.45">
      <c r="A43" t="s">
        <v>841</v>
      </c>
      <c r="B43" t="s">
        <v>839</v>
      </c>
      <c r="D43" s="45"/>
      <c r="E43" s="45"/>
      <c r="I43" s="47" t="e">
        <f>1-AzureSpecs[[#This Row],[MACPrice]]/AzureSpecs[[#This Row],[MAGPrice]]</f>
        <v>#DIV/0!</v>
      </c>
      <c r="K43" s="47"/>
    </row>
    <row r="44" spans="1:11" x14ac:dyDescent="0.45">
      <c r="A44" t="s">
        <v>201</v>
      </c>
      <c r="B44" t="s">
        <v>895</v>
      </c>
      <c r="D44" s="45"/>
      <c r="E44" s="45"/>
      <c r="F44" s="8">
        <v>4</v>
      </c>
      <c r="G44" s="48">
        <v>14</v>
      </c>
      <c r="I44" s="46" t="e">
        <f>1-AzureSpecs[[#This Row],[MACPrice]]/AzureSpecs[[#This Row],[MAGPrice]]</f>
        <v>#DIV/0!</v>
      </c>
      <c r="J44" t="s">
        <v>724</v>
      </c>
      <c r="K44" s="47"/>
    </row>
    <row r="45" spans="1:11" x14ac:dyDescent="0.45">
      <c r="A45" t="s">
        <v>842</v>
      </c>
      <c r="B45" t="s">
        <v>843</v>
      </c>
      <c r="D45" s="45"/>
      <c r="E45" s="45"/>
      <c r="I45" s="47" t="e">
        <f>1-AzureSpecs[[#This Row],[MACPrice]]/AzureSpecs[[#This Row],[MAGPrice]]</f>
        <v>#DIV/0!</v>
      </c>
      <c r="K45" s="47"/>
    </row>
    <row r="46" spans="1:11" x14ac:dyDescent="0.45">
      <c r="A46" t="s">
        <v>679</v>
      </c>
      <c r="B46" t="s">
        <v>680</v>
      </c>
      <c r="D46" s="45"/>
      <c r="E46" s="45"/>
      <c r="I46" s="46" t="e">
        <f>1-AzureSpecs[[#This Row],[MACPrice]]/AzureSpecs[[#This Row],[MAGPrice]]</f>
        <v>#DIV/0!</v>
      </c>
      <c r="J46" t="s">
        <v>724</v>
      </c>
      <c r="K46" s="47"/>
    </row>
    <row r="47" spans="1:11" x14ac:dyDescent="0.45">
      <c r="A47" t="s">
        <v>204</v>
      </c>
      <c r="B47" t="s">
        <v>888</v>
      </c>
      <c r="D47" s="45"/>
      <c r="E47" s="45"/>
      <c r="F47" s="8">
        <v>8</v>
      </c>
      <c r="G47" s="48">
        <v>28</v>
      </c>
      <c r="I47" s="46" t="e">
        <f>1-AzureSpecs[[#This Row],[MACPrice]]/AzureSpecs[[#This Row],[MAGPrice]]</f>
        <v>#DIV/0!</v>
      </c>
      <c r="J47" t="s">
        <v>724</v>
      </c>
      <c r="K47" s="47"/>
    </row>
    <row r="48" spans="1:11" x14ac:dyDescent="0.45">
      <c r="A48" t="s">
        <v>922</v>
      </c>
      <c r="B48" t="s">
        <v>923</v>
      </c>
      <c r="D48" s="45"/>
      <c r="E48" s="45"/>
      <c r="F48" s="8">
        <v>16</v>
      </c>
      <c r="G48" s="48">
        <v>56</v>
      </c>
      <c r="I48" s="47" t="e">
        <f>1-AzureSpecs[[#This Row],[MACPrice]]/AzureSpecs[[#This Row],[MAGPrice]]</f>
        <v>#DIV/0!</v>
      </c>
      <c r="K48" s="47"/>
    </row>
    <row r="49" spans="1:13" x14ac:dyDescent="0.45">
      <c r="A49" t="s">
        <v>682</v>
      </c>
      <c r="B49" t="s">
        <v>735</v>
      </c>
      <c r="D49" s="45"/>
      <c r="E49" s="45"/>
      <c r="I49" s="46" t="e">
        <f>1-AzureSpecs[[#This Row],[MACPrice]]/AzureSpecs[[#This Row],[MAGPrice]]</f>
        <v>#DIV/0!</v>
      </c>
      <c r="J49" t="s">
        <v>724</v>
      </c>
      <c r="K49" s="47"/>
    </row>
    <row r="50" spans="1:13" x14ac:dyDescent="0.45">
      <c r="A50" t="s">
        <v>870</v>
      </c>
      <c r="B50" t="s">
        <v>871</v>
      </c>
      <c r="D50" s="45"/>
      <c r="E50" s="45"/>
      <c r="I50" s="47" t="e">
        <f>1-AzureSpecs[[#This Row],[MACPrice]]/AzureSpecs[[#This Row],[MAGPrice]]</f>
        <v>#DIV/0!</v>
      </c>
      <c r="K50" s="46"/>
      <c r="M50" t="s">
        <v>7</v>
      </c>
    </row>
    <row r="51" spans="1:13" x14ac:dyDescent="0.45">
      <c r="A51" t="s">
        <v>867</v>
      </c>
      <c r="B51" t="s">
        <v>875</v>
      </c>
      <c r="D51" s="45"/>
      <c r="E51" s="45"/>
      <c r="I51" s="47" t="e">
        <f>1-AzureSpecs[[#This Row],[MACPrice]]/AzureSpecs[[#This Row],[MAGPrice]]</f>
        <v>#DIV/0!</v>
      </c>
      <c r="K51" s="46"/>
    </row>
    <row r="52" spans="1:13" x14ac:dyDescent="0.45">
      <c r="A52" t="s">
        <v>868</v>
      </c>
      <c r="B52" t="s">
        <v>880</v>
      </c>
      <c r="D52" s="45"/>
      <c r="E52" s="45"/>
      <c r="I52" s="47" t="e">
        <f>1-AzureSpecs[[#This Row],[MACPrice]]/AzureSpecs[[#This Row],[MAGPrice]]</f>
        <v>#DIV/0!</v>
      </c>
      <c r="K52" s="46"/>
    </row>
    <row r="53" spans="1:13" x14ac:dyDescent="0.45">
      <c r="A53" t="s">
        <v>852</v>
      </c>
      <c r="B53" t="s">
        <v>853</v>
      </c>
      <c r="D53" s="45"/>
      <c r="E53" s="45"/>
      <c r="I53" s="46" t="e">
        <f>1-AzureSpecs[[#This Row],[MACPrice]]/AzureSpecs[[#This Row],[MAGPrice]]</f>
        <v>#DIV/0!</v>
      </c>
      <c r="K53" s="46"/>
    </row>
    <row r="54" spans="1:13" x14ac:dyDescent="0.45">
      <c r="A54" t="s">
        <v>852</v>
      </c>
      <c r="B54" t="s">
        <v>872</v>
      </c>
      <c r="D54" s="45"/>
      <c r="E54" s="45"/>
      <c r="I54" s="47" t="e">
        <f>1-AzureSpecs[[#This Row],[MACPrice]]/AzureSpecs[[#This Row],[MAGPrice]]</f>
        <v>#DIV/0!</v>
      </c>
      <c r="K54" s="46"/>
    </row>
    <row r="55" spans="1:13" x14ac:dyDescent="0.45">
      <c r="A55" t="s">
        <v>876</v>
      </c>
      <c r="B55" t="s">
        <v>877</v>
      </c>
      <c r="D55" s="45"/>
      <c r="E55" s="45"/>
      <c r="I55" s="47" t="e">
        <f>1-AzureSpecs[[#This Row],[MACPrice]]/AzureSpecs[[#This Row],[MAGPrice]]</f>
        <v>#DIV/0!</v>
      </c>
      <c r="K55" s="46"/>
    </row>
    <row r="56" spans="1:13" x14ac:dyDescent="0.45">
      <c r="A56" t="s">
        <v>857</v>
      </c>
      <c r="B56" t="s">
        <v>869</v>
      </c>
      <c r="D56" s="45"/>
      <c r="E56" s="45"/>
      <c r="I56" s="47" t="e">
        <f>1-AzureSpecs[[#This Row],[MACPrice]]/AzureSpecs[[#This Row],[MAGPrice]]</f>
        <v>#DIV/0!</v>
      </c>
      <c r="K56" s="46"/>
    </row>
    <row r="57" spans="1:13" x14ac:dyDescent="0.45">
      <c r="A57" t="s">
        <v>873</v>
      </c>
      <c r="B57" t="s">
        <v>874</v>
      </c>
      <c r="D57" s="45"/>
      <c r="E57" s="45"/>
      <c r="I57" s="47" t="e">
        <f>1-AzureSpecs[[#This Row],[MACPrice]]/AzureSpecs[[#This Row],[MAGPrice]]</f>
        <v>#DIV/0!</v>
      </c>
      <c r="K57" s="46"/>
    </row>
    <row r="58" spans="1:13" x14ac:dyDescent="0.45">
      <c r="A58" t="s">
        <v>878</v>
      </c>
      <c r="B58" t="s">
        <v>879</v>
      </c>
      <c r="D58" s="45"/>
      <c r="E58" s="45"/>
      <c r="I58" s="47" t="e">
        <f>1-AzureSpecs[[#This Row],[MACPrice]]/AzureSpecs[[#This Row],[MAGPrice]]</f>
        <v>#DIV/0!</v>
      </c>
      <c r="K58" s="46"/>
    </row>
    <row r="59" spans="1:13" x14ac:dyDescent="0.45">
      <c r="A59" t="s">
        <v>860</v>
      </c>
      <c r="B59" t="s">
        <v>861</v>
      </c>
      <c r="D59" s="45"/>
      <c r="E59" s="45"/>
      <c r="I59" s="47" t="e">
        <f>1-AzureSpecs[[#This Row],[MACPrice]]/AzureSpecs[[#This Row],[MAGPrice]]</f>
        <v>#DIV/0!</v>
      </c>
      <c r="K59" s="46"/>
    </row>
    <row r="60" spans="1:13" x14ac:dyDescent="0.45">
      <c r="A60" t="s">
        <v>670</v>
      </c>
      <c r="B60" t="s">
        <v>671</v>
      </c>
      <c r="D60" s="45"/>
      <c r="E60" s="45"/>
      <c r="I60" s="46" t="e">
        <f>1-AzureSpecs[[#This Row],[MACPrice]]/AzureSpecs[[#This Row],[MAGPrice]]</f>
        <v>#DIV/0!</v>
      </c>
      <c r="J60" t="s">
        <v>724</v>
      </c>
      <c r="K60" s="46"/>
    </row>
    <row r="61" spans="1:13" x14ac:dyDescent="0.45">
      <c r="A61" t="s">
        <v>830</v>
      </c>
      <c r="B61" t="s">
        <v>831</v>
      </c>
      <c r="D61" s="45"/>
      <c r="E61" s="45"/>
      <c r="I61" s="46" t="e">
        <f>1-AzureSpecs[[#This Row],[MACPrice]]/AzureSpecs[[#This Row],[MAGPrice]]</f>
        <v>#DIV/0!</v>
      </c>
      <c r="K61" s="46"/>
    </row>
    <row r="62" spans="1:13" x14ac:dyDescent="0.45">
      <c r="A62" t="s">
        <v>668</v>
      </c>
      <c r="B62" t="s">
        <v>669</v>
      </c>
      <c r="D62" s="45"/>
      <c r="E62" s="45"/>
      <c r="I62" s="46" t="e">
        <f>1-AzureSpecs[[#This Row],[MACPrice]]/AzureSpecs[[#This Row],[MAGPrice]]</f>
        <v>#DIV/0!</v>
      </c>
      <c r="J62" t="s">
        <v>724</v>
      </c>
      <c r="K62" s="46"/>
    </row>
    <row r="63" spans="1:13" x14ac:dyDescent="0.45">
      <c r="A63" t="s">
        <v>668</v>
      </c>
      <c r="B63" t="s">
        <v>669</v>
      </c>
      <c r="D63" s="45"/>
      <c r="E63" s="45"/>
      <c r="I63" s="47" t="e">
        <f>1-AzureSpecs[[#This Row],[MACPrice]]/AzureSpecs[[#This Row],[MAGPrice]]</f>
        <v>#DIV/0!</v>
      </c>
      <c r="K63" s="46"/>
    </row>
    <row r="64" spans="1:13" x14ac:dyDescent="0.45">
      <c r="A64" t="s">
        <v>862</v>
      </c>
      <c r="B64" t="s">
        <v>863</v>
      </c>
      <c r="D64" s="45"/>
      <c r="E64" s="45"/>
      <c r="I64" s="47" t="e">
        <f>1-AzureSpecs[[#This Row],[MACPrice]]/AzureSpecs[[#This Row],[MAGPrice]]</f>
        <v>#DIV/0!</v>
      </c>
      <c r="K64" s="46"/>
    </row>
    <row r="65" spans="1:11" x14ac:dyDescent="0.45">
      <c r="A65" t="s">
        <v>859</v>
      </c>
      <c r="B65" t="s">
        <v>858</v>
      </c>
      <c r="D65" s="45"/>
      <c r="E65" s="45"/>
      <c r="I65" s="46" t="e">
        <f>1-AzureSpecs[[#This Row],[MACPrice]]/AzureSpecs[[#This Row],[MAGPrice]]</f>
        <v>#DIV/0!</v>
      </c>
      <c r="K65" s="46"/>
    </row>
    <row r="66" spans="1:11" x14ac:dyDescent="0.45">
      <c r="A66" t="s">
        <v>855</v>
      </c>
      <c r="B66" t="s">
        <v>856</v>
      </c>
      <c r="D66" s="45"/>
      <c r="E66" s="45"/>
      <c r="I66" s="46" t="e">
        <f>1-AzureSpecs[[#This Row],[MACPrice]]/AzureSpecs[[#This Row],[MAGPrice]]</f>
        <v>#DIV/0!</v>
      </c>
      <c r="K66" s="46"/>
    </row>
    <row r="67" spans="1:11" x14ac:dyDescent="0.45">
      <c r="A67" t="s">
        <v>864</v>
      </c>
      <c r="B67" t="s">
        <v>865</v>
      </c>
      <c r="D67" s="45"/>
      <c r="E67" s="45"/>
      <c r="I67" s="47" t="e">
        <f>1-AzureSpecs[[#This Row],[MACPrice]]/AzureSpecs[[#This Row],[MAGPrice]]</f>
        <v>#DIV/0!</v>
      </c>
      <c r="K67" s="46"/>
    </row>
    <row r="68" spans="1:11" x14ac:dyDescent="0.45">
      <c r="A68" t="s">
        <v>854</v>
      </c>
      <c r="B68" t="s">
        <v>866</v>
      </c>
      <c r="D68" s="45"/>
      <c r="E68" s="45"/>
      <c r="I68" s="46" t="e">
        <f>1-AzureSpecs[[#This Row],[MACPrice]]/AzureSpecs[[#This Row],[MAGPrice]]</f>
        <v>#DIV/0!</v>
      </c>
      <c r="K68" s="46"/>
    </row>
    <row r="69" spans="1:11" x14ac:dyDescent="0.45">
      <c r="A69" t="s">
        <v>656</v>
      </c>
      <c r="B69" t="s">
        <v>657</v>
      </c>
      <c r="D69" s="45"/>
      <c r="E69" s="45"/>
      <c r="F69" s="8">
        <v>2</v>
      </c>
      <c r="G69" s="48">
        <v>28</v>
      </c>
      <c r="I69" s="46" t="e">
        <f>1-AzureSpecs[[#This Row],[MACPrice]]/AzureSpecs[[#This Row],[MAGPrice]]</f>
        <v>#DIV/0!</v>
      </c>
      <c r="J69" t="s">
        <v>724</v>
      </c>
      <c r="K69" s="46"/>
    </row>
    <row r="70" spans="1:11" x14ac:dyDescent="0.45">
      <c r="A70" t="s">
        <v>223</v>
      </c>
      <c r="B70" t="s">
        <v>655</v>
      </c>
      <c r="D70" s="45"/>
      <c r="E70" s="45"/>
      <c r="F70" s="8">
        <v>4</v>
      </c>
      <c r="G70" s="48">
        <v>56</v>
      </c>
      <c r="I70" s="46" t="e">
        <f>1-AzureSpecs[[#This Row],[MACPrice]]/AzureSpecs[[#This Row],[MAGPrice]]</f>
        <v>#DIV/0!</v>
      </c>
      <c r="J70" t="s">
        <v>724</v>
      </c>
      <c r="K70" s="46"/>
    </row>
    <row r="71" spans="1:11" x14ac:dyDescent="0.45">
      <c r="A71" t="s">
        <v>658</v>
      </c>
      <c r="B71" t="s">
        <v>659</v>
      </c>
      <c r="D71" s="45"/>
      <c r="E71" s="45"/>
      <c r="F71" s="8">
        <v>8</v>
      </c>
      <c r="G71" s="48">
        <v>112</v>
      </c>
      <c r="I71" s="46" t="e">
        <f>1-AzureSpecs[[#This Row],[MACPrice]]/AzureSpecs[[#This Row],[MAGPrice]]</f>
        <v>#DIV/0!</v>
      </c>
      <c r="J71" t="s">
        <v>724</v>
      </c>
      <c r="K71" s="46"/>
    </row>
    <row r="72" spans="1:11" x14ac:dyDescent="0.45">
      <c r="A72" t="s">
        <v>660</v>
      </c>
      <c r="B72" t="s">
        <v>661</v>
      </c>
      <c r="D72" s="45"/>
      <c r="E72" s="45"/>
      <c r="F72" s="8">
        <v>16</v>
      </c>
      <c r="G72" s="48">
        <v>224</v>
      </c>
      <c r="I72" s="46" t="e">
        <f>1-AzureSpecs[[#This Row],[MACPrice]]/AzureSpecs[[#This Row],[MAGPrice]]</f>
        <v>#DIV/0!</v>
      </c>
      <c r="J72" t="s">
        <v>724</v>
      </c>
      <c r="K72" s="46"/>
    </row>
    <row r="73" spans="1:11" x14ac:dyDescent="0.45">
      <c r="A73" t="s">
        <v>662</v>
      </c>
      <c r="B73" t="s">
        <v>663</v>
      </c>
      <c r="D73" s="45"/>
      <c r="E73" s="45"/>
      <c r="F73" s="8">
        <v>32</v>
      </c>
      <c r="G73" s="48">
        <v>448</v>
      </c>
      <c r="I73" s="46" t="e">
        <f>1-AzureSpecs[[#This Row],[MACPrice]]/AzureSpecs[[#This Row],[MAGPrice]]</f>
        <v>#DIV/0!</v>
      </c>
      <c r="J73" t="s">
        <v>724</v>
      </c>
      <c r="K73" s="46"/>
    </row>
    <row r="74" spans="1:11" x14ac:dyDescent="0.45">
      <c r="A74" t="s">
        <v>653</v>
      </c>
      <c r="B74" t="s">
        <v>733</v>
      </c>
      <c r="C74" s="14">
        <v>0.999</v>
      </c>
      <c r="D74" s="45"/>
      <c r="E74" s="45"/>
      <c r="I74" s="46" t="e">
        <f>1-AzureSpecs[[#This Row],[MACPrice]]/AzureSpecs[[#This Row],[MAGPrice]]</f>
        <v>#DIV/0!</v>
      </c>
      <c r="J74" t="s">
        <v>724</v>
      </c>
      <c r="K74" s="46"/>
    </row>
    <row r="75" spans="1:11" x14ac:dyDescent="0.45">
      <c r="A75" t="s">
        <v>650</v>
      </c>
      <c r="B75" t="s">
        <v>730</v>
      </c>
      <c r="C75" s="14">
        <v>0.999</v>
      </c>
      <c r="D75" s="45"/>
      <c r="E75" s="45"/>
      <c r="I75" s="46" t="e">
        <f>1-AzureSpecs[[#This Row],[MACPrice]]/AzureSpecs[[#This Row],[MAGPrice]]</f>
        <v>#DIV/0!</v>
      </c>
      <c r="J75" t="s">
        <v>724</v>
      </c>
      <c r="K75" s="46"/>
    </row>
    <row r="76" spans="1:11" x14ac:dyDescent="0.45">
      <c r="A76" t="s">
        <v>654</v>
      </c>
      <c r="B76" t="s">
        <v>734</v>
      </c>
      <c r="C76" s="14">
        <v>0.99990000000000001</v>
      </c>
      <c r="D76" s="45"/>
      <c r="E76" s="45"/>
      <c r="I76" s="46" t="e">
        <f>1-AzureSpecs[[#This Row],[MACPrice]]/AzureSpecs[[#This Row],[MAGPrice]]</f>
        <v>#DIV/0!</v>
      </c>
      <c r="J76" t="s">
        <v>724</v>
      </c>
      <c r="K76" s="46"/>
    </row>
    <row r="77" spans="1:11" x14ac:dyDescent="0.45">
      <c r="A77" t="s">
        <v>651</v>
      </c>
      <c r="B77" t="s">
        <v>731</v>
      </c>
      <c r="C77" s="14">
        <v>0.99990000000000001</v>
      </c>
      <c r="D77" s="45"/>
      <c r="E77" s="45"/>
      <c r="I77" s="46" t="e">
        <f>1-AzureSpecs[[#This Row],[MACPrice]]/AzureSpecs[[#This Row],[MAGPrice]]</f>
        <v>#DIV/0!</v>
      </c>
      <c r="J77" t="s">
        <v>724</v>
      </c>
      <c r="K77" s="46"/>
    </row>
    <row r="78" spans="1:11" x14ac:dyDescent="0.45">
      <c r="A78" t="s">
        <v>652</v>
      </c>
      <c r="B78" t="s">
        <v>732</v>
      </c>
      <c r="C78" s="14">
        <v>0.999</v>
      </c>
      <c r="D78" s="45"/>
      <c r="E78" s="45"/>
      <c r="I78" s="46" t="e">
        <f>1-AzureSpecs[[#This Row],[MACPrice]]/AzureSpecs[[#This Row],[MAGPrice]]</f>
        <v>#DIV/0!</v>
      </c>
      <c r="J78" t="s">
        <v>724</v>
      </c>
      <c r="K78" s="46"/>
    </row>
    <row r="79" spans="1:11" x14ac:dyDescent="0.45">
      <c r="A79" t="s">
        <v>883</v>
      </c>
      <c r="B79" t="s">
        <v>884</v>
      </c>
      <c r="D79" s="45"/>
      <c r="E79" s="45"/>
      <c r="I79" s="47" t="e">
        <f>1-AzureSpecs[[#This Row],[MACPrice]]/AzureSpecs[[#This Row],[MAGPrice]]</f>
        <v>#DIV/0!</v>
      </c>
      <c r="K79" s="46"/>
    </row>
    <row r="80" spans="1:11" x14ac:dyDescent="0.45">
      <c r="A80" t="s">
        <v>885</v>
      </c>
      <c r="B80" t="s">
        <v>886</v>
      </c>
      <c r="D80" s="45"/>
      <c r="E80" s="45"/>
      <c r="I80" s="47" t="e">
        <f>1-AzureSpecs[[#This Row],[MACPrice]]/AzureSpecs[[#This Row],[MAGPrice]]</f>
        <v>#DIV/0!</v>
      </c>
      <c r="K80" s="46"/>
    </row>
    <row r="81" spans="1:11" x14ac:dyDescent="0.45">
      <c r="A81" t="s">
        <v>649</v>
      </c>
      <c r="B81" t="s">
        <v>729</v>
      </c>
      <c r="C81" s="14">
        <v>0.999</v>
      </c>
      <c r="D81" s="45"/>
      <c r="E81" s="45"/>
      <c r="I81" s="46" t="e">
        <f>1-AzureSpecs[[#This Row],[MACPrice]]/AzureSpecs[[#This Row],[MAGPrice]]</f>
        <v>#DIV/0!</v>
      </c>
      <c r="J81" t="s">
        <v>724</v>
      </c>
      <c r="K81" s="46"/>
    </row>
    <row r="82" spans="1:11" x14ac:dyDescent="0.45">
      <c r="A82" t="s">
        <v>135</v>
      </c>
      <c r="B82" t="s">
        <v>136</v>
      </c>
      <c r="D82" s="45"/>
      <c r="E82" s="45"/>
      <c r="I82" s="46" t="e">
        <f>1-AzureSpecs[[#This Row],[MACPrice]]/AzureSpecs[[#This Row],[MAGPrice]]</f>
        <v>#DIV/0!</v>
      </c>
      <c r="J82" t="s">
        <v>724</v>
      </c>
      <c r="K82" s="46"/>
    </row>
    <row r="83" spans="1:11" x14ac:dyDescent="0.45">
      <c r="A83" t="s">
        <v>137</v>
      </c>
      <c r="B83" t="s">
        <v>138</v>
      </c>
      <c r="D83" s="45"/>
      <c r="E83" s="45"/>
      <c r="I83" s="46" t="e">
        <f>1-AzureSpecs[[#This Row],[MACPrice]]/AzureSpecs[[#This Row],[MAGPrice]]</f>
        <v>#DIV/0!</v>
      </c>
      <c r="J83" t="s">
        <v>724</v>
      </c>
      <c r="K83" s="46"/>
    </row>
    <row r="84" spans="1:11" x14ac:dyDescent="0.45">
      <c r="A84" t="s">
        <v>139</v>
      </c>
      <c r="B84" t="s">
        <v>140</v>
      </c>
      <c r="D84" s="45"/>
      <c r="E84" s="45"/>
      <c r="I84" s="46" t="e">
        <f>1-AzureSpecs[[#This Row],[MACPrice]]/AzureSpecs[[#This Row],[MAGPrice]]</f>
        <v>#DIV/0!</v>
      </c>
      <c r="J84" t="s">
        <v>724</v>
      </c>
      <c r="K84" s="47"/>
    </row>
    <row r="85" spans="1:11" x14ac:dyDescent="0.45">
      <c r="A85" t="s">
        <v>835</v>
      </c>
      <c r="B85" t="s">
        <v>836</v>
      </c>
      <c r="D85" s="45"/>
      <c r="E85" s="45"/>
      <c r="I85" s="47" t="e">
        <f>1-AzureSpecs[[#This Row],[MACPrice]]/AzureSpecs[[#This Row],[MAGPrice]]</f>
        <v>#DIV/0!</v>
      </c>
      <c r="K85" s="47"/>
    </row>
    <row r="86" spans="1:11" x14ac:dyDescent="0.45">
      <c r="A86" t="s">
        <v>833</v>
      </c>
      <c r="B86" t="s">
        <v>834</v>
      </c>
      <c r="D86" s="45"/>
      <c r="E86" s="45"/>
      <c r="I86" s="47" t="e">
        <f>1-AzureSpecs[[#This Row],[MACPrice]]/AzureSpecs[[#This Row],[MAGPrice]]</f>
        <v>#DIV/0!</v>
      </c>
      <c r="K86" s="47"/>
    </row>
    <row r="87" spans="1:11" x14ac:dyDescent="0.45">
      <c r="A87" t="s">
        <v>896</v>
      </c>
      <c r="B87" t="s">
        <v>897</v>
      </c>
      <c r="D87" s="45"/>
      <c r="E87" s="45"/>
      <c r="I87" s="47" t="e">
        <f>1-AzureSpecs[[#This Row],[MACPrice]]/AzureSpecs[[#This Row],[MAGPrice]]</f>
        <v>#DIV/0!</v>
      </c>
      <c r="K87" s="47"/>
    </row>
    <row r="88" spans="1:11" x14ac:dyDescent="0.45">
      <c r="A88" t="s">
        <v>925</v>
      </c>
      <c r="B88" t="s">
        <v>889</v>
      </c>
      <c r="D88" s="45"/>
      <c r="E88" s="45"/>
      <c r="I88" s="47" t="e">
        <f>1-AzureSpecs[[#This Row],[MACPrice]]/AzureSpecs[[#This Row],[MAGPrice]]</f>
        <v>#DIV/0!</v>
      </c>
      <c r="K88" s="46"/>
    </row>
    <row r="89" spans="1:11" x14ac:dyDescent="0.45">
      <c r="A89" t="s">
        <v>881</v>
      </c>
      <c r="B89" t="s">
        <v>882</v>
      </c>
      <c r="D89" s="45"/>
      <c r="E89" s="45"/>
      <c r="I89" s="47" t="e">
        <f>1-AzureSpecs[[#This Row],[MACPrice]]/AzureSpecs[[#This Row],[MAGPrice]]</f>
        <v>#DIV/0!</v>
      </c>
      <c r="K89" s="46"/>
    </row>
    <row r="90" spans="1:11" x14ac:dyDescent="0.45">
      <c r="A90" t="s">
        <v>143</v>
      </c>
      <c r="B90" t="s">
        <v>141</v>
      </c>
      <c r="C90" s="14">
        <v>0.999</v>
      </c>
      <c r="D90" s="45"/>
      <c r="E90" s="45"/>
      <c r="I90" s="46" t="e">
        <f>1-AzureSpecs[[#This Row],[MACPrice]]/AzureSpecs[[#This Row],[MAGPrice]]</f>
        <v>#DIV/0!</v>
      </c>
      <c r="J90" t="s">
        <v>724</v>
      </c>
      <c r="K90" s="46"/>
    </row>
    <row r="91" spans="1:11" x14ac:dyDescent="0.45">
      <c r="A91" t="s">
        <v>144</v>
      </c>
      <c r="B91" t="s">
        <v>142</v>
      </c>
      <c r="C91" s="14">
        <v>0.99990000000000001</v>
      </c>
      <c r="D91" s="45"/>
      <c r="E91" s="45"/>
      <c r="I91" s="46" t="e">
        <f>1-AzureSpecs[[#This Row],[MACPrice]]/AzureSpecs[[#This Row],[MAGPrice]]</f>
        <v>#DIV/0!</v>
      </c>
      <c r="J91" t="s">
        <v>724</v>
      </c>
      <c r="K91" s="46"/>
    </row>
    <row r="92" spans="1:11" x14ac:dyDescent="0.45">
      <c r="A92" t="s">
        <v>145</v>
      </c>
      <c r="B92" t="s">
        <v>146</v>
      </c>
      <c r="D92" s="45"/>
      <c r="E92" s="45"/>
      <c r="I92" s="46" t="e">
        <f>1-AzureSpecs[[#This Row],[MACPrice]]/AzureSpecs[[#This Row],[MAGPrice]]</f>
        <v>#DIV/0!</v>
      </c>
      <c r="J92" t="s">
        <v>724</v>
      </c>
      <c r="K92" s="46"/>
    </row>
    <row r="93" spans="1:11" x14ac:dyDescent="0.45">
      <c r="A93" t="s">
        <v>187</v>
      </c>
      <c r="B93" t="s">
        <v>188</v>
      </c>
      <c r="D93" s="45"/>
      <c r="E93" s="45"/>
      <c r="F93" s="8">
        <v>0</v>
      </c>
      <c r="G93" s="48">
        <v>0</v>
      </c>
      <c r="I93" s="46" t="e">
        <f>1-AzureSpecs[[#This Row],[MACPrice]]/AzureSpecs[[#This Row],[MAGPrice]]</f>
        <v>#DIV/0!</v>
      </c>
      <c r="J93" t="s">
        <v>724</v>
      </c>
      <c r="K93" s="46"/>
    </row>
    <row r="94" spans="1:11" x14ac:dyDescent="0.45">
      <c r="A94" t="s">
        <v>681</v>
      </c>
      <c r="B94" t="s">
        <v>736</v>
      </c>
      <c r="D94" s="45"/>
      <c r="E94" s="45"/>
      <c r="I94" s="46" t="e">
        <f>1-AzureSpecs[[#This Row],[MACPrice]]/AzureSpecs[[#This Row],[MAGPrice]]</f>
        <v>#DIV/0!</v>
      </c>
      <c r="J94" t="s">
        <v>724</v>
      </c>
      <c r="K94" s="46"/>
    </row>
    <row r="95" spans="1:11" x14ac:dyDescent="0.45">
      <c r="A95" t="s">
        <v>190</v>
      </c>
      <c r="B95" t="s">
        <v>189</v>
      </c>
      <c r="D95" s="45"/>
      <c r="E95" s="45"/>
      <c r="I95" s="46" t="e">
        <f>1-AzureSpecs[[#This Row],[MACPrice]]/AzureSpecs[[#This Row],[MAGPrice]]</f>
        <v>#DIV/0!</v>
      </c>
      <c r="J95" t="s">
        <v>724</v>
      </c>
      <c r="K95" s="46"/>
    </row>
    <row r="96" spans="1:11" x14ac:dyDescent="0.45">
      <c r="A96" t="s">
        <v>705</v>
      </c>
      <c r="B96" t="s">
        <v>711</v>
      </c>
      <c r="D96" s="45"/>
      <c r="E96" s="45"/>
      <c r="I96" s="46" t="e">
        <f>1-AzureSpecs[[#This Row],[MACPrice]]/AzureSpecs[[#This Row],[MAGPrice]]</f>
        <v>#DIV/0!</v>
      </c>
      <c r="J96" t="s">
        <v>724</v>
      </c>
      <c r="K96" s="46"/>
    </row>
    <row r="97" spans="1:11" x14ac:dyDescent="0.45">
      <c r="A97" t="s">
        <v>712</v>
      </c>
      <c r="B97" t="s">
        <v>717</v>
      </c>
      <c r="D97" s="45"/>
      <c r="E97" s="45"/>
      <c r="I97" s="47" t="e">
        <f>1-AzureSpecs[[#This Row],[MACPrice]]/AzureSpecs[[#This Row],[MAGPrice]]</f>
        <v>#DIV/0!</v>
      </c>
      <c r="J97" t="s">
        <v>724</v>
      </c>
      <c r="K97" s="46"/>
    </row>
    <row r="98" spans="1:11" x14ac:dyDescent="0.45">
      <c r="A98" t="s">
        <v>720</v>
      </c>
      <c r="B98" t="s">
        <v>722</v>
      </c>
      <c r="C98" s="14">
        <v>0.999</v>
      </c>
      <c r="D98" s="45"/>
      <c r="E98" s="45"/>
      <c r="I98" s="46" t="e">
        <f>1-AzureSpecs[[#This Row],[MACPrice]]/AzureSpecs[[#This Row],[MAGPrice]]</f>
        <v>#DIV/0!</v>
      </c>
      <c r="J98" t="s">
        <v>724</v>
      </c>
      <c r="K98" s="46"/>
    </row>
    <row r="99" spans="1:11" x14ac:dyDescent="0.45">
      <c r="A99" t="s">
        <v>718</v>
      </c>
      <c r="B99" t="s">
        <v>721</v>
      </c>
      <c r="D99" s="45"/>
      <c r="E99" s="45"/>
      <c r="I99" s="47" t="e">
        <f>1-AzureSpecs[[#This Row],[MACPrice]]/AzureSpecs[[#This Row],[MAGPrice]]</f>
        <v>#DIV/0!</v>
      </c>
      <c r="J99" t="s">
        <v>724</v>
      </c>
      <c r="K99" s="46"/>
    </row>
    <row r="100" spans="1:11" x14ac:dyDescent="0.45">
      <c r="A100" t="s">
        <v>710</v>
      </c>
      <c r="B100" t="s">
        <v>722</v>
      </c>
      <c r="D100" s="45"/>
      <c r="E100" s="45"/>
      <c r="I100" s="46" t="e">
        <f>1-AzureSpecs[[#This Row],[MACPrice]]/AzureSpecs[[#This Row],[MAGPrice]]</f>
        <v>#DIV/0!</v>
      </c>
      <c r="J100" t="s">
        <v>724</v>
      </c>
      <c r="K100" s="46"/>
    </row>
    <row r="101" spans="1:11" x14ac:dyDescent="0.45">
      <c r="A101" t="s">
        <v>719</v>
      </c>
      <c r="B101" t="s">
        <v>722</v>
      </c>
      <c r="D101" s="45"/>
      <c r="E101" s="45"/>
      <c r="I101" s="46" t="e">
        <f>1-AzureSpecs[[#This Row],[MACPrice]]/AzureSpecs[[#This Row],[MAGPrice]]</f>
        <v>#DIV/0!</v>
      </c>
      <c r="J101" t="s">
        <v>724</v>
      </c>
      <c r="K101" s="46"/>
    </row>
    <row r="102" spans="1:11" x14ac:dyDescent="0.45">
      <c r="A102" t="s">
        <v>706</v>
      </c>
      <c r="B102" t="s">
        <v>713</v>
      </c>
      <c r="D102" s="45"/>
      <c r="E102" s="45"/>
      <c r="I102" s="46" t="e">
        <f>1-AzureSpecs[[#This Row],[MACPrice]]/AzureSpecs[[#This Row],[MAGPrice]]</f>
        <v>#DIV/0!</v>
      </c>
      <c r="J102" t="s">
        <v>724</v>
      </c>
      <c r="K102" s="46"/>
    </row>
    <row r="103" spans="1:11" x14ac:dyDescent="0.45">
      <c r="A103" t="s">
        <v>707</v>
      </c>
      <c r="B103" t="s">
        <v>714</v>
      </c>
      <c r="D103" s="45"/>
      <c r="E103" s="45"/>
      <c r="I103" s="46" t="e">
        <f>1-AzureSpecs[[#This Row],[MACPrice]]/AzureSpecs[[#This Row],[MAGPrice]]</f>
        <v>#DIV/0!</v>
      </c>
      <c r="J103" t="s">
        <v>724</v>
      </c>
      <c r="K103" s="46"/>
    </row>
    <row r="104" spans="1:11" x14ac:dyDescent="0.45">
      <c r="A104" t="s">
        <v>708</v>
      </c>
      <c r="B104" t="s">
        <v>715</v>
      </c>
      <c r="D104" s="45"/>
      <c r="E104" s="45"/>
      <c r="I104" s="47" t="e">
        <f>1-AzureSpecs[[#This Row],[MACPrice]]/AzureSpecs[[#This Row],[MAGPrice]]</f>
        <v>#DIV/0!</v>
      </c>
      <c r="J104" t="s">
        <v>724</v>
      </c>
      <c r="K104" s="46"/>
    </row>
    <row r="105" spans="1:11" x14ac:dyDescent="0.45">
      <c r="A105" t="s">
        <v>709</v>
      </c>
      <c r="B105" t="s">
        <v>716</v>
      </c>
      <c r="D105" s="45"/>
      <c r="E105" s="45"/>
      <c r="I105" s="47" t="e">
        <f>1-AzureSpecs[[#This Row],[MACPrice]]/AzureSpecs[[#This Row],[MAGPrice]]</f>
        <v>#DIV/0!</v>
      </c>
      <c r="J105" t="s">
        <v>724</v>
      </c>
      <c r="K105" s="46"/>
    </row>
    <row r="106" spans="1:11" x14ac:dyDescent="0.45">
      <c r="A106" t="s">
        <v>673</v>
      </c>
      <c r="B106" t="s">
        <v>674</v>
      </c>
      <c r="D106" s="45"/>
      <c r="E106" s="45"/>
      <c r="I106" s="46" t="e">
        <f>1-AzureSpecs[[#This Row],[MACPrice]]/AzureSpecs[[#This Row],[MAGPrice]]</f>
        <v>#DIV/0!</v>
      </c>
      <c r="J106" t="s">
        <v>724</v>
      </c>
      <c r="K106" s="46"/>
    </row>
    <row r="107" spans="1:11" x14ac:dyDescent="0.45">
      <c r="A107" t="s">
        <v>675</v>
      </c>
      <c r="B107" t="s">
        <v>676</v>
      </c>
      <c r="D107" s="45"/>
      <c r="E107" s="45"/>
      <c r="I107" s="46" t="e">
        <f>1-AzureSpecs[[#This Row],[MACPrice]]/AzureSpecs[[#This Row],[MAGPrice]]</f>
        <v>#DIV/0!</v>
      </c>
      <c r="J107" t="s">
        <v>724</v>
      </c>
      <c r="K107" s="46"/>
    </row>
    <row r="108" spans="1:11" x14ac:dyDescent="0.45">
      <c r="A108" t="s">
        <v>677</v>
      </c>
      <c r="B108" t="s">
        <v>678</v>
      </c>
      <c r="D108" s="45"/>
      <c r="E108" s="45"/>
      <c r="I108" s="46" t="e">
        <f>1-AzureSpecs[[#This Row],[MACPrice]]/AzureSpecs[[#This Row],[MAGPrice]]</f>
        <v>#DIV/0!</v>
      </c>
      <c r="J108" t="s">
        <v>724</v>
      </c>
      <c r="K108" s="46"/>
    </row>
    <row r="109" spans="1:11" x14ac:dyDescent="0.45">
      <c r="A109" t="s">
        <v>672</v>
      </c>
      <c r="B109" t="s">
        <v>687</v>
      </c>
      <c r="D109" s="45"/>
      <c r="E109" s="45"/>
      <c r="I109" s="46" t="e">
        <f>1-AzureSpecs[[#This Row],[MACPrice]]/AzureSpecs[[#This Row],[MAGPrice]]</f>
        <v>#DIV/0!</v>
      </c>
      <c r="J109" t="s">
        <v>724</v>
      </c>
      <c r="K109" s="46"/>
    </row>
    <row r="110" spans="1:11" x14ac:dyDescent="0.45">
      <c r="A110" t="s">
        <v>186</v>
      </c>
      <c r="B110" t="s">
        <v>154</v>
      </c>
      <c r="D110" s="45"/>
      <c r="E110" s="45"/>
      <c r="I110" s="46" t="e">
        <f>1-AzureSpecs[[#This Row],[MACPrice]]/AzureSpecs[[#This Row],[MAGPrice]]</f>
        <v>#DIV/0!</v>
      </c>
      <c r="J110" t="s">
        <v>724</v>
      </c>
      <c r="K110" s="46"/>
    </row>
    <row r="111" spans="1:11" x14ac:dyDescent="0.45">
      <c r="A111" t="s">
        <v>131</v>
      </c>
      <c r="B111" t="s">
        <v>132</v>
      </c>
      <c r="D111" s="45"/>
      <c r="E111" s="45"/>
      <c r="I111" s="46" t="e">
        <f>1-AzureSpecs[[#This Row],[MACPrice]]/AzureSpecs[[#This Row],[MAGPrice]]</f>
        <v>#DIV/0!</v>
      </c>
      <c r="J111" t="s">
        <v>724</v>
      </c>
      <c r="K111" s="46"/>
    </row>
    <row r="112" spans="1:11" x14ac:dyDescent="0.45">
      <c r="A112" t="s">
        <v>133</v>
      </c>
      <c r="B112" t="s">
        <v>134</v>
      </c>
      <c r="D112" s="45"/>
      <c r="E112" s="45"/>
      <c r="I112" s="46" t="e">
        <f>1-AzureSpecs[[#This Row],[MACPrice]]/AzureSpecs[[#This Row],[MAGPrice]]</f>
        <v>#DIV/0!</v>
      </c>
      <c r="J112" t="s">
        <v>724</v>
      </c>
      <c r="K112" s="46"/>
    </row>
    <row r="113" spans="1:11" x14ac:dyDescent="0.45">
      <c r="A113" t="s">
        <v>695</v>
      </c>
      <c r="B113" t="s">
        <v>129</v>
      </c>
      <c r="D113" s="45"/>
      <c r="E113" s="45"/>
      <c r="I113" s="46" t="e">
        <f>1-AzureSpecs[[#This Row],[MACPrice]]/AzureSpecs[[#This Row],[MAGPrice]]</f>
        <v>#DIV/0!</v>
      </c>
      <c r="J113" t="s">
        <v>724</v>
      </c>
      <c r="K113" s="46"/>
    </row>
    <row r="114" spans="1:11" x14ac:dyDescent="0.45">
      <c r="A114" t="s">
        <v>737</v>
      </c>
      <c r="B114" t="s">
        <v>129</v>
      </c>
      <c r="D114" s="45"/>
      <c r="E114" s="45"/>
      <c r="I114" s="47" t="e">
        <f>1-AzureSpecs[[#This Row],[MACPrice]]/AzureSpecs[[#This Row],[MAGPrice]]</f>
        <v>#DIV/0!</v>
      </c>
      <c r="K114" s="46"/>
    </row>
    <row r="115" spans="1:11" x14ac:dyDescent="0.45">
      <c r="A115" t="s">
        <v>738</v>
      </c>
      <c r="B115" t="s">
        <v>129</v>
      </c>
      <c r="D115" s="45"/>
      <c r="E115" s="45"/>
      <c r="I115" s="47" t="e">
        <f>1-AzureSpecs[[#This Row],[MACPrice]]/AzureSpecs[[#This Row],[MAGPrice]]</f>
        <v>#DIV/0!</v>
      </c>
      <c r="K115" s="46"/>
    </row>
    <row r="116" spans="1:11" x14ac:dyDescent="0.45">
      <c r="A116" t="s">
        <v>693</v>
      </c>
      <c r="B116" t="s">
        <v>127</v>
      </c>
      <c r="D116" s="45"/>
      <c r="E116" s="45"/>
      <c r="I116" s="46" t="e">
        <f>1-AzureSpecs[[#This Row],[MACPrice]]/AzureSpecs[[#This Row],[MAGPrice]]</f>
        <v>#DIV/0!</v>
      </c>
      <c r="J116" t="s">
        <v>724</v>
      </c>
      <c r="K116" s="46"/>
    </row>
    <row r="117" spans="1:11" x14ac:dyDescent="0.45">
      <c r="A117" t="s">
        <v>694</v>
      </c>
      <c r="B117" t="s">
        <v>128</v>
      </c>
      <c r="D117" s="45"/>
      <c r="E117" s="45"/>
      <c r="I117" s="46" t="e">
        <f>1-AzureSpecs[[#This Row],[MACPrice]]/AzureSpecs[[#This Row],[MAGPrice]]</f>
        <v>#DIV/0!</v>
      </c>
      <c r="J117" t="s">
        <v>724</v>
      </c>
      <c r="K117" s="46"/>
    </row>
    <row r="118" spans="1:11" x14ac:dyDescent="0.45">
      <c r="A118" t="s">
        <v>698</v>
      </c>
      <c r="B118" t="s">
        <v>701</v>
      </c>
      <c r="C118" s="14">
        <v>0.99950000000000006</v>
      </c>
      <c r="D118" s="45"/>
      <c r="E118" s="45"/>
      <c r="F118" s="8">
        <v>1</v>
      </c>
      <c r="G118" s="48">
        <v>1.75</v>
      </c>
      <c r="H118" s="8">
        <v>500</v>
      </c>
      <c r="I118" s="47" t="e">
        <f>1-AzureSpecs[[#This Row],[MACPrice]]/AzureSpecs[[#This Row],[MAGPrice]]</f>
        <v>#DIV/0!</v>
      </c>
      <c r="J118" t="s">
        <v>724</v>
      </c>
      <c r="K118" s="46"/>
    </row>
    <row r="119" spans="1:11" x14ac:dyDescent="0.45">
      <c r="A119" t="s">
        <v>699</v>
      </c>
      <c r="B119" t="s">
        <v>702</v>
      </c>
      <c r="C119" s="14">
        <v>0.99950000000000006</v>
      </c>
      <c r="D119" s="45"/>
      <c r="E119" s="45"/>
      <c r="F119" s="8">
        <v>2</v>
      </c>
      <c r="G119" s="48">
        <v>3.5</v>
      </c>
      <c r="H119" s="8">
        <v>500</v>
      </c>
      <c r="I119" s="47" t="e">
        <f>1-AzureSpecs[[#This Row],[MACPrice]]/AzureSpecs[[#This Row],[MAGPrice]]</f>
        <v>#DIV/0!</v>
      </c>
      <c r="J119" t="s">
        <v>724</v>
      </c>
      <c r="K119" s="46"/>
    </row>
    <row r="120" spans="1:11" x14ac:dyDescent="0.45">
      <c r="A120" t="s">
        <v>700</v>
      </c>
      <c r="B120" t="s">
        <v>703</v>
      </c>
      <c r="C120" s="14">
        <v>0.99950000000000006</v>
      </c>
      <c r="D120" s="45"/>
      <c r="E120" s="45"/>
      <c r="F120" s="8">
        <v>4</v>
      </c>
      <c r="G120" s="48">
        <v>7</v>
      </c>
      <c r="H120" s="8">
        <v>500</v>
      </c>
      <c r="I120" s="47" t="e">
        <f>1-AzureSpecs[[#This Row],[MACPrice]]/AzureSpecs[[#This Row],[MAGPrice]]</f>
        <v>#DIV/0!</v>
      </c>
      <c r="J120" t="s">
        <v>724</v>
      </c>
      <c r="K120" s="46"/>
    </row>
    <row r="121" spans="1:11" x14ac:dyDescent="0.45">
      <c r="A121" t="s">
        <v>697</v>
      </c>
      <c r="B121" t="s">
        <v>704</v>
      </c>
      <c r="C121" s="14">
        <v>0.99950000000000006</v>
      </c>
      <c r="D121" s="45"/>
      <c r="E121" s="45"/>
      <c r="F121" s="8">
        <v>8</v>
      </c>
      <c r="G121" s="48">
        <v>14</v>
      </c>
      <c r="H121" s="8">
        <v>500</v>
      </c>
      <c r="I121" s="47" t="e">
        <f>1-AzureSpecs[[#This Row],[MACPrice]]/AzureSpecs[[#This Row],[MAGPrice]]</f>
        <v>#DIV/0!</v>
      </c>
      <c r="J121" t="s">
        <v>724</v>
      </c>
      <c r="K121" s="46"/>
    </row>
    <row r="122" spans="1:11" x14ac:dyDescent="0.45">
      <c r="A122" t="s">
        <v>696</v>
      </c>
      <c r="B122" t="s">
        <v>130</v>
      </c>
      <c r="D122" s="45"/>
      <c r="E122" s="45"/>
      <c r="I122" s="46" t="e">
        <f>1-AzureSpecs[[#This Row],[MACPrice]]/AzureSpecs[[#This Row],[MAGPrice]]</f>
        <v>#DIV/0!</v>
      </c>
      <c r="J122" t="s">
        <v>724</v>
      </c>
      <c r="K122" s="46"/>
    </row>
    <row r="123" spans="1:11" x14ac:dyDescent="0.45">
      <c r="A123" t="s">
        <v>739</v>
      </c>
      <c r="B123" t="s">
        <v>130</v>
      </c>
      <c r="D123" s="45"/>
      <c r="E123" s="45"/>
      <c r="I123" s="47" t="e">
        <f>1-AzureSpecs[[#This Row],[MACPrice]]/AzureSpecs[[#This Row],[MAGPrice]]</f>
        <v>#DIV/0!</v>
      </c>
      <c r="K123" s="46"/>
    </row>
    <row r="124" spans="1:11" x14ac:dyDescent="0.45">
      <c r="A124" t="s">
        <v>740</v>
      </c>
      <c r="B124" t="s">
        <v>130</v>
      </c>
      <c r="D124" s="45"/>
      <c r="E124" s="45"/>
      <c r="I124" s="47" t="e">
        <f>1-AzureSpecs[[#This Row],[MACPrice]]/AzureSpecs[[#This Row],[MAGPrice]]</f>
        <v>#DIV/0!</v>
      </c>
      <c r="K124" s="46"/>
    </row>
    <row r="125" spans="1:11" x14ac:dyDescent="0.45">
      <c r="D125" s="45"/>
      <c r="E125" s="45"/>
      <c r="I125" s="47"/>
      <c r="K125" s="46"/>
    </row>
    <row r="126" spans="1:11" x14ac:dyDescent="0.45">
      <c r="D126" s="45"/>
      <c r="E126" s="45"/>
      <c r="I126" s="47"/>
      <c r="K126" s="46"/>
    </row>
    <row r="127" spans="1:11" x14ac:dyDescent="0.45">
      <c r="D127" s="45"/>
      <c r="E127" s="45"/>
      <c r="I127" s="47"/>
      <c r="K127" s="46"/>
    </row>
    <row r="128" spans="1:11" x14ac:dyDescent="0.45">
      <c r="D128" s="45"/>
      <c r="E128" s="45"/>
      <c r="I128" s="47" t="e">
        <f>1-AzureSpecs[[#This Row],[MACPrice]]/AzureSpecs[[#This Row],[MAGPrice]]</f>
        <v>#DIV/0!</v>
      </c>
      <c r="K128" s="47"/>
    </row>
    <row r="129" spans="4:15" x14ac:dyDescent="0.45">
      <c r="D129" s="45"/>
      <c r="E129" s="45"/>
      <c r="I129" s="47" t="e">
        <f>1-AzureSpecs[[#This Row],[MACPrice]]/AzureSpecs[[#This Row],[MAGPrice]]</f>
        <v>#DIV/0!</v>
      </c>
    </row>
    <row r="130" spans="4:15" x14ac:dyDescent="0.45">
      <c r="D130" s="45"/>
      <c r="E130" s="45"/>
      <c r="I130" s="47" t="e">
        <f>1-AzureSpecs[[#This Row],[MACPrice]]/AzureSpecs[[#This Row],[MAGPrice]]</f>
        <v>#DIV/0!</v>
      </c>
    </row>
    <row r="131" spans="4:15" x14ac:dyDescent="0.45">
      <c r="D131" s="45"/>
      <c r="E131" s="45"/>
      <c r="I131" s="47" t="e">
        <f>1-AzureSpecs[[#This Row],[MACPrice]]/AzureSpecs[[#This Row],[MAGPrice]]</f>
        <v>#DIV/0!</v>
      </c>
    </row>
    <row r="132" spans="4:15" x14ac:dyDescent="0.45">
      <c r="D132" s="45"/>
      <c r="E132" s="45"/>
      <c r="I132" s="47" t="e">
        <f>1-AzureSpecs[[#This Row],[MACPrice]]/AzureSpecs[[#This Row],[MAGPrice]]</f>
        <v>#DIV/0!</v>
      </c>
    </row>
    <row r="133" spans="4:15" x14ac:dyDescent="0.45">
      <c r="D133" s="45"/>
      <c r="E133" s="45"/>
      <c r="I133" s="47" t="e">
        <f>1-AzureSpecs[[#This Row],[MACPrice]]/AzureSpecs[[#This Row],[MAGPrice]]</f>
        <v>#DIV/0!</v>
      </c>
    </row>
    <row r="134" spans="4:15" x14ac:dyDescent="0.45">
      <c r="D134" s="45"/>
      <c r="E134" s="45"/>
      <c r="I134" s="47" t="e">
        <f>1-AzureSpecs[[#This Row],[MACPrice]]/AzureSpecs[[#This Row],[MAGPrice]]</f>
        <v>#DIV/0!</v>
      </c>
    </row>
    <row r="135" spans="4:15" x14ac:dyDescent="0.45">
      <c r="D135" s="45"/>
      <c r="E135" s="45"/>
      <c r="I135" s="47" t="e">
        <f>1-AzureSpecs[[#This Row],[MACPrice]]/AzureSpecs[[#This Row],[MAGPrice]]</f>
        <v>#DIV/0!</v>
      </c>
    </row>
    <row r="136" spans="4:15" x14ac:dyDescent="0.45">
      <c r="D136" s="45"/>
      <c r="E136" s="45"/>
      <c r="I136" s="47" t="e">
        <f>1-AzureSpecs[[#This Row],[MACPrice]]/AzureSpecs[[#This Row],[MAGPrice]]</f>
        <v>#DIV/0!</v>
      </c>
      <c r="O136">
        <f>0.8*100</f>
        <v>80</v>
      </c>
    </row>
    <row r="137" spans="4:15" x14ac:dyDescent="0.45">
      <c r="D137" s="45"/>
      <c r="E137" s="45"/>
      <c r="I137" s="47" t="e">
        <f>1-AzureSpecs[[#This Row],[MACPrice]]/AzureSpecs[[#This Row],[MAGPrice]]</f>
        <v>#DIV/0!</v>
      </c>
      <c r="O137">
        <f>0.5*2500</f>
        <v>1250</v>
      </c>
    </row>
    <row r="138" spans="4:15" x14ac:dyDescent="0.45">
      <c r="D138" s="45"/>
      <c r="E138" s="45"/>
      <c r="I138" s="47" t="e">
        <f>1-AzureSpecs[[#This Row],[MACPrice]]/AzureSpecs[[#This Row],[MAGPrice]]</f>
        <v>#DIV/0!</v>
      </c>
      <c r="J138" t="s">
        <v>724</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6.5" x14ac:dyDescent="0.45">
      <c r="A1" t="s">
        <v>272</v>
      </c>
      <c r="B1" t="s">
        <v>921</v>
      </c>
      <c r="C1" t="s">
        <v>387</v>
      </c>
      <c r="D1" t="s">
        <v>900</v>
      </c>
      <c r="E1" s="4" t="s">
        <v>901</v>
      </c>
      <c r="F1" s="4" t="s">
        <v>902</v>
      </c>
      <c r="G1" s="4" t="s">
        <v>903</v>
      </c>
      <c r="H1" s="4" t="s">
        <v>904</v>
      </c>
      <c r="I1" s="4" t="s">
        <v>905</v>
      </c>
      <c r="J1" s="65" t="s">
        <v>115</v>
      </c>
      <c r="K1" s="65" t="s">
        <v>116</v>
      </c>
      <c r="L1" s="65" t="s">
        <v>117</v>
      </c>
      <c r="M1" s="65" t="s">
        <v>118</v>
      </c>
      <c r="N1" s="65" t="s">
        <v>119</v>
      </c>
      <c r="O1" t="s">
        <v>120</v>
      </c>
      <c r="P1" t="s">
        <v>121</v>
      </c>
      <c r="Q1" t="s">
        <v>122</v>
      </c>
      <c r="R1" t="s">
        <v>202</v>
      </c>
      <c r="S1" t="s">
        <v>203</v>
      </c>
      <c r="T1" t="s">
        <v>201</v>
      </c>
      <c r="U1" t="s">
        <v>204</v>
      </c>
      <c r="V1" t="s">
        <v>922</v>
      </c>
      <c r="W1" t="s">
        <v>224</v>
      </c>
      <c r="X1" t="s">
        <v>251</v>
      </c>
      <c r="Y1" t="s">
        <v>207</v>
      </c>
      <c r="Z1" t="s">
        <v>252</v>
      </c>
      <c r="AA1" t="s">
        <v>906</v>
      </c>
      <c r="AB1" t="s">
        <v>924</v>
      </c>
    </row>
    <row r="2" spans="1:28" x14ac:dyDescent="0.45">
      <c r="A2" t="s">
        <v>318</v>
      </c>
      <c r="B2" t="s">
        <v>907</v>
      </c>
      <c r="C2" t="s">
        <v>908</v>
      </c>
      <c r="D2" t="s">
        <v>920</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319</v>
      </c>
      <c r="B3" t="s">
        <v>910</v>
      </c>
      <c r="C3" t="s">
        <v>911</v>
      </c>
      <c r="D3" t="s">
        <v>920</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320</v>
      </c>
      <c r="B4" t="s">
        <v>912</v>
      </c>
      <c r="C4" t="s">
        <v>913</v>
      </c>
      <c r="D4" t="s">
        <v>920</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321</v>
      </c>
      <c r="B5" t="s">
        <v>914</v>
      </c>
      <c r="C5" t="s">
        <v>915</v>
      </c>
      <c r="D5" t="s">
        <v>920</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322</v>
      </c>
      <c r="B6" t="s">
        <v>916</v>
      </c>
      <c r="C6" t="s">
        <v>917</v>
      </c>
      <c r="D6" t="s">
        <v>920</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918</v>
      </c>
      <c r="C7" t="s">
        <v>919</v>
      </c>
      <c r="D7" t="s">
        <v>920</v>
      </c>
      <c r="L7">
        <v>20</v>
      </c>
      <c r="M7">
        <v>8</v>
      </c>
      <c r="N7">
        <v>12</v>
      </c>
      <c r="O7">
        <v>12</v>
      </c>
      <c r="P7">
        <v>20</v>
      </c>
      <c r="S7">
        <v>12</v>
      </c>
      <c r="V7">
        <v>4</v>
      </c>
      <c r="AA7"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318</v>
      </c>
      <c r="B8" t="s">
        <v>907</v>
      </c>
      <c r="C8" t="s">
        <v>908</v>
      </c>
      <c r="D8" t="s">
        <v>909</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319</v>
      </c>
      <c r="B9" t="s">
        <v>910</v>
      </c>
      <c r="C9" t="s">
        <v>911</v>
      </c>
      <c r="D9" t="s">
        <v>909</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320</v>
      </c>
      <c r="B10" t="s">
        <v>912</v>
      </c>
      <c r="C10" t="s">
        <v>913</v>
      </c>
      <c r="D10" t="s">
        <v>909</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321</v>
      </c>
      <c r="B11" t="s">
        <v>914</v>
      </c>
      <c r="C11" t="s">
        <v>915</v>
      </c>
      <c r="D11" t="s">
        <v>909</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322</v>
      </c>
      <c r="B12" t="s">
        <v>916</v>
      </c>
      <c r="C12" t="s">
        <v>917</v>
      </c>
      <c r="D12" t="s">
        <v>909</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918</v>
      </c>
      <c r="C13" t="s">
        <v>919</v>
      </c>
      <c r="D13" t="s">
        <v>909</v>
      </c>
      <c r="L13">
        <v>20</v>
      </c>
      <c r="M13">
        <v>8</v>
      </c>
      <c r="N13">
        <v>12</v>
      </c>
      <c r="O13">
        <v>12</v>
      </c>
      <c r="P13">
        <v>20</v>
      </c>
      <c r="S13">
        <v>12</v>
      </c>
      <c r="V13">
        <v>4</v>
      </c>
      <c r="AA13"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4" sqref="D4"/>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581</v>
      </c>
      <c r="B1" s="44" t="s">
        <v>104</v>
      </c>
      <c r="C1" s="44" t="s">
        <v>1</v>
      </c>
      <c r="D1" t="s">
        <v>262</v>
      </c>
      <c r="E1" t="s">
        <v>584</v>
      </c>
      <c r="F1" t="s">
        <v>585</v>
      </c>
      <c r="G1" t="s">
        <v>974</v>
      </c>
    </row>
    <row r="2" spans="1:7" x14ac:dyDescent="0.45">
      <c r="A2" t="s">
        <v>582</v>
      </c>
      <c r="B2" s="43" t="s">
        <v>1186</v>
      </c>
      <c r="C2" s="43" t="s">
        <v>1187</v>
      </c>
      <c r="D2" t="s">
        <v>371</v>
      </c>
      <c r="E2" t="str">
        <f>Departments[[#This Row],[Department]]&amp;"_"&amp;Departments[[#This Row],[Account]]&amp;"_DA"</f>
        <v>SLG_Managed_DA</v>
      </c>
      <c r="F2" t="str">
        <f>Departments[[#This Row],[Department]]&amp;"_"&amp;Departments[[#This Row],[Account]]&amp;"_AA"</f>
        <v>SLG_Managed_AA</v>
      </c>
    </row>
    <row r="3" spans="1:7" x14ac:dyDescent="0.45">
      <c r="A3" t="s">
        <v>583</v>
      </c>
      <c r="B3" s="43" t="s">
        <v>1186</v>
      </c>
      <c r="C3" s="43" t="s">
        <v>1187</v>
      </c>
      <c r="D3" t="s">
        <v>772</v>
      </c>
      <c r="E3" t="str">
        <f>Departments[[#This Row],[Department]]&amp;"_"&amp;Departments[[#This Row],[Account]]&amp;"_DA"</f>
        <v>SLG_Sandbox_DA</v>
      </c>
      <c r="F3" t="str">
        <f>Departments[[#This Row],[Department]]&amp;"_"&amp;Departments[[#This Row],[Account]]&amp;"_AA"</f>
        <v>SLG_Sandbox_AA</v>
      </c>
    </row>
    <row r="4" spans="1:7" x14ac:dyDescent="0.45">
      <c r="A4" t="s">
        <v>1197</v>
      </c>
      <c r="B4" s="43" t="s">
        <v>1186</v>
      </c>
      <c r="C4" s="43" t="s">
        <v>1187</v>
      </c>
      <c r="D4" t="s">
        <v>371</v>
      </c>
      <c r="E4" t="str">
        <f>Departments[[#This Row],[Department]]&amp;"_"&amp;Departments[[#This Row],[Account]]&amp;"_DA"</f>
        <v>SLG_Managed_DA</v>
      </c>
      <c r="F4" t="str">
        <f>Departments[[#This Row],[Department]]&amp;"_"&amp;Departments[[#This Row],[Account]]&amp;"_AA"</f>
        <v>SLG_Managed_AA</v>
      </c>
    </row>
    <row r="5" spans="1:7" x14ac:dyDescent="0.45">
      <c r="A5" t="s">
        <v>1198</v>
      </c>
      <c r="B5" s="43" t="s">
        <v>1186</v>
      </c>
      <c r="C5" s="43" t="s">
        <v>1187</v>
      </c>
      <c r="D5" t="s">
        <v>772</v>
      </c>
      <c r="E5" t="str">
        <f>Departments[[#This Row],[Department]]&amp;"_"&amp;Departments[[#This Row],[Account]]&amp;"_DA"</f>
        <v>SLG_Sandbox_DA</v>
      </c>
      <c r="F5" t="str">
        <f>Departments[[#This Row],[Department]]&amp;"_"&amp;Departments[[#This Row],[Account]]&amp;"_AA"</f>
        <v>SLG_Sandbox_AA</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92</v>
      </c>
      <c r="B1" t="s">
        <v>91</v>
      </c>
      <c r="C1" t="s">
        <v>99</v>
      </c>
      <c r="D1" t="s">
        <v>100</v>
      </c>
      <c r="E1" s="11" t="s">
        <v>82</v>
      </c>
      <c r="F1" s="11" t="s">
        <v>93</v>
      </c>
      <c r="G1" s="11" t="s">
        <v>95</v>
      </c>
      <c r="H1" s="12" t="s">
        <v>101</v>
      </c>
    </row>
    <row r="2" spans="1:8" x14ac:dyDescent="0.45">
      <c r="C2" s="10"/>
      <c r="D2" s="10"/>
      <c r="E2" s="10" t="s">
        <v>70</v>
      </c>
      <c r="F2" s="10" t="s">
        <v>94</v>
      </c>
      <c r="G2" s="10" t="s">
        <v>96</v>
      </c>
      <c r="H2" s="10" t="s">
        <v>102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J73" sqref="J73"/>
    </sheetView>
  </sheetViews>
  <sheetFormatPr defaultRowHeight="14.25" x14ac:dyDescent="0.45"/>
  <cols>
    <col min="1" max="1" width="20.265625" customWidth="1"/>
    <col min="4" max="4" width="17.86328125" customWidth="1"/>
    <col min="10" max="10" width="17.3984375" customWidth="1"/>
  </cols>
  <sheetData>
    <row r="1" spans="1:10" x14ac:dyDescent="0.45">
      <c r="A1" t="s">
        <v>62</v>
      </c>
      <c r="B1" t="s">
        <v>175</v>
      </c>
      <c r="C1" t="s">
        <v>176</v>
      </c>
      <c r="D1" t="s">
        <v>174</v>
      </c>
      <c r="E1" t="s">
        <v>175</v>
      </c>
      <c r="F1" t="s">
        <v>176</v>
      </c>
      <c r="G1" t="s">
        <v>177</v>
      </c>
      <c r="H1" t="s">
        <v>178</v>
      </c>
      <c r="I1" t="s">
        <v>179</v>
      </c>
      <c r="J1" t="s">
        <v>1</v>
      </c>
    </row>
    <row r="2" spans="1:10" x14ac:dyDescent="0.45">
      <c r="D2" t="s">
        <v>180</v>
      </c>
      <c r="E2">
        <v>1</v>
      </c>
      <c r="F2">
        <v>1</v>
      </c>
      <c r="H2">
        <v>1000</v>
      </c>
    </row>
    <row r="3" spans="1:10" x14ac:dyDescent="0.45">
      <c r="D3" t="s">
        <v>180</v>
      </c>
      <c r="E3">
        <v>1</v>
      </c>
      <c r="F3">
        <v>2</v>
      </c>
      <c r="H3">
        <v>1000</v>
      </c>
    </row>
    <row r="4" spans="1:10" x14ac:dyDescent="0.45">
      <c r="D4" t="s">
        <v>180</v>
      </c>
      <c r="E4">
        <v>1</v>
      </c>
      <c r="F4">
        <v>3</v>
      </c>
      <c r="H4">
        <v>1000</v>
      </c>
    </row>
    <row r="5" spans="1:10" x14ac:dyDescent="0.45">
      <c r="D5" t="s">
        <v>180</v>
      </c>
      <c r="E5">
        <v>1</v>
      </c>
      <c r="F5">
        <v>4</v>
      </c>
      <c r="H5">
        <v>1000</v>
      </c>
    </row>
    <row r="6" spans="1:10" x14ac:dyDescent="0.45">
      <c r="D6" t="s">
        <v>180</v>
      </c>
      <c r="E6">
        <v>1</v>
      </c>
      <c r="F6">
        <v>5</v>
      </c>
      <c r="H6">
        <v>1000</v>
      </c>
    </row>
    <row r="7" spans="1:10" x14ac:dyDescent="0.45">
      <c r="D7" t="s">
        <v>180</v>
      </c>
      <c r="E7">
        <v>1</v>
      </c>
      <c r="F7">
        <v>6</v>
      </c>
      <c r="H7">
        <v>1000</v>
      </c>
    </row>
    <row r="8" spans="1:10" x14ac:dyDescent="0.45">
      <c r="D8" t="s">
        <v>180</v>
      </c>
      <c r="E8">
        <v>1</v>
      </c>
      <c r="F8">
        <v>7</v>
      </c>
      <c r="H8">
        <v>1000</v>
      </c>
    </row>
    <row r="9" spans="1:10" x14ac:dyDescent="0.45">
      <c r="D9" t="s">
        <v>180</v>
      </c>
      <c r="E9">
        <v>1</v>
      </c>
      <c r="F9">
        <v>8</v>
      </c>
      <c r="H9">
        <v>1000</v>
      </c>
    </row>
    <row r="10" spans="1:10" x14ac:dyDescent="0.45">
      <c r="D10" t="s">
        <v>180</v>
      </c>
      <c r="E10">
        <v>1</v>
      </c>
      <c r="F10">
        <v>9</v>
      </c>
      <c r="H10">
        <v>1000</v>
      </c>
    </row>
    <row r="11" spans="1:10" x14ac:dyDescent="0.45">
      <c r="D11" t="s">
        <v>180</v>
      </c>
      <c r="E11">
        <v>1</v>
      </c>
      <c r="F11">
        <v>10</v>
      </c>
      <c r="H11">
        <v>1000</v>
      </c>
    </row>
    <row r="12" spans="1:10" x14ac:dyDescent="0.45">
      <c r="D12" t="s">
        <v>180</v>
      </c>
      <c r="E12">
        <v>1</v>
      </c>
      <c r="F12">
        <v>11</v>
      </c>
      <c r="H12">
        <v>1000</v>
      </c>
    </row>
    <row r="13" spans="1:10" x14ac:dyDescent="0.45">
      <c r="D13" t="s">
        <v>180</v>
      </c>
      <c r="E13">
        <v>1</v>
      </c>
      <c r="F13">
        <v>12</v>
      </c>
      <c r="H13">
        <v>1000</v>
      </c>
    </row>
    <row r="14" spans="1:10" x14ac:dyDescent="0.45">
      <c r="D14" t="s">
        <v>180</v>
      </c>
      <c r="E14">
        <v>1</v>
      </c>
      <c r="F14">
        <v>13</v>
      </c>
      <c r="H14">
        <v>1000</v>
      </c>
    </row>
    <row r="15" spans="1:10" x14ac:dyDescent="0.45">
      <c r="D15" t="s">
        <v>180</v>
      </c>
      <c r="E15">
        <v>1</v>
      </c>
      <c r="F15">
        <v>14</v>
      </c>
      <c r="H15">
        <v>1000</v>
      </c>
    </row>
    <row r="16" spans="1:10" x14ac:dyDescent="0.45">
      <c r="D16" t="s">
        <v>180</v>
      </c>
      <c r="E16">
        <v>1</v>
      </c>
      <c r="F16">
        <v>15</v>
      </c>
      <c r="H16">
        <v>1000</v>
      </c>
    </row>
    <row r="17" spans="4:8" x14ac:dyDescent="0.45">
      <c r="D17" t="s">
        <v>180</v>
      </c>
      <c r="E17">
        <v>1</v>
      </c>
      <c r="F17">
        <v>16</v>
      </c>
      <c r="H17">
        <v>1000</v>
      </c>
    </row>
    <row r="18" spans="4:8" x14ac:dyDescent="0.45">
      <c r="D18" t="s">
        <v>180</v>
      </c>
      <c r="E18">
        <v>1</v>
      </c>
      <c r="F18">
        <v>17</v>
      </c>
      <c r="H18">
        <v>1000</v>
      </c>
    </row>
    <row r="19" spans="4:8" x14ac:dyDescent="0.45">
      <c r="D19" t="s">
        <v>180</v>
      </c>
      <c r="E19">
        <v>1</v>
      </c>
      <c r="F19">
        <v>18</v>
      </c>
      <c r="H19">
        <v>1000</v>
      </c>
    </row>
    <row r="20" spans="4:8" x14ac:dyDescent="0.45">
      <c r="D20" t="s">
        <v>180</v>
      </c>
      <c r="E20">
        <v>1</v>
      </c>
      <c r="F20">
        <v>19</v>
      </c>
      <c r="H20">
        <v>1000</v>
      </c>
    </row>
    <row r="21" spans="4:8" x14ac:dyDescent="0.45">
      <c r="D21" t="s">
        <v>180</v>
      </c>
      <c r="E21">
        <v>1</v>
      </c>
      <c r="F21">
        <v>20</v>
      </c>
      <c r="H21">
        <v>1000</v>
      </c>
    </row>
    <row r="22" spans="4:8" x14ac:dyDescent="0.45">
      <c r="D22" t="s">
        <v>180</v>
      </c>
      <c r="E22">
        <v>1</v>
      </c>
      <c r="F22">
        <v>21</v>
      </c>
      <c r="H22">
        <v>1000</v>
      </c>
    </row>
    <row r="23" spans="4:8" x14ac:dyDescent="0.45">
      <c r="D23" t="s">
        <v>180</v>
      </c>
      <c r="E23">
        <v>1</v>
      </c>
      <c r="F23">
        <v>22</v>
      </c>
      <c r="H23">
        <v>1000</v>
      </c>
    </row>
    <row r="24" spans="4:8" x14ac:dyDescent="0.45">
      <c r="D24" t="s">
        <v>180</v>
      </c>
      <c r="E24">
        <v>1</v>
      </c>
      <c r="F24">
        <v>23</v>
      </c>
      <c r="H24">
        <v>1000</v>
      </c>
    </row>
    <row r="25" spans="4:8" x14ac:dyDescent="0.45">
      <c r="D25" t="s">
        <v>180</v>
      </c>
      <c r="E25">
        <v>1</v>
      </c>
      <c r="F25">
        <v>24</v>
      </c>
      <c r="H25">
        <v>1000</v>
      </c>
    </row>
    <row r="26" spans="4:8" x14ac:dyDescent="0.45">
      <c r="D26" t="s">
        <v>180</v>
      </c>
      <c r="E26">
        <v>1</v>
      </c>
      <c r="F26">
        <v>25</v>
      </c>
      <c r="H26">
        <v>1000</v>
      </c>
    </row>
    <row r="27" spans="4:8" x14ac:dyDescent="0.45">
      <c r="D27" t="s">
        <v>180</v>
      </c>
      <c r="E27">
        <v>1</v>
      </c>
      <c r="F27">
        <v>26</v>
      </c>
      <c r="H27">
        <v>1000</v>
      </c>
    </row>
    <row r="28" spans="4:8" x14ac:dyDescent="0.45">
      <c r="D28" t="s">
        <v>180</v>
      </c>
      <c r="E28">
        <v>1</v>
      </c>
      <c r="F28">
        <v>27</v>
      </c>
      <c r="H28">
        <v>1000</v>
      </c>
    </row>
    <row r="29" spans="4:8" x14ac:dyDescent="0.45">
      <c r="D29" t="s">
        <v>180</v>
      </c>
      <c r="E29">
        <v>1</v>
      </c>
      <c r="F29">
        <v>28</v>
      </c>
      <c r="H29">
        <v>1000</v>
      </c>
    </row>
    <row r="30" spans="4:8" x14ac:dyDescent="0.45">
      <c r="D30" t="s">
        <v>180</v>
      </c>
      <c r="E30">
        <v>1</v>
      </c>
      <c r="F30">
        <v>29</v>
      </c>
      <c r="H30">
        <v>1000</v>
      </c>
    </row>
    <row r="31" spans="4:8" x14ac:dyDescent="0.45">
      <c r="D31" t="s">
        <v>180</v>
      </c>
      <c r="E31">
        <v>1</v>
      </c>
      <c r="F31">
        <v>30</v>
      </c>
      <c r="H31">
        <v>1000</v>
      </c>
    </row>
    <row r="32" spans="4:8" x14ac:dyDescent="0.45">
      <c r="D32" t="s">
        <v>180</v>
      </c>
      <c r="E32">
        <v>1</v>
      </c>
      <c r="F32">
        <v>31</v>
      </c>
      <c r="H32">
        <v>1000</v>
      </c>
    </row>
    <row r="33" spans="4:8" x14ac:dyDescent="0.45">
      <c r="D33" t="s">
        <v>180</v>
      </c>
      <c r="E33">
        <v>1</v>
      </c>
      <c r="F33">
        <v>32</v>
      </c>
      <c r="H33">
        <v>1000</v>
      </c>
    </row>
    <row r="34" spans="4:8" x14ac:dyDescent="0.45">
      <c r="D34" t="s">
        <v>180</v>
      </c>
      <c r="E34">
        <v>1</v>
      </c>
      <c r="F34">
        <v>33</v>
      </c>
      <c r="H34">
        <v>1000</v>
      </c>
    </row>
    <row r="35" spans="4:8" x14ac:dyDescent="0.45">
      <c r="D35" t="s">
        <v>180</v>
      </c>
      <c r="E35">
        <v>1</v>
      </c>
      <c r="F35">
        <v>34</v>
      </c>
      <c r="H35">
        <v>1000</v>
      </c>
    </row>
    <row r="36" spans="4:8" x14ac:dyDescent="0.45">
      <c r="D36" t="s">
        <v>180</v>
      </c>
      <c r="E36">
        <v>1</v>
      </c>
      <c r="F36">
        <v>35</v>
      </c>
      <c r="H36">
        <v>1000</v>
      </c>
    </row>
    <row r="37" spans="4:8" x14ac:dyDescent="0.45">
      <c r="D37" t="s">
        <v>180</v>
      </c>
      <c r="E37">
        <v>1</v>
      </c>
      <c r="F37">
        <v>36</v>
      </c>
      <c r="H37">
        <v>1000</v>
      </c>
    </row>
    <row r="38" spans="4:8" x14ac:dyDescent="0.45">
      <c r="D38" t="s">
        <v>180</v>
      </c>
      <c r="E38">
        <v>1</v>
      </c>
      <c r="F38">
        <v>37</v>
      </c>
      <c r="H38">
        <v>1000</v>
      </c>
    </row>
    <row r="39" spans="4:8" x14ac:dyDescent="0.45">
      <c r="D39" t="s">
        <v>180</v>
      </c>
      <c r="E39">
        <v>1</v>
      </c>
      <c r="F39">
        <v>38</v>
      </c>
      <c r="H39">
        <v>1000</v>
      </c>
    </row>
    <row r="40" spans="4:8" x14ac:dyDescent="0.45">
      <c r="D40" t="s">
        <v>180</v>
      </c>
      <c r="E40">
        <v>1</v>
      </c>
      <c r="F40">
        <v>39</v>
      </c>
      <c r="H40">
        <v>1000</v>
      </c>
    </row>
    <row r="41" spans="4:8" x14ac:dyDescent="0.45">
      <c r="D41" t="s">
        <v>180</v>
      </c>
      <c r="E41">
        <v>1</v>
      </c>
      <c r="F41">
        <v>40</v>
      </c>
      <c r="H41">
        <v>1000</v>
      </c>
    </row>
    <row r="42" spans="4:8" x14ac:dyDescent="0.45">
      <c r="D42" t="s">
        <v>180</v>
      </c>
      <c r="E42">
        <v>1</v>
      </c>
      <c r="F42">
        <v>41</v>
      </c>
      <c r="H42">
        <v>1000</v>
      </c>
    </row>
    <row r="43" spans="4:8" x14ac:dyDescent="0.45">
      <c r="D43" t="s">
        <v>180</v>
      </c>
      <c r="E43">
        <v>1</v>
      </c>
      <c r="F43">
        <v>42</v>
      </c>
      <c r="H43">
        <v>1000</v>
      </c>
    </row>
    <row r="44" spans="4:8" x14ac:dyDescent="0.45">
      <c r="D44" t="s">
        <v>180</v>
      </c>
      <c r="E44">
        <v>1</v>
      </c>
      <c r="F44">
        <v>43</v>
      </c>
      <c r="H44">
        <v>1000</v>
      </c>
    </row>
    <row r="45" spans="4:8" x14ac:dyDescent="0.45">
      <c r="D45" t="s">
        <v>180</v>
      </c>
      <c r="E45">
        <v>1</v>
      </c>
      <c r="F45">
        <v>44</v>
      </c>
      <c r="H45">
        <v>1000</v>
      </c>
    </row>
    <row r="46" spans="4:8" x14ac:dyDescent="0.45">
      <c r="D46" t="s">
        <v>180</v>
      </c>
      <c r="E46">
        <v>1</v>
      </c>
      <c r="F46">
        <v>45</v>
      </c>
      <c r="H46">
        <v>1000</v>
      </c>
    </row>
    <row r="47" spans="4:8" x14ac:dyDescent="0.45">
      <c r="D47" t="s">
        <v>180</v>
      </c>
      <c r="E47">
        <v>1</v>
      </c>
      <c r="F47">
        <v>46</v>
      </c>
      <c r="H47">
        <v>1000</v>
      </c>
    </row>
    <row r="48" spans="4:8" x14ac:dyDescent="0.45">
      <c r="D48" t="s">
        <v>180</v>
      </c>
      <c r="E48">
        <v>1</v>
      </c>
      <c r="F48">
        <v>47</v>
      </c>
      <c r="H48">
        <v>1000</v>
      </c>
    </row>
    <row r="49" spans="4:8" x14ac:dyDescent="0.45">
      <c r="D49" t="s">
        <v>180</v>
      </c>
      <c r="E49">
        <v>1</v>
      </c>
      <c r="F49">
        <v>48</v>
      </c>
      <c r="H49">
        <v>1000</v>
      </c>
    </row>
    <row r="50" spans="4:8" x14ac:dyDescent="0.45">
      <c r="D50" t="s">
        <v>180</v>
      </c>
      <c r="E50">
        <v>4</v>
      </c>
      <c r="F50">
        <v>1</v>
      </c>
      <c r="H50">
        <v>10000</v>
      </c>
    </row>
    <row r="51" spans="4:8" x14ac:dyDescent="0.45">
      <c r="D51" t="s">
        <v>180</v>
      </c>
      <c r="E51">
        <v>4</v>
      </c>
      <c r="F51">
        <v>2</v>
      </c>
      <c r="H51">
        <v>10000</v>
      </c>
    </row>
    <row r="52" spans="4:8" x14ac:dyDescent="0.45">
      <c r="D52" t="s">
        <v>180</v>
      </c>
      <c r="E52">
        <v>4</v>
      </c>
      <c r="F52">
        <v>3</v>
      </c>
      <c r="H52">
        <v>10000</v>
      </c>
    </row>
    <row r="53" spans="4:8" x14ac:dyDescent="0.45">
      <c r="D53" t="s">
        <v>180</v>
      </c>
      <c r="E53">
        <v>4</v>
      </c>
      <c r="F53">
        <v>4</v>
      </c>
      <c r="H53">
        <v>10000</v>
      </c>
    </row>
    <row r="54" spans="4:8" x14ac:dyDescent="0.45">
      <c r="D54" t="s">
        <v>180</v>
      </c>
      <c r="E54">
        <v>4</v>
      </c>
      <c r="F54">
        <v>5</v>
      </c>
      <c r="H54">
        <v>10000</v>
      </c>
    </row>
    <row r="55" spans="4:8" x14ac:dyDescent="0.45">
      <c r="D55" t="s">
        <v>180</v>
      </c>
      <c r="E55">
        <v>4</v>
      </c>
      <c r="F55">
        <v>6</v>
      </c>
      <c r="H55">
        <v>10000</v>
      </c>
    </row>
    <row r="56" spans="4:8" x14ac:dyDescent="0.45">
      <c r="D56" t="s">
        <v>180</v>
      </c>
      <c r="E56">
        <v>4</v>
      </c>
      <c r="F56">
        <v>7</v>
      </c>
      <c r="H56">
        <v>10000</v>
      </c>
    </row>
    <row r="57" spans="4:8" x14ac:dyDescent="0.45">
      <c r="D57" t="s">
        <v>180</v>
      </c>
      <c r="E57">
        <v>4</v>
      </c>
      <c r="F57">
        <v>8</v>
      </c>
      <c r="H57">
        <v>10000</v>
      </c>
    </row>
    <row r="58" spans="4:8" x14ac:dyDescent="0.45">
      <c r="D58" t="s">
        <v>180</v>
      </c>
      <c r="E58">
        <v>4</v>
      </c>
      <c r="F58">
        <v>9</v>
      </c>
      <c r="H58">
        <v>10000</v>
      </c>
    </row>
    <row r="59" spans="4:8" x14ac:dyDescent="0.45">
      <c r="D59" t="s">
        <v>180</v>
      </c>
      <c r="E59">
        <v>4</v>
      </c>
      <c r="F59">
        <v>10</v>
      </c>
      <c r="H59">
        <v>10000</v>
      </c>
    </row>
    <row r="60" spans="4:8" x14ac:dyDescent="0.45">
      <c r="D60" t="s">
        <v>180</v>
      </c>
      <c r="E60">
        <v>4</v>
      </c>
      <c r="F60">
        <v>11</v>
      </c>
      <c r="H60">
        <v>10000</v>
      </c>
    </row>
    <row r="61" spans="4:8" x14ac:dyDescent="0.45">
      <c r="D61" t="s">
        <v>180</v>
      </c>
      <c r="E61">
        <v>4</v>
      </c>
      <c r="F61">
        <v>12</v>
      </c>
      <c r="H61">
        <v>10000</v>
      </c>
    </row>
    <row r="62" spans="4:8" x14ac:dyDescent="0.45">
      <c r="D62" t="s">
        <v>180</v>
      </c>
      <c r="E62">
        <v>4</v>
      </c>
      <c r="F62">
        <v>13</v>
      </c>
      <c r="H62">
        <v>10000</v>
      </c>
    </row>
    <row r="63" spans="4:8" x14ac:dyDescent="0.45">
      <c r="D63" t="s">
        <v>180</v>
      </c>
      <c r="E63">
        <v>4</v>
      </c>
      <c r="F63">
        <v>14</v>
      </c>
      <c r="H63">
        <v>10000</v>
      </c>
    </row>
    <row r="64" spans="4:8" x14ac:dyDescent="0.45">
      <c r="D64" t="s">
        <v>180</v>
      </c>
      <c r="E64">
        <v>4</v>
      </c>
      <c r="F64">
        <v>15</v>
      </c>
      <c r="H64">
        <v>10000</v>
      </c>
    </row>
    <row r="65" spans="4:8" x14ac:dyDescent="0.45">
      <c r="D65" t="s">
        <v>180</v>
      </c>
      <c r="E65">
        <v>4</v>
      </c>
      <c r="F65">
        <v>16</v>
      </c>
      <c r="H65">
        <v>10000</v>
      </c>
    </row>
    <row r="66" spans="4:8" x14ac:dyDescent="0.45">
      <c r="D66" t="s">
        <v>181</v>
      </c>
      <c r="E66">
        <v>1</v>
      </c>
      <c r="F66">
        <v>1</v>
      </c>
      <c r="H66">
        <v>1000</v>
      </c>
    </row>
    <row r="67" spans="4:8" x14ac:dyDescent="0.45">
      <c r="D67" t="s">
        <v>181</v>
      </c>
      <c r="E67">
        <v>1</v>
      </c>
      <c r="F67">
        <v>2</v>
      </c>
      <c r="H67">
        <v>1000</v>
      </c>
    </row>
    <row r="68" spans="4:8" x14ac:dyDescent="0.45">
      <c r="D68" t="s">
        <v>181</v>
      </c>
      <c r="E68">
        <v>1</v>
      </c>
      <c r="F68">
        <v>3</v>
      </c>
      <c r="H68">
        <v>1000</v>
      </c>
    </row>
    <row r="69" spans="4:8" x14ac:dyDescent="0.45">
      <c r="D69" t="s">
        <v>181</v>
      </c>
      <c r="E69">
        <v>1</v>
      </c>
      <c r="F69">
        <v>4</v>
      </c>
      <c r="H69">
        <v>1000</v>
      </c>
    </row>
    <row r="70" spans="4:8" x14ac:dyDescent="0.45">
      <c r="D70" t="s">
        <v>181</v>
      </c>
      <c r="E70">
        <v>1</v>
      </c>
      <c r="F70">
        <v>5</v>
      </c>
      <c r="H70">
        <v>1000</v>
      </c>
    </row>
    <row r="71" spans="4:8" x14ac:dyDescent="0.45">
      <c r="D71" t="s">
        <v>181</v>
      </c>
      <c r="E71">
        <v>1</v>
      </c>
      <c r="F71">
        <v>6</v>
      </c>
      <c r="H71">
        <v>1000</v>
      </c>
    </row>
    <row r="72" spans="4:8" x14ac:dyDescent="0.45">
      <c r="D72" t="s">
        <v>181</v>
      </c>
      <c r="E72">
        <v>1</v>
      </c>
      <c r="F72">
        <v>7</v>
      </c>
      <c r="H72">
        <v>1000</v>
      </c>
    </row>
    <row r="73" spans="4:8" x14ac:dyDescent="0.45">
      <c r="D73" t="s">
        <v>181</v>
      </c>
      <c r="E73">
        <v>1</v>
      </c>
      <c r="F73">
        <v>8</v>
      </c>
      <c r="H73">
        <v>1000</v>
      </c>
    </row>
    <row r="74" spans="4:8" x14ac:dyDescent="0.45">
      <c r="D74" t="s">
        <v>181</v>
      </c>
      <c r="E74">
        <v>1</v>
      </c>
      <c r="F74">
        <v>9</v>
      </c>
      <c r="H74">
        <v>1000</v>
      </c>
    </row>
    <row r="75" spans="4:8" x14ac:dyDescent="0.45">
      <c r="D75" t="s">
        <v>181</v>
      </c>
      <c r="E75">
        <v>1</v>
      </c>
      <c r="F75">
        <v>10</v>
      </c>
      <c r="H75">
        <v>1000</v>
      </c>
    </row>
    <row r="76" spans="4:8" x14ac:dyDescent="0.45">
      <c r="D76" t="s">
        <v>181</v>
      </c>
      <c r="E76">
        <v>1</v>
      </c>
      <c r="F76">
        <v>11</v>
      </c>
      <c r="H76">
        <v>1000</v>
      </c>
    </row>
    <row r="77" spans="4:8" x14ac:dyDescent="0.45">
      <c r="D77" t="s">
        <v>181</v>
      </c>
      <c r="E77">
        <v>1</v>
      </c>
      <c r="F77">
        <v>12</v>
      </c>
      <c r="H77">
        <v>1000</v>
      </c>
    </row>
    <row r="78" spans="4:8" x14ac:dyDescent="0.45">
      <c r="D78" t="s">
        <v>181</v>
      </c>
      <c r="E78">
        <v>1</v>
      </c>
      <c r="F78">
        <v>13</v>
      </c>
      <c r="H78">
        <v>1000</v>
      </c>
    </row>
    <row r="79" spans="4:8" x14ac:dyDescent="0.45">
      <c r="D79" t="s">
        <v>181</v>
      </c>
      <c r="E79">
        <v>1</v>
      </c>
      <c r="F79">
        <v>14</v>
      </c>
      <c r="H79">
        <v>1000</v>
      </c>
    </row>
    <row r="80" spans="4:8" x14ac:dyDescent="0.45">
      <c r="D80" t="s">
        <v>181</v>
      </c>
      <c r="E80">
        <v>1</v>
      </c>
      <c r="F80">
        <v>15</v>
      </c>
      <c r="H80">
        <v>1000</v>
      </c>
    </row>
    <row r="81" spans="4:8" x14ac:dyDescent="0.45">
      <c r="D81" t="s">
        <v>181</v>
      </c>
      <c r="E81">
        <v>1</v>
      </c>
      <c r="F81">
        <v>16</v>
      </c>
      <c r="H81">
        <v>1000</v>
      </c>
    </row>
    <row r="82" spans="4:8" x14ac:dyDescent="0.45">
      <c r="D82" t="s">
        <v>181</v>
      </c>
      <c r="E82">
        <v>1</v>
      </c>
      <c r="F82">
        <v>17</v>
      </c>
      <c r="H82">
        <v>1000</v>
      </c>
    </row>
    <row r="83" spans="4:8" x14ac:dyDescent="0.45">
      <c r="D83" t="s">
        <v>181</v>
      </c>
      <c r="E83">
        <v>1</v>
      </c>
      <c r="F83">
        <v>18</v>
      </c>
      <c r="H83">
        <v>1000</v>
      </c>
    </row>
    <row r="84" spans="4:8" x14ac:dyDescent="0.45">
      <c r="D84" t="s">
        <v>181</v>
      </c>
      <c r="E84">
        <v>1</v>
      </c>
      <c r="F84">
        <v>19</v>
      </c>
      <c r="H84">
        <v>1000</v>
      </c>
    </row>
    <row r="85" spans="4:8" x14ac:dyDescent="0.45">
      <c r="D85" t="s">
        <v>181</v>
      </c>
      <c r="E85">
        <v>1</v>
      </c>
      <c r="F85">
        <v>20</v>
      </c>
      <c r="H85">
        <v>1000</v>
      </c>
    </row>
    <row r="86" spans="4:8" x14ac:dyDescent="0.45">
      <c r="D86" t="s">
        <v>181</v>
      </c>
      <c r="E86">
        <v>1</v>
      </c>
      <c r="F86">
        <v>21</v>
      </c>
      <c r="H86">
        <v>1000</v>
      </c>
    </row>
    <row r="87" spans="4:8" x14ac:dyDescent="0.45">
      <c r="D87" t="s">
        <v>181</v>
      </c>
      <c r="E87">
        <v>1</v>
      </c>
      <c r="F87">
        <v>22</v>
      </c>
      <c r="H87">
        <v>1000</v>
      </c>
    </row>
    <row r="88" spans="4:8" x14ac:dyDescent="0.45">
      <c r="D88" t="s">
        <v>181</v>
      </c>
      <c r="E88">
        <v>1</v>
      </c>
      <c r="F88">
        <v>23</v>
      </c>
      <c r="H88">
        <v>1000</v>
      </c>
    </row>
    <row r="89" spans="4:8" x14ac:dyDescent="0.45">
      <c r="D89" t="s">
        <v>181</v>
      </c>
      <c r="E89">
        <v>1</v>
      </c>
      <c r="F89">
        <v>24</v>
      </c>
      <c r="H89">
        <v>1000</v>
      </c>
    </row>
    <row r="90" spans="4:8" x14ac:dyDescent="0.45">
      <c r="D90" t="s">
        <v>181</v>
      </c>
      <c r="E90">
        <v>1</v>
      </c>
      <c r="F90">
        <v>25</v>
      </c>
      <c r="H90">
        <v>1000</v>
      </c>
    </row>
    <row r="91" spans="4:8" x14ac:dyDescent="0.45">
      <c r="D91" t="s">
        <v>181</v>
      </c>
      <c r="E91">
        <v>1</v>
      </c>
      <c r="F91">
        <v>26</v>
      </c>
      <c r="H91">
        <v>1000</v>
      </c>
    </row>
    <row r="92" spans="4:8" x14ac:dyDescent="0.45">
      <c r="D92" t="s">
        <v>181</v>
      </c>
      <c r="E92">
        <v>1</v>
      </c>
      <c r="F92">
        <v>27</v>
      </c>
      <c r="H92">
        <v>1000</v>
      </c>
    </row>
    <row r="93" spans="4:8" x14ac:dyDescent="0.45">
      <c r="D93" t="s">
        <v>181</v>
      </c>
      <c r="E93">
        <v>1</v>
      </c>
      <c r="F93">
        <v>28</v>
      </c>
      <c r="H93">
        <v>1000</v>
      </c>
    </row>
    <row r="94" spans="4:8" x14ac:dyDescent="0.45">
      <c r="D94" t="s">
        <v>181</v>
      </c>
      <c r="E94">
        <v>1</v>
      </c>
      <c r="F94">
        <v>29</v>
      </c>
      <c r="H94">
        <v>1000</v>
      </c>
    </row>
    <row r="95" spans="4:8" x14ac:dyDescent="0.45">
      <c r="D95" t="s">
        <v>181</v>
      </c>
      <c r="E95">
        <v>1</v>
      </c>
      <c r="F95">
        <v>30</v>
      </c>
      <c r="H95">
        <v>1000</v>
      </c>
    </row>
    <row r="96" spans="4:8" x14ac:dyDescent="0.45">
      <c r="D96" t="s">
        <v>181</v>
      </c>
      <c r="E96">
        <v>1</v>
      </c>
      <c r="F96">
        <v>31</v>
      </c>
      <c r="H96">
        <v>1000</v>
      </c>
    </row>
    <row r="97" spans="4:8" x14ac:dyDescent="0.45">
      <c r="D97" t="s">
        <v>181</v>
      </c>
      <c r="E97">
        <v>1</v>
      </c>
      <c r="F97">
        <v>32</v>
      </c>
      <c r="H97">
        <v>1000</v>
      </c>
    </row>
    <row r="98" spans="4:8" x14ac:dyDescent="0.45">
      <c r="D98" t="s">
        <v>181</v>
      </c>
      <c r="E98">
        <v>1</v>
      </c>
      <c r="F98">
        <v>33</v>
      </c>
      <c r="H98">
        <v>1000</v>
      </c>
    </row>
    <row r="99" spans="4:8" x14ac:dyDescent="0.45">
      <c r="D99" t="s">
        <v>181</v>
      </c>
      <c r="E99">
        <v>1</v>
      </c>
      <c r="F99">
        <v>34</v>
      </c>
      <c r="H99">
        <v>1000</v>
      </c>
    </row>
    <row r="100" spans="4:8" x14ac:dyDescent="0.45">
      <c r="D100" t="s">
        <v>181</v>
      </c>
      <c r="E100">
        <v>1</v>
      </c>
      <c r="F100">
        <v>35</v>
      </c>
      <c r="H100">
        <v>1000</v>
      </c>
    </row>
    <row r="101" spans="4:8" x14ac:dyDescent="0.45">
      <c r="D101" t="s">
        <v>181</v>
      </c>
      <c r="E101">
        <v>1</v>
      </c>
      <c r="F101">
        <v>36</v>
      </c>
      <c r="H101">
        <v>1000</v>
      </c>
    </row>
    <row r="102" spans="4:8" x14ac:dyDescent="0.45">
      <c r="D102" t="s">
        <v>181</v>
      </c>
      <c r="E102">
        <v>1</v>
      </c>
      <c r="F102">
        <v>37</v>
      </c>
      <c r="H102">
        <v>1000</v>
      </c>
    </row>
    <row r="103" spans="4:8" x14ac:dyDescent="0.45">
      <c r="D103" t="s">
        <v>181</v>
      </c>
      <c r="E103">
        <v>1</v>
      </c>
      <c r="F103">
        <v>38</v>
      </c>
      <c r="H103">
        <v>1000</v>
      </c>
    </row>
    <row r="104" spans="4:8" x14ac:dyDescent="0.45">
      <c r="D104" t="s">
        <v>181</v>
      </c>
      <c r="E104">
        <v>1</v>
      </c>
      <c r="F104">
        <v>39</v>
      </c>
      <c r="H104">
        <v>1000</v>
      </c>
    </row>
    <row r="105" spans="4:8" x14ac:dyDescent="0.45">
      <c r="D105" t="s">
        <v>181</v>
      </c>
      <c r="E105">
        <v>1</v>
      </c>
      <c r="F105">
        <v>40</v>
      </c>
      <c r="H105">
        <v>1000</v>
      </c>
    </row>
    <row r="106" spans="4:8" x14ac:dyDescent="0.45">
      <c r="D106" t="s">
        <v>181</v>
      </c>
      <c r="E106">
        <v>1</v>
      </c>
      <c r="F106">
        <v>41</v>
      </c>
      <c r="H106">
        <v>1000</v>
      </c>
    </row>
    <row r="107" spans="4:8" x14ac:dyDescent="0.45">
      <c r="D107" t="s">
        <v>181</v>
      </c>
      <c r="E107">
        <v>1</v>
      </c>
      <c r="F107">
        <v>42</v>
      </c>
      <c r="H107">
        <v>1000</v>
      </c>
    </row>
    <row r="108" spans="4:8" x14ac:dyDescent="0.45">
      <c r="D108" t="s">
        <v>181</v>
      </c>
      <c r="E108">
        <v>1</v>
      </c>
      <c r="F108">
        <v>43</v>
      </c>
      <c r="H108">
        <v>1000</v>
      </c>
    </row>
    <row r="109" spans="4:8" x14ac:dyDescent="0.45">
      <c r="D109" t="s">
        <v>181</v>
      </c>
      <c r="E109">
        <v>1</v>
      </c>
      <c r="F109">
        <v>44</v>
      </c>
      <c r="H109">
        <v>1000</v>
      </c>
    </row>
    <row r="110" spans="4:8" x14ac:dyDescent="0.45">
      <c r="D110" t="s">
        <v>181</v>
      </c>
      <c r="E110">
        <v>1</v>
      </c>
      <c r="F110">
        <v>45</v>
      </c>
      <c r="H110">
        <v>1000</v>
      </c>
    </row>
    <row r="111" spans="4:8" x14ac:dyDescent="0.45">
      <c r="D111" t="s">
        <v>181</v>
      </c>
      <c r="E111">
        <v>1</v>
      </c>
      <c r="F111">
        <v>46</v>
      </c>
      <c r="H111">
        <v>1000</v>
      </c>
    </row>
    <row r="112" spans="4:8" x14ac:dyDescent="0.45">
      <c r="D112" t="s">
        <v>181</v>
      </c>
      <c r="E112">
        <v>1</v>
      </c>
      <c r="F112">
        <v>47</v>
      </c>
      <c r="H112">
        <v>1000</v>
      </c>
    </row>
    <row r="113" spans="4:8" x14ac:dyDescent="0.45">
      <c r="D113" t="s">
        <v>181</v>
      </c>
      <c r="E113">
        <v>1</v>
      </c>
      <c r="F113">
        <v>48</v>
      </c>
      <c r="H113">
        <v>1000</v>
      </c>
    </row>
    <row r="114" spans="4:8" x14ac:dyDescent="0.45">
      <c r="D114" t="s">
        <v>181</v>
      </c>
      <c r="E114">
        <v>4</v>
      </c>
      <c r="F114">
        <v>1</v>
      </c>
      <c r="H114">
        <v>10000</v>
      </c>
    </row>
    <row r="115" spans="4:8" x14ac:dyDescent="0.45">
      <c r="D115" t="s">
        <v>181</v>
      </c>
      <c r="E115">
        <v>4</v>
      </c>
      <c r="F115">
        <v>2</v>
      </c>
      <c r="H115">
        <v>10000</v>
      </c>
    </row>
    <row r="116" spans="4:8" x14ac:dyDescent="0.45">
      <c r="D116" t="s">
        <v>181</v>
      </c>
      <c r="E116">
        <v>4</v>
      </c>
      <c r="F116">
        <v>3</v>
      </c>
      <c r="H116">
        <v>10000</v>
      </c>
    </row>
    <row r="117" spans="4:8" x14ac:dyDescent="0.45">
      <c r="D117" t="s">
        <v>181</v>
      </c>
      <c r="E117">
        <v>4</v>
      </c>
      <c r="F117">
        <v>4</v>
      </c>
      <c r="H117">
        <v>10000</v>
      </c>
    </row>
    <row r="118" spans="4:8" x14ac:dyDescent="0.45">
      <c r="D118" t="s">
        <v>181</v>
      </c>
      <c r="E118">
        <v>4</v>
      </c>
      <c r="F118">
        <v>5</v>
      </c>
      <c r="H118">
        <v>10000</v>
      </c>
    </row>
    <row r="119" spans="4:8" x14ac:dyDescent="0.45">
      <c r="D119" t="s">
        <v>181</v>
      </c>
      <c r="E119">
        <v>4</v>
      </c>
      <c r="F119">
        <v>6</v>
      </c>
      <c r="H119">
        <v>10000</v>
      </c>
    </row>
    <row r="120" spans="4:8" x14ac:dyDescent="0.45">
      <c r="D120" t="s">
        <v>181</v>
      </c>
      <c r="E120">
        <v>4</v>
      </c>
      <c r="F120">
        <v>7</v>
      </c>
      <c r="H120">
        <v>10000</v>
      </c>
    </row>
    <row r="121" spans="4:8" x14ac:dyDescent="0.45">
      <c r="D121" t="s">
        <v>181</v>
      </c>
      <c r="E121">
        <v>4</v>
      </c>
      <c r="F121">
        <v>8</v>
      </c>
      <c r="H121">
        <v>10000</v>
      </c>
    </row>
    <row r="122" spans="4:8" x14ac:dyDescent="0.45">
      <c r="D122" t="s">
        <v>181</v>
      </c>
      <c r="E122">
        <v>4</v>
      </c>
      <c r="F122">
        <v>9</v>
      </c>
      <c r="H122">
        <v>10000</v>
      </c>
    </row>
    <row r="123" spans="4:8" x14ac:dyDescent="0.45">
      <c r="D123" t="s">
        <v>181</v>
      </c>
      <c r="E123">
        <v>4</v>
      </c>
      <c r="F123">
        <v>10</v>
      </c>
      <c r="H123">
        <v>10000</v>
      </c>
    </row>
    <row r="124" spans="4:8" x14ac:dyDescent="0.45">
      <c r="D124" t="s">
        <v>181</v>
      </c>
      <c r="E124">
        <v>4</v>
      </c>
      <c r="F124">
        <v>11</v>
      </c>
      <c r="H124">
        <v>10000</v>
      </c>
    </row>
    <row r="125" spans="4:8" x14ac:dyDescent="0.45">
      <c r="D125" t="s">
        <v>181</v>
      </c>
      <c r="E125">
        <v>4</v>
      </c>
      <c r="F125">
        <v>12</v>
      </c>
      <c r="H125">
        <v>10000</v>
      </c>
    </row>
    <row r="126" spans="4:8" x14ac:dyDescent="0.45">
      <c r="D126" t="s">
        <v>181</v>
      </c>
      <c r="E126">
        <v>4</v>
      </c>
      <c r="F126">
        <v>13</v>
      </c>
      <c r="H126">
        <v>10000</v>
      </c>
    </row>
    <row r="127" spans="4:8" x14ac:dyDescent="0.45">
      <c r="D127" t="s">
        <v>181</v>
      </c>
      <c r="E127">
        <v>4</v>
      </c>
      <c r="F127">
        <v>14</v>
      </c>
      <c r="H127">
        <v>10000</v>
      </c>
    </row>
    <row r="128" spans="4:8" x14ac:dyDescent="0.45">
      <c r="D128" t="s">
        <v>181</v>
      </c>
      <c r="E128">
        <v>4</v>
      </c>
      <c r="F128">
        <v>15</v>
      </c>
      <c r="H128">
        <v>10000</v>
      </c>
    </row>
    <row r="129" spans="4:8" x14ac:dyDescent="0.45">
      <c r="D129" t="s">
        <v>181</v>
      </c>
      <c r="E129">
        <v>4</v>
      </c>
      <c r="F129">
        <v>16</v>
      </c>
      <c r="H129">
        <v>10000</v>
      </c>
    </row>
    <row r="130" spans="4:8" x14ac:dyDescent="0.45">
      <c r="D130" t="s">
        <v>180</v>
      </c>
      <c r="E130">
        <v>2</v>
      </c>
      <c r="F130">
        <v>1</v>
      </c>
      <c r="H130">
        <v>1000</v>
      </c>
    </row>
    <row r="131" spans="4:8" x14ac:dyDescent="0.45">
      <c r="D131" t="s">
        <v>180</v>
      </c>
      <c r="E131">
        <v>2</v>
      </c>
      <c r="F131">
        <v>2</v>
      </c>
      <c r="H131">
        <v>1000</v>
      </c>
    </row>
    <row r="132" spans="4:8" x14ac:dyDescent="0.45">
      <c r="D132" t="s">
        <v>180</v>
      </c>
      <c r="E132">
        <v>2</v>
      </c>
      <c r="F132">
        <v>3</v>
      </c>
      <c r="H132">
        <v>1000</v>
      </c>
    </row>
    <row r="133" spans="4:8" x14ac:dyDescent="0.45">
      <c r="D133" t="s">
        <v>180</v>
      </c>
      <c r="E133">
        <v>2</v>
      </c>
      <c r="F133">
        <v>4</v>
      </c>
      <c r="H133">
        <v>1000</v>
      </c>
    </row>
    <row r="134" spans="4:8" x14ac:dyDescent="0.45">
      <c r="D134" t="s">
        <v>180</v>
      </c>
      <c r="E134">
        <v>2</v>
      </c>
      <c r="F134">
        <v>5</v>
      </c>
      <c r="H134">
        <v>1000</v>
      </c>
    </row>
    <row r="135" spans="4:8" x14ac:dyDescent="0.45">
      <c r="D135" t="s">
        <v>180</v>
      </c>
      <c r="E135">
        <v>2</v>
      </c>
      <c r="F135">
        <v>6</v>
      </c>
      <c r="H135">
        <v>1000</v>
      </c>
    </row>
    <row r="136" spans="4:8" x14ac:dyDescent="0.45">
      <c r="D136" t="s">
        <v>180</v>
      </c>
      <c r="E136">
        <v>2</v>
      </c>
      <c r="F136">
        <v>7</v>
      </c>
      <c r="H136">
        <v>1000</v>
      </c>
    </row>
    <row r="137" spans="4:8" x14ac:dyDescent="0.45">
      <c r="D137" t="s">
        <v>180</v>
      </c>
      <c r="E137">
        <v>2</v>
      </c>
      <c r="F137">
        <v>8</v>
      </c>
      <c r="H137">
        <v>1000</v>
      </c>
    </row>
    <row r="138" spans="4:8" x14ac:dyDescent="0.45">
      <c r="D138" t="s">
        <v>180</v>
      </c>
      <c r="E138">
        <v>2</v>
      </c>
      <c r="F138">
        <v>9</v>
      </c>
      <c r="H138">
        <v>1000</v>
      </c>
    </row>
    <row r="139" spans="4:8" x14ac:dyDescent="0.45">
      <c r="D139" t="s">
        <v>180</v>
      </c>
      <c r="E139">
        <v>2</v>
      </c>
      <c r="F139">
        <v>10</v>
      </c>
      <c r="H139">
        <v>1000</v>
      </c>
    </row>
    <row r="140" spans="4:8" x14ac:dyDescent="0.45">
      <c r="D140" t="s">
        <v>180</v>
      </c>
      <c r="E140">
        <v>2</v>
      </c>
      <c r="F140">
        <v>11</v>
      </c>
      <c r="H140">
        <v>1000</v>
      </c>
    </row>
    <row r="141" spans="4:8" x14ac:dyDescent="0.45">
      <c r="D141" t="s">
        <v>180</v>
      </c>
      <c r="E141">
        <v>2</v>
      </c>
      <c r="F141">
        <v>12</v>
      </c>
      <c r="H141">
        <v>1000</v>
      </c>
    </row>
    <row r="142" spans="4:8" x14ac:dyDescent="0.45">
      <c r="D142" t="s">
        <v>180</v>
      </c>
      <c r="E142">
        <v>2</v>
      </c>
      <c r="F142">
        <v>13</v>
      </c>
      <c r="H142">
        <v>1000</v>
      </c>
    </row>
    <row r="143" spans="4:8" x14ac:dyDescent="0.45">
      <c r="D143" t="s">
        <v>180</v>
      </c>
      <c r="E143">
        <v>2</v>
      </c>
      <c r="F143">
        <v>14</v>
      </c>
      <c r="H143">
        <v>1000</v>
      </c>
    </row>
    <row r="144" spans="4:8" x14ac:dyDescent="0.45">
      <c r="D144" t="s">
        <v>180</v>
      </c>
      <c r="E144">
        <v>2</v>
      </c>
      <c r="F144">
        <v>15</v>
      </c>
      <c r="H144">
        <v>1000</v>
      </c>
    </row>
    <row r="145" spans="4:8" x14ac:dyDescent="0.45">
      <c r="D145" t="s">
        <v>180</v>
      </c>
      <c r="E145">
        <v>2</v>
      </c>
      <c r="F145">
        <v>16</v>
      </c>
      <c r="H145">
        <v>1000</v>
      </c>
    </row>
    <row r="146" spans="4:8" x14ac:dyDescent="0.45">
      <c r="D146" t="s">
        <v>180</v>
      </c>
      <c r="E146">
        <v>2</v>
      </c>
      <c r="F146">
        <v>17</v>
      </c>
      <c r="H146">
        <v>1000</v>
      </c>
    </row>
    <row r="147" spans="4:8" x14ac:dyDescent="0.45">
      <c r="D147" t="s">
        <v>180</v>
      </c>
      <c r="E147">
        <v>2</v>
      </c>
      <c r="F147">
        <v>18</v>
      </c>
      <c r="H147">
        <v>1000</v>
      </c>
    </row>
    <row r="148" spans="4:8" x14ac:dyDescent="0.45">
      <c r="D148" t="s">
        <v>180</v>
      </c>
      <c r="E148">
        <v>2</v>
      </c>
      <c r="F148">
        <v>19</v>
      </c>
      <c r="H148">
        <v>1000</v>
      </c>
    </row>
    <row r="149" spans="4:8" x14ac:dyDescent="0.45">
      <c r="D149" t="s">
        <v>180</v>
      </c>
      <c r="E149">
        <v>2</v>
      </c>
      <c r="F149">
        <v>20</v>
      </c>
      <c r="H149">
        <v>1000</v>
      </c>
    </row>
    <row r="150" spans="4:8" x14ac:dyDescent="0.45">
      <c r="D150" t="s">
        <v>180</v>
      </c>
      <c r="E150">
        <v>2</v>
      </c>
      <c r="F150">
        <v>21</v>
      </c>
      <c r="H150">
        <v>1000</v>
      </c>
    </row>
    <row r="151" spans="4:8" x14ac:dyDescent="0.45">
      <c r="D151" t="s">
        <v>180</v>
      </c>
      <c r="E151">
        <v>2</v>
      </c>
      <c r="F151">
        <v>22</v>
      </c>
      <c r="H151">
        <v>1000</v>
      </c>
    </row>
    <row r="152" spans="4:8" x14ac:dyDescent="0.45">
      <c r="D152" t="s">
        <v>180</v>
      </c>
      <c r="E152">
        <v>2</v>
      </c>
      <c r="F152">
        <v>23</v>
      </c>
      <c r="H152">
        <v>1000</v>
      </c>
    </row>
    <row r="153" spans="4:8" x14ac:dyDescent="0.45">
      <c r="D153" t="s">
        <v>180</v>
      </c>
      <c r="E153">
        <v>2</v>
      </c>
      <c r="F153">
        <v>24</v>
      </c>
      <c r="H153">
        <v>1000</v>
      </c>
    </row>
    <row r="154" spans="4:8" x14ac:dyDescent="0.45">
      <c r="D154" t="s">
        <v>180</v>
      </c>
      <c r="E154">
        <v>2</v>
      </c>
      <c r="F154">
        <v>25</v>
      </c>
      <c r="H154">
        <v>1000</v>
      </c>
    </row>
    <row r="155" spans="4:8" x14ac:dyDescent="0.45">
      <c r="D155" t="s">
        <v>180</v>
      </c>
      <c r="E155">
        <v>2</v>
      </c>
      <c r="F155">
        <v>26</v>
      </c>
      <c r="H155">
        <v>1000</v>
      </c>
    </row>
    <row r="156" spans="4:8" x14ac:dyDescent="0.45">
      <c r="D156" t="s">
        <v>180</v>
      </c>
      <c r="E156">
        <v>2</v>
      </c>
      <c r="F156">
        <v>27</v>
      </c>
      <c r="H156">
        <v>1000</v>
      </c>
    </row>
    <row r="157" spans="4:8" x14ac:dyDescent="0.45">
      <c r="D157" t="s">
        <v>180</v>
      </c>
      <c r="E157">
        <v>2</v>
      </c>
      <c r="F157">
        <v>28</v>
      </c>
      <c r="H157">
        <v>1000</v>
      </c>
    </row>
    <row r="158" spans="4:8" x14ac:dyDescent="0.45">
      <c r="D158" t="s">
        <v>180</v>
      </c>
      <c r="E158">
        <v>2</v>
      </c>
      <c r="F158">
        <v>29</v>
      </c>
      <c r="H158">
        <v>1000</v>
      </c>
    </row>
    <row r="159" spans="4:8" x14ac:dyDescent="0.45">
      <c r="D159" t="s">
        <v>180</v>
      </c>
      <c r="E159">
        <v>2</v>
      </c>
      <c r="F159">
        <v>30</v>
      </c>
      <c r="H159">
        <v>1000</v>
      </c>
    </row>
    <row r="160" spans="4:8" x14ac:dyDescent="0.45">
      <c r="D160" t="s">
        <v>180</v>
      </c>
      <c r="E160">
        <v>2</v>
      </c>
      <c r="F160">
        <v>31</v>
      </c>
      <c r="H160">
        <v>1000</v>
      </c>
    </row>
    <row r="161" spans="4:8" x14ac:dyDescent="0.45">
      <c r="D161" t="s">
        <v>180</v>
      </c>
      <c r="E161">
        <v>2</v>
      </c>
      <c r="F161">
        <v>32</v>
      </c>
      <c r="H161">
        <v>1000</v>
      </c>
    </row>
    <row r="162" spans="4:8" x14ac:dyDescent="0.45">
      <c r="D162" t="s">
        <v>180</v>
      </c>
      <c r="E162">
        <v>2</v>
      </c>
      <c r="F162">
        <v>33</v>
      </c>
      <c r="H162">
        <v>1000</v>
      </c>
    </row>
    <row r="163" spans="4:8" x14ac:dyDescent="0.45">
      <c r="D163" t="s">
        <v>180</v>
      </c>
      <c r="E163">
        <v>2</v>
      </c>
      <c r="F163">
        <v>34</v>
      </c>
      <c r="H163">
        <v>1000</v>
      </c>
    </row>
    <row r="164" spans="4:8" x14ac:dyDescent="0.45">
      <c r="D164" t="s">
        <v>180</v>
      </c>
      <c r="E164">
        <v>2</v>
      </c>
      <c r="F164">
        <v>35</v>
      </c>
      <c r="H164">
        <v>1000</v>
      </c>
    </row>
    <row r="165" spans="4:8" x14ac:dyDescent="0.45">
      <c r="D165" t="s">
        <v>180</v>
      </c>
      <c r="E165">
        <v>2</v>
      </c>
      <c r="F165">
        <v>36</v>
      </c>
      <c r="H165">
        <v>1000</v>
      </c>
    </row>
    <row r="166" spans="4:8" x14ac:dyDescent="0.45">
      <c r="D166" t="s">
        <v>180</v>
      </c>
      <c r="E166">
        <v>2</v>
      </c>
      <c r="F166">
        <v>37</v>
      </c>
      <c r="H166">
        <v>1000</v>
      </c>
    </row>
    <row r="167" spans="4:8" x14ac:dyDescent="0.45">
      <c r="D167" t="s">
        <v>180</v>
      </c>
      <c r="E167">
        <v>2</v>
      </c>
      <c r="F167">
        <v>38</v>
      </c>
      <c r="H167">
        <v>1000</v>
      </c>
    </row>
    <row r="168" spans="4:8" x14ac:dyDescent="0.45">
      <c r="D168" t="s">
        <v>180</v>
      </c>
      <c r="E168">
        <v>2</v>
      </c>
      <c r="F168">
        <v>39</v>
      </c>
      <c r="H168">
        <v>1000</v>
      </c>
    </row>
    <row r="169" spans="4:8" x14ac:dyDescent="0.45">
      <c r="D169" t="s">
        <v>180</v>
      </c>
      <c r="E169">
        <v>2</v>
      </c>
      <c r="F169">
        <v>40</v>
      </c>
      <c r="H169">
        <v>1000</v>
      </c>
    </row>
    <row r="170" spans="4:8" x14ac:dyDescent="0.45">
      <c r="D170" t="s">
        <v>180</v>
      </c>
      <c r="E170">
        <v>2</v>
      </c>
      <c r="F170">
        <v>41</v>
      </c>
      <c r="H170">
        <v>1000</v>
      </c>
    </row>
    <row r="171" spans="4:8" x14ac:dyDescent="0.45">
      <c r="D171" t="s">
        <v>180</v>
      </c>
      <c r="E171">
        <v>2</v>
      </c>
      <c r="F171">
        <v>42</v>
      </c>
      <c r="H171">
        <v>1000</v>
      </c>
    </row>
    <row r="172" spans="4:8" x14ac:dyDescent="0.45">
      <c r="D172" t="s">
        <v>180</v>
      </c>
      <c r="E172">
        <v>2</v>
      </c>
      <c r="F172">
        <v>43</v>
      </c>
      <c r="H172">
        <v>1000</v>
      </c>
    </row>
    <row r="173" spans="4:8" x14ac:dyDescent="0.45">
      <c r="D173" t="s">
        <v>180</v>
      </c>
      <c r="E173">
        <v>2</v>
      </c>
      <c r="F173">
        <v>44</v>
      </c>
      <c r="H173">
        <v>1000</v>
      </c>
    </row>
    <row r="174" spans="4:8" x14ac:dyDescent="0.45">
      <c r="D174" t="s">
        <v>180</v>
      </c>
      <c r="E174">
        <v>2</v>
      </c>
      <c r="F174">
        <v>45</v>
      </c>
      <c r="H174">
        <v>1000</v>
      </c>
    </row>
    <row r="175" spans="4:8" x14ac:dyDescent="0.45">
      <c r="D175" t="s">
        <v>180</v>
      </c>
      <c r="E175">
        <v>2</v>
      </c>
      <c r="F175">
        <v>46</v>
      </c>
      <c r="H175">
        <v>1000</v>
      </c>
    </row>
    <row r="176" spans="4:8" x14ac:dyDescent="0.45">
      <c r="D176" t="s">
        <v>180</v>
      </c>
      <c r="E176">
        <v>2</v>
      </c>
      <c r="F176">
        <v>47</v>
      </c>
      <c r="H176">
        <v>1000</v>
      </c>
    </row>
    <row r="177" spans="4:12" x14ac:dyDescent="0.45">
      <c r="D177" t="s">
        <v>180</v>
      </c>
      <c r="E177">
        <v>2</v>
      </c>
      <c r="F177">
        <v>48</v>
      </c>
      <c r="H177">
        <v>1000</v>
      </c>
    </row>
    <row r="178" spans="4:12" x14ac:dyDescent="0.45">
      <c r="D178" t="s">
        <v>180</v>
      </c>
      <c r="E178">
        <v>3</v>
      </c>
      <c r="F178">
        <v>1</v>
      </c>
      <c r="H178">
        <v>1000</v>
      </c>
    </row>
    <row r="179" spans="4:12" x14ac:dyDescent="0.45">
      <c r="D179" t="s">
        <v>180</v>
      </c>
      <c r="E179">
        <v>3</v>
      </c>
      <c r="F179">
        <v>2</v>
      </c>
      <c r="H179">
        <v>1000</v>
      </c>
      <c r="L179" t="s">
        <v>182</v>
      </c>
    </row>
    <row r="180" spans="4:12" x14ac:dyDescent="0.45">
      <c r="D180" t="s">
        <v>180</v>
      </c>
      <c r="E180">
        <v>3</v>
      </c>
      <c r="F180">
        <v>3</v>
      </c>
      <c r="H180">
        <v>1000</v>
      </c>
    </row>
    <row r="181" spans="4:12" x14ac:dyDescent="0.45">
      <c r="D181" t="s">
        <v>180</v>
      </c>
      <c r="E181">
        <v>3</v>
      </c>
      <c r="F181">
        <v>4</v>
      </c>
      <c r="H181">
        <v>1000</v>
      </c>
    </row>
    <row r="182" spans="4:12" x14ac:dyDescent="0.45">
      <c r="D182" t="s">
        <v>180</v>
      </c>
      <c r="E182">
        <v>3</v>
      </c>
      <c r="F182">
        <v>5</v>
      </c>
      <c r="H182">
        <v>1000</v>
      </c>
    </row>
    <row r="183" spans="4:12" x14ac:dyDescent="0.45">
      <c r="D183" t="s">
        <v>180</v>
      </c>
      <c r="E183">
        <v>3</v>
      </c>
      <c r="F183">
        <v>6</v>
      </c>
      <c r="H183">
        <v>1000</v>
      </c>
    </row>
    <row r="184" spans="4:12" x14ac:dyDescent="0.45">
      <c r="D184" t="s">
        <v>180</v>
      </c>
      <c r="E184">
        <v>3</v>
      </c>
      <c r="F184">
        <v>7</v>
      </c>
      <c r="H184">
        <v>1000</v>
      </c>
    </row>
    <row r="185" spans="4:12" x14ac:dyDescent="0.45">
      <c r="D185" t="s">
        <v>180</v>
      </c>
      <c r="E185">
        <v>3</v>
      </c>
      <c r="F185">
        <v>8</v>
      </c>
      <c r="H185">
        <v>1000</v>
      </c>
    </row>
    <row r="186" spans="4:12" x14ac:dyDescent="0.45">
      <c r="D186" t="s">
        <v>180</v>
      </c>
      <c r="E186">
        <v>3</v>
      </c>
      <c r="F186">
        <v>9</v>
      </c>
      <c r="H186">
        <v>1000</v>
      </c>
    </row>
    <row r="187" spans="4:12" x14ac:dyDescent="0.45">
      <c r="D187" t="s">
        <v>180</v>
      </c>
      <c r="E187">
        <v>3</v>
      </c>
      <c r="F187">
        <v>10</v>
      </c>
      <c r="H187">
        <v>1000</v>
      </c>
    </row>
    <row r="188" spans="4:12" x14ac:dyDescent="0.45">
      <c r="D188" t="s">
        <v>180</v>
      </c>
      <c r="E188">
        <v>3</v>
      </c>
      <c r="F188">
        <v>11</v>
      </c>
      <c r="H188">
        <v>1000</v>
      </c>
    </row>
    <row r="189" spans="4:12" x14ac:dyDescent="0.45">
      <c r="D189" t="s">
        <v>180</v>
      </c>
      <c r="E189">
        <v>3</v>
      </c>
      <c r="F189">
        <v>12</v>
      </c>
      <c r="H189">
        <v>1000</v>
      </c>
    </row>
    <row r="190" spans="4:12" x14ac:dyDescent="0.45">
      <c r="D190" t="s">
        <v>180</v>
      </c>
      <c r="E190">
        <v>3</v>
      </c>
      <c r="F190">
        <v>13</v>
      </c>
      <c r="H190">
        <v>1000</v>
      </c>
    </row>
    <row r="191" spans="4:12" x14ac:dyDescent="0.45">
      <c r="D191" t="s">
        <v>180</v>
      </c>
      <c r="E191">
        <v>3</v>
      </c>
      <c r="F191">
        <v>14</v>
      </c>
      <c r="H191">
        <v>1000</v>
      </c>
    </row>
    <row r="192" spans="4:12" x14ac:dyDescent="0.45">
      <c r="D192" t="s">
        <v>180</v>
      </c>
      <c r="E192">
        <v>3</v>
      </c>
      <c r="F192">
        <v>15</v>
      </c>
      <c r="H192">
        <v>1000</v>
      </c>
    </row>
    <row r="193" spans="4:10" x14ac:dyDescent="0.45">
      <c r="D193" t="s">
        <v>180</v>
      </c>
      <c r="E193">
        <v>3</v>
      </c>
      <c r="F193">
        <v>16</v>
      </c>
      <c r="H193">
        <v>1000</v>
      </c>
    </row>
    <row r="194" spans="4:10" x14ac:dyDescent="0.45">
      <c r="D194" t="s">
        <v>180</v>
      </c>
      <c r="E194">
        <v>3</v>
      </c>
      <c r="F194">
        <v>17</v>
      </c>
      <c r="H194">
        <v>1000</v>
      </c>
    </row>
    <row r="195" spans="4:10" x14ac:dyDescent="0.45">
      <c r="D195" t="s">
        <v>180</v>
      </c>
      <c r="E195">
        <v>3</v>
      </c>
      <c r="F195">
        <v>18</v>
      </c>
      <c r="H195">
        <v>1000</v>
      </c>
    </row>
    <row r="196" spans="4:10" x14ac:dyDescent="0.45">
      <c r="D196" t="s">
        <v>180</v>
      </c>
      <c r="E196">
        <v>3</v>
      </c>
      <c r="F196">
        <v>19</v>
      </c>
      <c r="H196">
        <v>1000</v>
      </c>
    </row>
    <row r="197" spans="4:10" x14ac:dyDescent="0.45">
      <c r="D197" t="s">
        <v>180</v>
      </c>
      <c r="E197">
        <v>3</v>
      </c>
      <c r="F197">
        <v>20</v>
      </c>
      <c r="H197">
        <v>1000</v>
      </c>
    </row>
    <row r="198" spans="4:10" x14ac:dyDescent="0.45">
      <c r="D198" t="s">
        <v>180</v>
      </c>
      <c r="E198">
        <v>3</v>
      </c>
      <c r="F198">
        <v>21</v>
      </c>
      <c r="H198">
        <v>1000</v>
      </c>
    </row>
    <row r="199" spans="4:10" x14ac:dyDescent="0.45">
      <c r="D199" t="s">
        <v>180</v>
      </c>
      <c r="E199">
        <v>3</v>
      </c>
      <c r="F199">
        <v>22</v>
      </c>
      <c r="H199">
        <v>1000</v>
      </c>
    </row>
    <row r="200" spans="4:10" x14ac:dyDescent="0.45">
      <c r="D200" t="s">
        <v>180</v>
      </c>
      <c r="E200">
        <v>3</v>
      </c>
      <c r="F200">
        <v>23</v>
      </c>
      <c r="H200">
        <v>1000</v>
      </c>
    </row>
    <row r="201" spans="4:10" x14ac:dyDescent="0.45">
      <c r="D201" t="s">
        <v>180</v>
      </c>
      <c r="E201">
        <v>3</v>
      </c>
      <c r="F201">
        <v>24</v>
      </c>
      <c r="H201">
        <v>1000</v>
      </c>
    </row>
    <row r="202" spans="4:10" x14ac:dyDescent="0.45">
      <c r="D202" t="s">
        <v>180</v>
      </c>
      <c r="E202">
        <v>5</v>
      </c>
      <c r="F202">
        <v>1</v>
      </c>
      <c r="H202">
        <v>10000</v>
      </c>
      <c r="J202" t="s">
        <v>183</v>
      </c>
    </row>
    <row r="203" spans="4:10" x14ac:dyDescent="0.45">
      <c r="D203" t="s">
        <v>180</v>
      </c>
      <c r="E203">
        <v>5</v>
      </c>
      <c r="F203">
        <v>2</v>
      </c>
      <c r="H203">
        <v>10000</v>
      </c>
    </row>
    <row r="204" spans="4:10" x14ac:dyDescent="0.45">
      <c r="D204" t="s">
        <v>180</v>
      </c>
      <c r="E204">
        <v>5</v>
      </c>
      <c r="F204">
        <v>3</v>
      </c>
      <c r="H204">
        <v>10000</v>
      </c>
    </row>
    <row r="205" spans="4:10" x14ac:dyDescent="0.45">
      <c r="D205" t="s">
        <v>180</v>
      </c>
      <c r="E205">
        <v>5</v>
      </c>
      <c r="F205">
        <v>4</v>
      </c>
      <c r="H205">
        <v>10000</v>
      </c>
    </row>
    <row r="206" spans="4:10" x14ac:dyDescent="0.45">
      <c r="D206" t="s">
        <v>180</v>
      </c>
      <c r="E206">
        <v>5</v>
      </c>
      <c r="F206">
        <v>5</v>
      </c>
      <c r="H206">
        <v>10000</v>
      </c>
    </row>
    <row r="207" spans="4:10" x14ac:dyDescent="0.45">
      <c r="D207" t="s">
        <v>181</v>
      </c>
      <c r="E207">
        <v>3</v>
      </c>
      <c r="F207">
        <v>1</v>
      </c>
      <c r="H207">
        <v>1000</v>
      </c>
    </row>
    <row r="208" spans="4:10" x14ac:dyDescent="0.45">
      <c r="D208" t="s">
        <v>181</v>
      </c>
      <c r="E208">
        <v>3</v>
      </c>
      <c r="F208">
        <v>2</v>
      </c>
      <c r="H208">
        <v>1000</v>
      </c>
    </row>
    <row r="209" spans="4:8" x14ac:dyDescent="0.45">
      <c r="D209" t="s">
        <v>181</v>
      </c>
      <c r="E209">
        <v>3</v>
      </c>
      <c r="F209">
        <v>3</v>
      </c>
      <c r="H209">
        <v>1000</v>
      </c>
    </row>
    <row r="210" spans="4:8" x14ac:dyDescent="0.45">
      <c r="D210" t="s">
        <v>181</v>
      </c>
      <c r="E210">
        <v>3</v>
      </c>
      <c r="F210">
        <v>4</v>
      </c>
      <c r="H210">
        <v>1000</v>
      </c>
    </row>
    <row r="211" spans="4:8" x14ac:dyDescent="0.45">
      <c r="D211" t="s">
        <v>181</v>
      </c>
      <c r="E211">
        <v>3</v>
      </c>
      <c r="F211">
        <v>5</v>
      </c>
      <c r="H211">
        <v>1000</v>
      </c>
    </row>
    <row r="212" spans="4:8" x14ac:dyDescent="0.45">
      <c r="D212" t="s">
        <v>181</v>
      </c>
      <c r="E212">
        <v>3</v>
      </c>
      <c r="F212">
        <v>6</v>
      </c>
      <c r="H212">
        <v>1000</v>
      </c>
    </row>
    <row r="213" spans="4:8" x14ac:dyDescent="0.45">
      <c r="D213" t="s">
        <v>181</v>
      </c>
      <c r="E213">
        <v>3</v>
      </c>
      <c r="F213">
        <v>7</v>
      </c>
      <c r="H213">
        <v>1000</v>
      </c>
    </row>
    <row r="214" spans="4:8" x14ac:dyDescent="0.45">
      <c r="D214" t="s">
        <v>181</v>
      </c>
      <c r="E214">
        <v>3</v>
      </c>
      <c r="F214">
        <v>8</v>
      </c>
      <c r="H214">
        <v>1000</v>
      </c>
    </row>
    <row r="215" spans="4:8" x14ac:dyDescent="0.45">
      <c r="D215" t="s">
        <v>181</v>
      </c>
      <c r="E215">
        <v>3</v>
      </c>
      <c r="F215">
        <v>9</v>
      </c>
      <c r="H215">
        <v>1000</v>
      </c>
    </row>
    <row r="216" spans="4:8" x14ac:dyDescent="0.45">
      <c r="D216" t="s">
        <v>181</v>
      </c>
      <c r="E216">
        <v>3</v>
      </c>
      <c r="F216">
        <v>10</v>
      </c>
      <c r="H216">
        <v>1000</v>
      </c>
    </row>
    <row r="217" spans="4:8" x14ac:dyDescent="0.45">
      <c r="D217" t="s">
        <v>181</v>
      </c>
      <c r="E217">
        <v>3</v>
      </c>
      <c r="F217">
        <v>11</v>
      </c>
      <c r="H217">
        <v>1000</v>
      </c>
    </row>
    <row r="218" spans="4:8" x14ac:dyDescent="0.45">
      <c r="D218" t="s">
        <v>181</v>
      </c>
      <c r="E218">
        <v>3</v>
      </c>
      <c r="F218">
        <v>12</v>
      </c>
      <c r="H218">
        <v>1000</v>
      </c>
    </row>
    <row r="219" spans="4:8" x14ac:dyDescent="0.45">
      <c r="D219" t="s">
        <v>181</v>
      </c>
      <c r="E219">
        <v>3</v>
      </c>
      <c r="F219">
        <v>13</v>
      </c>
      <c r="H219">
        <v>1000</v>
      </c>
    </row>
    <row r="220" spans="4:8" x14ac:dyDescent="0.45">
      <c r="D220" t="s">
        <v>181</v>
      </c>
      <c r="E220">
        <v>3</v>
      </c>
      <c r="F220">
        <v>14</v>
      </c>
      <c r="H220">
        <v>1000</v>
      </c>
    </row>
    <row r="221" spans="4:8" x14ac:dyDescent="0.45">
      <c r="D221" t="s">
        <v>181</v>
      </c>
      <c r="E221">
        <v>3</v>
      </c>
      <c r="F221">
        <v>15</v>
      </c>
      <c r="H221">
        <v>1000</v>
      </c>
    </row>
    <row r="222" spans="4:8" x14ac:dyDescent="0.45">
      <c r="D222" t="s">
        <v>181</v>
      </c>
      <c r="E222">
        <v>3</v>
      </c>
      <c r="F222">
        <v>16</v>
      </c>
      <c r="H222">
        <v>1000</v>
      </c>
    </row>
    <row r="223" spans="4:8" x14ac:dyDescent="0.45">
      <c r="D223" t="s">
        <v>181</v>
      </c>
      <c r="E223">
        <v>3</v>
      </c>
      <c r="F223">
        <v>17</v>
      </c>
      <c r="H223">
        <v>1000</v>
      </c>
    </row>
    <row r="224" spans="4:8" x14ac:dyDescent="0.45">
      <c r="D224" t="s">
        <v>181</v>
      </c>
      <c r="E224">
        <v>3</v>
      </c>
      <c r="F224">
        <v>18</v>
      </c>
      <c r="H224">
        <v>1000</v>
      </c>
    </row>
    <row r="225" spans="4:8" x14ac:dyDescent="0.45">
      <c r="D225" t="s">
        <v>181</v>
      </c>
      <c r="E225">
        <v>3</v>
      </c>
      <c r="F225">
        <v>19</v>
      </c>
      <c r="H225">
        <v>1000</v>
      </c>
    </row>
    <row r="226" spans="4:8" x14ac:dyDescent="0.45">
      <c r="D226" t="s">
        <v>181</v>
      </c>
      <c r="E226">
        <v>3</v>
      </c>
      <c r="F226">
        <v>20</v>
      </c>
      <c r="H226">
        <v>1000</v>
      </c>
    </row>
    <row r="227" spans="4:8" x14ac:dyDescent="0.45">
      <c r="D227" t="s">
        <v>181</v>
      </c>
      <c r="E227">
        <v>3</v>
      </c>
      <c r="F227">
        <v>21</v>
      </c>
      <c r="H227">
        <v>1000</v>
      </c>
    </row>
    <row r="228" spans="4:8" x14ac:dyDescent="0.45">
      <c r="D228" t="s">
        <v>181</v>
      </c>
      <c r="E228">
        <v>3</v>
      </c>
      <c r="F228">
        <v>22</v>
      </c>
      <c r="H228">
        <v>1000</v>
      </c>
    </row>
    <row r="229" spans="4:8" x14ac:dyDescent="0.45">
      <c r="D229" t="s">
        <v>181</v>
      </c>
      <c r="E229">
        <v>3</v>
      </c>
      <c r="F229">
        <v>23</v>
      </c>
      <c r="H229">
        <v>1000</v>
      </c>
    </row>
    <row r="230" spans="4:8" x14ac:dyDescent="0.45">
      <c r="D230" t="s">
        <v>181</v>
      </c>
      <c r="E230">
        <v>3</v>
      </c>
      <c r="F230">
        <v>24</v>
      </c>
      <c r="H230">
        <v>1000</v>
      </c>
    </row>
    <row r="231" spans="4:8" x14ac:dyDescent="0.45">
      <c r="D231" t="s">
        <v>181</v>
      </c>
      <c r="E231">
        <v>5</v>
      </c>
      <c r="F231">
        <v>1</v>
      </c>
      <c r="H231">
        <v>10000</v>
      </c>
    </row>
    <row r="232" spans="4:8" x14ac:dyDescent="0.45">
      <c r="D232" t="s">
        <v>181</v>
      </c>
      <c r="E232">
        <v>5</v>
      </c>
      <c r="F232">
        <v>2</v>
      </c>
      <c r="H232">
        <v>10000</v>
      </c>
    </row>
    <row r="233" spans="4:8" x14ac:dyDescent="0.45">
      <c r="D233" t="s">
        <v>181</v>
      </c>
      <c r="E233">
        <v>5</v>
      </c>
      <c r="F233">
        <v>3</v>
      </c>
      <c r="H233">
        <v>10000</v>
      </c>
    </row>
    <row r="234" spans="4:8" x14ac:dyDescent="0.45">
      <c r="D234" t="s">
        <v>181</v>
      </c>
      <c r="E234">
        <v>5</v>
      </c>
      <c r="F234">
        <v>4</v>
      </c>
      <c r="H234">
        <v>10000</v>
      </c>
    </row>
    <row r="235" spans="4:8" x14ac:dyDescent="0.45">
      <c r="D235" t="s">
        <v>181</v>
      </c>
      <c r="E235">
        <v>5</v>
      </c>
      <c r="F235">
        <v>5</v>
      </c>
      <c r="H235">
        <v>10000</v>
      </c>
    </row>
  </sheetData>
  <autoFilter ref="A1:J235"/>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51</v>
      </c>
      <c r="D2" s="1" t="s">
        <v>56</v>
      </c>
      <c r="H2" s="1" t="s">
        <v>55</v>
      </c>
      <c r="I2" s="1"/>
      <c r="J2" s="1"/>
      <c r="L2" s="1"/>
      <c r="M2" s="1"/>
    </row>
    <row r="3" spans="1:17" ht="142.5" x14ac:dyDescent="0.45">
      <c r="A3" t="s">
        <v>9</v>
      </c>
      <c r="B3" s="7" t="s">
        <v>52</v>
      </c>
      <c r="D3" s="1" t="s">
        <v>57</v>
      </c>
      <c r="H3" s="1" t="s">
        <v>58</v>
      </c>
      <c r="I3" s="1"/>
      <c r="J3" s="1"/>
      <c r="L3" s="1"/>
      <c r="M3" s="1"/>
    </row>
    <row r="4" spans="1:17" ht="48" customHeight="1" x14ac:dyDescent="0.45">
      <c r="A4" t="s">
        <v>10</v>
      </c>
      <c r="B4" t="s">
        <v>53</v>
      </c>
      <c r="D4" s="1" t="s">
        <v>59</v>
      </c>
      <c r="H4" s="1" t="s">
        <v>58</v>
      </c>
    </row>
    <row r="5" spans="1:17" ht="171" x14ac:dyDescent="0.45">
      <c r="A5" t="s">
        <v>11</v>
      </c>
      <c r="B5" s="1" t="s">
        <v>54</v>
      </c>
      <c r="D5" s="1" t="s">
        <v>60</v>
      </c>
      <c r="H5" s="1" t="s">
        <v>61</v>
      </c>
      <c r="I5" s="1"/>
      <c r="J5" s="1"/>
      <c r="L5" s="1"/>
      <c r="M5" s="1"/>
    </row>
    <row r="6" spans="1:17" x14ac:dyDescent="0.45">
      <c r="A6" t="s">
        <v>12</v>
      </c>
    </row>
    <row r="7" spans="1:17" ht="57" x14ac:dyDescent="0.45">
      <c r="A7" t="s">
        <v>13</v>
      </c>
      <c r="B7" s="1" t="s">
        <v>85</v>
      </c>
      <c r="C7" s="1" t="s">
        <v>86</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45" zoomScaleNormal="145" workbookViewId="0">
      <pane ySplit="1" topLeftCell="A2" activePane="bottomLeft" state="frozen"/>
      <selection pane="bottomLeft" activeCell="B18" sqref="B18"/>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272</v>
      </c>
      <c r="B1" s="1" t="s">
        <v>277</v>
      </c>
      <c r="C1" s="1" t="s">
        <v>261</v>
      </c>
      <c r="D1" s="1" t="s">
        <v>586</v>
      </c>
      <c r="E1" s="1" t="s">
        <v>1</v>
      </c>
      <c r="F1" s="1" t="s">
        <v>641</v>
      </c>
      <c r="G1" s="1" t="s">
        <v>263</v>
      </c>
      <c r="H1" s="1" t="s">
        <v>386</v>
      </c>
      <c r="I1" s="1" t="s">
        <v>581</v>
      </c>
      <c r="J1" s="1" t="s">
        <v>264</v>
      </c>
      <c r="K1" s="1" t="s">
        <v>935</v>
      </c>
      <c r="L1" s="1" t="s">
        <v>975</v>
      </c>
    </row>
    <row r="2" spans="1:12" hidden="1" x14ac:dyDescent="0.45">
      <c r="A2" t="s">
        <v>318</v>
      </c>
      <c r="B2" t="str">
        <f>C2&amp;"_"&amp;D2&amp;"_"&amp;F2&amp;"_"&amp;Subscriptions[[#This Row],[Environment]]</f>
        <v>MAG_SLG_Managed_CJIS</v>
      </c>
      <c r="C2" t="s">
        <v>265</v>
      </c>
      <c r="D2" t="str">
        <f>VLOOKUP(Subscriptions[[#This Row],[DeptID]], Departments[#All], 2, FALSE)</f>
        <v>SLG</v>
      </c>
      <c r="E2" t="s">
        <v>636</v>
      </c>
      <c r="F2" t="str">
        <f>VLOOKUP(Subscriptions[[#This Row],[DeptID]], Departments[#All], 4, FALSE)</f>
        <v>Managed</v>
      </c>
      <c r="G2" t="s">
        <v>396</v>
      </c>
      <c r="H2" t="s">
        <v>626</v>
      </c>
      <c r="I2" t="s">
        <v>587</v>
      </c>
      <c r="J2" t="str">
        <f>VLOOKUP(Subscriptions[[#This Row],[DeptID]], Departments[], 6, FALSE)</f>
        <v>SLG_Managed_AA</v>
      </c>
    </row>
    <row r="3" spans="1:12" hidden="1" x14ac:dyDescent="0.45">
      <c r="A3" t="s">
        <v>319</v>
      </c>
      <c r="B3" t="str">
        <f>C3&amp;"_"&amp;D3&amp;"_"&amp;F3&amp;"_"&amp;Subscriptions[[#This Row],[Environment]]</f>
        <v>MAG_SLG_Managed_PreProd</v>
      </c>
      <c r="C3" t="s">
        <v>265</v>
      </c>
      <c r="D3" t="str">
        <f>VLOOKUP(Subscriptions[[#This Row],[DeptID]], Departments[#All], 2, FALSE)</f>
        <v>SLG</v>
      </c>
      <c r="E3" t="s">
        <v>637</v>
      </c>
      <c r="F3" t="str">
        <f>VLOOKUP(Subscriptions[[#This Row],[DeptID]], Departments[#All], 4, FALSE)</f>
        <v>Managed</v>
      </c>
      <c r="G3" t="s">
        <v>381</v>
      </c>
      <c r="H3" t="s">
        <v>626</v>
      </c>
      <c r="I3" t="s">
        <v>587</v>
      </c>
      <c r="J3" t="str">
        <f>VLOOKUP(Subscriptions[[#This Row],[DeptID]], Departments[], 6, FALSE)</f>
        <v>SLG_Managed_AA</v>
      </c>
    </row>
    <row r="4" spans="1:12" hidden="1" x14ac:dyDescent="0.45">
      <c r="A4" t="s">
        <v>320</v>
      </c>
      <c r="B4" t="str">
        <f>C4&amp;"_"&amp;D4&amp;"_"&amp;F4&amp;"_"&amp;Subscriptions[[#This Row],[Environment]]</f>
        <v>MAG_SLG_Managed_Prod</v>
      </c>
      <c r="C4" t="s">
        <v>265</v>
      </c>
      <c r="D4" t="str">
        <f>VLOOKUP(Subscriptions[[#This Row],[DeptID]], Departments[#All], 2, FALSE)</f>
        <v>SLG</v>
      </c>
      <c r="E4" t="s">
        <v>638</v>
      </c>
      <c r="F4" t="str">
        <f>VLOOKUP(Subscriptions[[#This Row],[DeptID]], Departments[#All], 4, FALSE)</f>
        <v>Managed</v>
      </c>
      <c r="G4" t="s">
        <v>390</v>
      </c>
      <c r="H4" t="s">
        <v>626</v>
      </c>
      <c r="I4" t="s">
        <v>587</v>
      </c>
      <c r="J4" t="str">
        <f>VLOOKUP(Subscriptions[[#This Row],[DeptID]], Departments[], 6, FALSE)</f>
        <v>SLG_Managed_AA</v>
      </c>
    </row>
    <row r="5" spans="1:12" hidden="1" x14ac:dyDescent="0.45">
      <c r="A5" t="s">
        <v>321</v>
      </c>
      <c r="B5" t="str">
        <f>C5&amp;"_"&amp;D5&amp;"_"&amp;F5&amp;"_"&amp;Subscriptions[[#This Row],[Environment]]</f>
        <v>MAG_SLG_Managed_Services</v>
      </c>
      <c r="C5" t="s">
        <v>265</v>
      </c>
      <c r="D5" t="str">
        <f>VLOOKUP(Subscriptions[[#This Row],[DeptID]], Departments[#All], 2, FALSE)</f>
        <v>SLG</v>
      </c>
      <c r="E5" t="s">
        <v>639</v>
      </c>
      <c r="F5" t="str">
        <f>VLOOKUP(Subscriptions[[#This Row],[DeptID]], Departments[#All], 4, FALSE)</f>
        <v>Managed</v>
      </c>
      <c r="G5" t="s">
        <v>71</v>
      </c>
      <c r="H5" t="s">
        <v>626</v>
      </c>
      <c r="I5" t="s">
        <v>587</v>
      </c>
      <c r="J5" t="str">
        <f>VLOOKUP(Subscriptions[[#This Row],[DeptID]], Departments[], 6, FALSE)</f>
        <v>SLG_Managed_AA</v>
      </c>
    </row>
    <row r="6" spans="1:12" hidden="1" x14ac:dyDescent="0.45">
      <c r="A6" t="s">
        <v>322</v>
      </c>
      <c r="B6" t="str">
        <f>C6&amp;"_"&amp;D6&amp;"_"&amp;F6&amp;"_"&amp;Subscriptions[[#This Row],[Environment]]</f>
        <v>MAG_SLG_Managed_Storage</v>
      </c>
      <c r="C6" t="s">
        <v>265</v>
      </c>
      <c r="D6" t="str">
        <f>VLOOKUP(Subscriptions[[#This Row],[DeptID]], Departments[#All], 2, FALSE)</f>
        <v>SLG</v>
      </c>
      <c r="E6" t="s">
        <v>640</v>
      </c>
      <c r="F6" t="str">
        <f>VLOOKUP(Subscriptions[[#This Row],[DeptID]], Departments[#All], 4, FALSE)</f>
        <v>Managed</v>
      </c>
      <c r="G6" t="s">
        <v>210</v>
      </c>
      <c r="H6" t="s">
        <v>626</v>
      </c>
      <c r="I6" t="s">
        <v>587</v>
      </c>
      <c r="J6" t="str">
        <f>VLOOKUP(Subscriptions[[#This Row],[DeptID]], Departments[], 6, FALSE)</f>
        <v>SLG_Managed_AA</v>
      </c>
    </row>
    <row r="7" spans="1:12" hidden="1" x14ac:dyDescent="0.45">
      <c r="A7" t="s">
        <v>323</v>
      </c>
      <c r="B7" t="str">
        <f>C7&amp;"_"&amp;D7&amp;"_"&amp;F7&amp;"_"&amp;Subscriptions[[#This Row],[Environment]]</f>
        <v>MAG_SLG_Sandbox_DevTeamA</v>
      </c>
      <c r="C7" t="s">
        <v>265</v>
      </c>
      <c r="D7" t="str">
        <f>VLOOKUP(Subscriptions[[#This Row],[DeptID]], Departments[#All], 2, FALSE)</f>
        <v>SLG</v>
      </c>
      <c r="E7" t="s">
        <v>636</v>
      </c>
      <c r="F7" t="str">
        <f>VLOOKUP(Subscriptions[[#This Row],[DeptID]], Departments[#All], 4, FALSE)</f>
        <v>Sandbox</v>
      </c>
      <c r="G7" t="s">
        <v>929</v>
      </c>
      <c r="H7" t="s">
        <v>626</v>
      </c>
      <c r="I7" t="s">
        <v>635</v>
      </c>
      <c r="J7" t="str">
        <f>VLOOKUP(Subscriptions[[#This Row],[DeptID]], Departments[], 6, FALSE)</f>
        <v>SLG_Sandbox_AA</v>
      </c>
    </row>
    <row r="8" spans="1:12" hidden="1" x14ac:dyDescent="0.45">
      <c r="A8" t="s">
        <v>324</v>
      </c>
      <c r="B8" t="str">
        <f>C8&amp;"_"&amp;D8&amp;"_"&amp;F8&amp;"_"&amp;Subscriptions[[#This Row],[Environment]]</f>
        <v>MAG_SLG_Sandbox_DevTeamB</v>
      </c>
      <c r="C8" t="s">
        <v>265</v>
      </c>
      <c r="D8" t="str">
        <f>VLOOKUP(Subscriptions[[#This Row],[DeptID]], Departments[#All], 2, FALSE)</f>
        <v>SLG</v>
      </c>
      <c r="E8" t="s">
        <v>637</v>
      </c>
      <c r="F8" t="str">
        <f>VLOOKUP(Subscriptions[[#This Row],[DeptID]], Departments[#All], 4, FALSE)</f>
        <v>Sandbox</v>
      </c>
      <c r="G8" t="s">
        <v>930</v>
      </c>
      <c r="H8" t="s">
        <v>626</v>
      </c>
      <c r="I8" t="s">
        <v>635</v>
      </c>
      <c r="J8" t="str">
        <f>VLOOKUP(Subscriptions[[#This Row],[DeptID]], Departments[], 6, FALSE)</f>
        <v>SLG_Sandbox_AA</v>
      </c>
    </row>
    <row r="9" spans="1:12" hidden="1" x14ac:dyDescent="0.45">
      <c r="A9" t="s">
        <v>325</v>
      </c>
      <c r="B9" t="str">
        <f>C9&amp;"_"&amp;D9&amp;"_"&amp;F9&amp;"_"&amp;Subscriptions[[#This Row],[Environment]]</f>
        <v>MAG_SLG_Sandbox_DevTeamC</v>
      </c>
      <c r="C9" t="s">
        <v>265</v>
      </c>
      <c r="D9" t="str">
        <f>VLOOKUP(Subscriptions[[#This Row],[DeptID]], Departments[#All], 2, FALSE)</f>
        <v>SLG</v>
      </c>
      <c r="E9" t="s">
        <v>638</v>
      </c>
      <c r="F9" t="str">
        <f>VLOOKUP(Subscriptions[[#This Row],[DeptID]], Departments[#All], 4, FALSE)</f>
        <v>Sandbox</v>
      </c>
      <c r="G9" t="s">
        <v>931</v>
      </c>
      <c r="H9" t="s">
        <v>626</v>
      </c>
      <c r="I9" t="s">
        <v>635</v>
      </c>
      <c r="J9" t="str">
        <f>VLOOKUP(Subscriptions[[#This Row],[DeptID]], Departments[], 6, FALSE)</f>
        <v>SLG_Sandbox_AA</v>
      </c>
    </row>
    <row r="10" spans="1:12" hidden="1" x14ac:dyDescent="0.45">
      <c r="A10" t="s">
        <v>326</v>
      </c>
      <c r="B10" t="str">
        <f>C10&amp;"_"&amp;D10&amp;"_"&amp;F10&amp;"_"&amp;Subscriptions[[#This Row],[Environment]]</f>
        <v>MAG_SLG_Sandbox_DevTeamD</v>
      </c>
      <c r="C10" t="s">
        <v>265</v>
      </c>
      <c r="D10" t="str">
        <f>VLOOKUP(Subscriptions[[#This Row],[DeptID]], Departments[#All], 2, FALSE)</f>
        <v>SLG</v>
      </c>
      <c r="E10" t="s">
        <v>639</v>
      </c>
      <c r="F10" t="str">
        <f>VLOOKUP(Subscriptions[[#This Row],[DeptID]], Departments[#All], 4, FALSE)</f>
        <v>Sandbox</v>
      </c>
      <c r="G10" t="s">
        <v>932</v>
      </c>
      <c r="H10" t="s">
        <v>626</v>
      </c>
      <c r="I10" t="s">
        <v>635</v>
      </c>
      <c r="J10" t="str">
        <f>VLOOKUP(Subscriptions[[#This Row],[DeptID]], Departments[], 6, FALSE)</f>
        <v>SLG_Sandbox_AA</v>
      </c>
    </row>
    <row r="11" spans="1:12" x14ac:dyDescent="0.45">
      <c r="A11" t="s">
        <v>1188</v>
      </c>
      <c r="B11" t="str">
        <f>C11&amp;"_"&amp;D11&amp;"_"&amp;F11&amp;"_"&amp;Subscriptions[[#This Row],[Environment]]</f>
        <v>MAC_SLG_Managed_HBI</v>
      </c>
      <c r="C11" t="s">
        <v>933</v>
      </c>
      <c r="D11" t="str">
        <f>VLOOKUP(Subscriptions[[#This Row],[DeptID]], Departments[#All], 2, FALSE)</f>
        <v>SLG</v>
      </c>
      <c r="E11" t="s">
        <v>636</v>
      </c>
      <c r="F11" t="str">
        <f>VLOOKUP(Subscriptions[[#This Row],[DeptID]], Departments[#All], 4, FALSE)</f>
        <v>Managed</v>
      </c>
      <c r="G11" t="s">
        <v>934</v>
      </c>
      <c r="H11" t="s">
        <v>626</v>
      </c>
      <c r="I11" t="s">
        <v>587</v>
      </c>
      <c r="J11" t="str">
        <f>VLOOKUP(Subscriptions[[#This Row],[DeptID]], Departments[], 6, FALSE)</f>
        <v>SLG_Managed_AA</v>
      </c>
    </row>
    <row r="12" spans="1:12" x14ac:dyDescent="0.45">
      <c r="A12" t="s">
        <v>1189</v>
      </c>
      <c r="B12" t="str">
        <f>C12&amp;"_"&amp;D12&amp;"_"&amp;F12&amp;"_"&amp;Subscriptions[[#This Row],[Environment]]</f>
        <v>MAC_SLG_Managed_PreProd</v>
      </c>
      <c r="C12" t="s">
        <v>933</v>
      </c>
      <c r="D12" t="str">
        <f>VLOOKUP(Subscriptions[[#This Row],[DeptID]], Departments[#All], 2, FALSE)</f>
        <v>SLG</v>
      </c>
      <c r="E12" t="s">
        <v>637</v>
      </c>
      <c r="F12" t="str">
        <f>VLOOKUP(Subscriptions[[#This Row],[DeptID]], Departments[#All], 4, FALSE)</f>
        <v>Managed</v>
      </c>
      <c r="G12" t="s">
        <v>381</v>
      </c>
      <c r="H12" t="s">
        <v>626</v>
      </c>
      <c r="I12" t="s">
        <v>587</v>
      </c>
      <c r="J12" t="str">
        <f>VLOOKUP(Subscriptions[[#This Row],[DeptID]], Departments[], 6, FALSE)</f>
        <v>SLG_Managed_AA</v>
      </c>
    </row>
    <row r="13" spans="1:12" x14ac:dyDescent="0.45">
      <c r="A13" t="s">
        <v>1190</v>
      </c>
      <c r="B13" t="str">
        <f>C13&amp;"_"&amp;D13&amp;"_"&amp;F13&amp;"_"&amp;Subscriptions[[#This Row],[Environment]]</f>
        <v>MAC_SLG_Managed_Prod</v>
      </c>
      <c r="C13" t="s">
        <v>933</v>
      </c>
      <c r="D13" t="str">
        <f>VLOOKUP(Subscriptions[[#This Row],[DeptID]], Departments[#All], 2, FALSE)</f>
        <v>SLG</v>
      </c>
      <c r="E13" t="s">
        <v>638</v>
      </c>
      <c r="F13" t="str">
        <f>VLOOKUP(Subscriptions[[#This Row],[DeptID]], Departments[#All], 4, FALSE)</f>
        <v>Managed</v>
      </c>
      <c r="G13" t="s">
        <v>390</v>
      </c>
      <c r="H13" t="s">
        <v>626</v>
      </c>
      <c r="I13" t="s">
        <v>587</v>
      </c>
      <c r="J13" t="str">
        <f>VLOOKUP(Subscriptions[[#This Row],[DeptID]], Departments[], 6, FALSE)</f>
        <v>SLG_Managed_AA</v>
      </c>
    </row>
    <row r="14" spans="1:12" x14ac:dyDescent="0.45">
      <c r="A14" t="s">
        <v>1191</v>
      </c>
      <c r="B14" t="str">
        <f>C14&amp;"_"&amp;D14&amp;"_"&amp;F14&amp;"_"&amp;Subscriptions[[#This Row],[Environment]]</f>
        <v>MAC_SLG_Managed_Services</v>
      </c>
      <c r="C14" t="s">
        <v>933</v>
      </c>
      <c r="D14" t="str">
        <f>VLOOKUP(Subscriptions[[#This Row],[DeptID]], Departments[#All], 2, FALSE)</f>
        <v>SLG</v>
      </c>
      <c r="E14" t="s">
        <v>639</v>
      </c>
      <c r="F14" t="str">
        <f>VLOOKUP(Subscriptions[[#This Row],[DeptID]], Departments[#All], 4, FALSE)</f>
        <v>Managed</v>
      </c>
      <c r="G14" t="s">
        <v>71</v>
      </c>
      <c r="H14" t="s">
        <v>626</v>
      </c>
      <c r="I14" t="s">
        <v>587</v>
      </c>
      <c r="J14" t="str">
        <f>VLOOKUP(Subscriptions[[#This Row],[DeptID]], Departments[], 6, FALSE)</f>
        <v>SLG_Managed_AA</v>
      </c>
    </row>
    <row r="15" spans="1:12" x14ac:dyDescent="0.45">
      <c r="A15" t="s">
        <v>1192</v>
      </c>
      <c r="B15" t="str">
        <f>C15&amp;"_"&amp;D15&amp;"_"&amp;F15&amp;"_"&amp;Subscriptions[[#This Row],[Environment]]</f>
        <v>MAC_SLG_Managed_Storage</v>
      </c>
      <c r="C15" t="s">
        <v>933</v>
      </c>
      <c r="D15" t="str">
        <f>VLOOKUP(Subscriptions[[#This Row],[DeptID]], Departments[#All], 2, FALSE)</f>
        <v>SLG</v>
      </c>
      <c r="E15" t="s">
        <v>640</v>
      </c>
      <c r="F15" t="str">
        <f>VLOOKUP(Subscriptions[[#This Row],[DeptID]], Departments[#All], 4, FALSE)</f>
        <v>Managed</v>
      </c>
      <c r="G15" t="s">
        <v>210</v>
      </c>
      <c r="H15" t="s">
        <v>626</v>
      </c>
      <c r="I15" t="s">
        <v>587</v>
      </c>
      <c r="J15" t="str">
        <f>VLOOKUP(Subscriptions[[#This Row],[DeptID]], Departments[], 6, FALSE)</f>
        <v>SLG_Managed_AA</v>
      </c>
    </row>
    <row r="16" spans="1:12" x14ac:dyDescent="0.45">
      <c r="A16" t="s">
        <v>1193</v>
      </c>
      <c r="B16" t="str">
        <f>C16&amp;"_"&amp;D16&amp;"_"&amp;F16&amp;"_"&amp;Subscriptions[[#This Row],[Environment]]</f>
        <v>MAC_SLG_Sandbox_DevTeamA</v>
      </c>
      <c r="C16" t="s">
        <v>933</v>
      </c>
      <c r="D16" t="str">
        <f>VLOOKUP(Subscriptions[[#This Row],[DeptID]], Departments[#All], 2, FALSE)</f>
        <v>SLG</v>
      </c>
      <c r="E16" t="s">
        <v>636</v>
      </c>
      <c r="F16" t="str">
        <f>VLOOKUP(Subscriptions[[#This Row],[DeptID]], Departments[#All], 4, FALSE)</f>
        <v>Sandbox</v>
      </c>
      <c r="G16" t="s">
        <v>929</v>
      </c>
      <c r="H16" t="s">
        <v>626</v>
      </c>
      <c r="I16" t="s">
        <v>635</v>
      </c>
      <c r="J16" t="str">
        <f>VLOOKUP(Subscriptions[[#This Row],[DeptID]], Departments[], 6, FALSE)</f>
        <v>SLG_Sandbox_AA</v>
      </c>
    </row>
    <row r="17" spans="1:10" x14ac:dyDescent="0.45">
      <c r="A17" t="s">
        <v>1194</v>
      </c>
      <c r="B17" t="str">
        <f>C17&amp;"_"&amp;D17&amp;"_"&amp;F17&amp;"_"&amp;Subscriptions[[#This Row],[Environment]]</f>
        <v>MAC_SLG_Sandbox_DevTeamB</v>
      </c>
      <c r="C17" t="s">
        <v>933</v>
      </c>
      <c r="D17" t="str">
        <f>VLOOKUP(Subscriptions[[#This Row],[DeptID]], Departments[#All], 2, FALSE)</f>
        <v>SLG</v>
      </c>
      <c r="E17" t="s">
        <v>637</v>
      </c>
      <c r="F17" t="str">
        <f>VLOOKUP(Subscriptions[[#This Row],[DeptID]], Departments[#All], 4, FALSE)</f>
        <v>Sandbox</v>
      </c>
      <c r="G17" t="s">
        <v>930</v>
      </c>
      <c r="H17" t="s">
        <v>626</v>
      </c>
      <c r="I17" t="s">
        <v>635</v>
      </c>
      <c r="J17" t="str">
        <f>VLOOKUP(Subscriptions[[#This Row],[DeptID]], Departments[], 6, FALSE)</f>
        <v>SLG_Sandbox_AA</v>
      </c>
    </row>
    <row r="18" spans="1:10" x14ac:dyDescent="0.45">
      <c r="A18" t="s">
        <v>1195</v>
      </c>
      <c r="B18" t="str">
        <f>C18&amp;"_"&amp;D18&amp;"_"&amp;F18&amp;"_"&amp;Subscriptions[[#This Row],[Environment]]</f>
        <v>MAC_SLG_Sandbox_DevTeamC</v>
      </c>
      <c r="C18" t="s">
        <v>933</v>
      </c>
      <c r="D18" t="str">
        <f>VLOOKUP(Subscriptions[[#This Row],[DeptID]], Departments[#All], 2, FALSE)</f>
        <v>SLG</v>
      </c>
      <c r="E18" t="s">
        <v>638</v>
      </c>
      <c r="F18" t="str">
        <f>VLOOKUP(Subscriptions[[#This Row],[DeptID]], Departments[#All], 4, FALSE)</f>
        <v>Sandbox</v>
      </c>
      <c r="G18" t="s">
        <v>931</v>
      </c>
      <c r="H18" t="s">
        <v>626</v>
      </c>
      <c r="I18" t="s">
        <v>635</v>
      </c>
      <c r="J18" t="str">
        <f>VLOOKUP(Subscriptions[[#This Row],[DeptID]], Departments[], 6, FALSE)</f>
        <v>SLG_Sandbox_AA</v>
      </c>
    </row>
    <row r="19" spans="1:10" x14ac:dyDescent="0.45">
      <c r="A19" t="s">
        <v>1196</v>
      </c>
      <c r="B19" t="str">
        <f>C19&amp;"_"&amp;D19&amp;"_"&amp;F19&amp;"_"&amp;Subscriptions[[#This Row],[Environment]]</f>
        <v>MAC_SLG_Sandbox_DevTeamD</v>
      </c>
      <c r="C19" t="s">
        <v>933</v>
      </c>
      <c r="D19" t="str">
        <f>VLOOKUP(Subscriptions[[#This Row],[DeptID]], Departments[#All], 2, FALSE)</f>
        <v>SLG</v>
      </c>
      <c r="E19" t="s">
        <v>639</v>
      </c>
      <c r="F19" t="str">
        <f>VLOOKUP(Subscriptions[[#This Row],[DeptID]], Departments[#All], 4, FALSE)</f>
        <v>Sandbox</v>
      </c>
      <c r="G19" t="s">
        <v>932</v>
      </c>
      <c r="H19" t="s">
        <v>626</v>
      </c>
      <c r="I19" t="s">
        <v>635</v>
      </c>
      <c r="J19" t="str">
        <f>VLOOKUP(Subscriptions[[#This Row],[DeptID]], Departments[], 6, FALSE)</f>
        <v>SLG_Sandbox_AA</v>
      </c>
    </row>
    <row r="20" spans="1:10" x14ac:dyDescent="0.45">
      <c r="A20" t="s">
        <v>1201</v>
      </c>
      <c r="B20" t="str">
        <f>C20&amp;"_"&amp;D20&amp;"_"&amp;F20&amp;"_"&amp;Subscriptions[[#This Row],[Environment]]</f>
        <v>MAC_SLG_Managed_VSTS</v>
      </c>
      <c r="C20" t="s">
        <v>933</v>
      </c>
      <c r="D20" t="s">
        <v>1186</v>
      </c>
      <c r="E20" t="s">
        <v>1199</v>
      </c>
      <c r="F20" t="s">
        <v>371</v>
      </c>
      <c r="G20" t="s">
        <v>1200</v>
      </c>
      <c r="H20" t="s">
        <v>626</v>
      </c>
      <c r="I20" t="s">
        <v>635</v>
      </c>
      <c r="J20" s="29" t="str">
        <f>VLOOKUP(Subscriptions[[#This Row],[DeptID]], Departments[], 6, FALSE)</f>
        <v>SLG_Sandbox_AA</v>
      </c>
    </row>
    <row r="21" spans="1:10" hidden="1" x14ac:dyDescent="0.45">
      <c r="B21" s="29" t="e">
        <f>C21&amp;"_"&amp;#REF!&amp;"_"&amp;D21&amp;"_"&amp;F21&amp;"_"&amp;Subscriptions[[#This Row],[Environment]]</f>
        <v>#REF!</v>
      </c>
      <c r="D21" t="e">
        <f>VLOOKUP(Subscriptions[[#This Row],[DeptID]], Departments[#All], 2, FALSE)</f>
        <v>#N/A</v>
      </c>
      <c r="F21" t="e">
        <f>VLOOKUP(Subscriptions[[#This Row],[DeptID]], Departments[#All], 4, FALSE)</f>
        <v>#N/A</v>
      </c>
      <c r="J21" s="29" t="e">
        <f>VLOOKUP(Subscriptions[[#This Row],[DeptID]], Departments[], 6, FALSE)</f>
        <v>#N/A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935</v>
      </c>
      <c r="B1" t="s">
        <v>936</v>
      </c>
      <c r="C1" t="s">
        <v>1</v>
      </c>
      <c r="D1" t="s">
        <v>272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D6" sqref="D6"/>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156</v>
      </c>
      <c r="B1" t="s">
        <v>63</v>
      </c>
      <c r="C1" t="s">
        <v>167</v>
      </c>
      <c r="D1" t="s">
        <v>568</v>
      </c>
      <c r="E1" t="s">
        <v>1</v>
      </c>
    </row>
    <row r="2" spans="1:5" x14ac:dyDescent="0.45">
      <c r="A2" t="s">
        <v>157</v>
      </c>
      <c r="B2" t="s">
        <v>225</v>
      </c>
      <c r="C2" t="s">
        <v>561</v>
      </c>
      <c r="D2" t="s">
        <v>570</v>
      </c>
      <c r="E2" t="s">
        <v>296</v>
      </c>
    </row>
    <row r="3" spans="1:5" x14ac:dyDescent="0.45">
      <c r="A3" t="s">
        <v>158</v>
      </c>
      <c r="B3" t="s">
        <v>226</v>
      </c>
      <c r="C3" t="s">
        <v>562</v>
      </c>
      <c r="D3" t="s">
        <v>569</v>
      </c>
      <c r="E3" t="s">
        <v>227</v>
      </c>
    </row>
    <row r="4" spans="1:5" x14ac:dyDescent="0.45">
      <c r="A4" t="s">
        <v>159</v>
      </c>
      <c r="B4" t="s">
        <v>627</v>
      </c>
      <c r="C4" t="s">
        <v>385</v>
      </c>
      <c r="E4" t="s">
        <v>630</v>
      </c>
    </row>
    <row r="5" spans="1:5" x14ac:dyDescent="0.45">
      <c r="A5" t="s">
        <v>160</v>
      </c>
      <c r="B5" t="s">
        <v>629</v>
      </c>
      <c r="C5" t="s">
        <v>628</v>
      </c>
      <c r="E5" t="s">
        <v>631</v>
      </c>
    </row>
    <row r="6" spans="1:5" x14ac:dyDescent="0.45">
      <c r="A6" t="s">
        <v>161</v>
      </c>
      <c r="B6" t="s">
        <v>1203</v>
      </c>
      <c r="C6" t="s">
        <v>1460</v>
      </c>
      <c r="D6" t="s">
        <v>1457</v>
      </c>
      <c r="E6" t="s">
        <v>1204</v>
      </c>
    </row>
    <row r="7" spans="1:5" x14ac:dyDescent="0.45">
      <c r="A7" t="s">
        <v>162</v>
      </c>
      <c r="B7" t="s">
        <v>1205</v>
      </c>
      <c r="C7" t="s">
        <v>1459</v>
      </c>
      <c r="D7" t="s">
        <v>1458</v>
      </c>
      <c r="E7" t="s">
        <v>1206</v>
      </c>
    </row>
    <row r="8" spans="1:5" x14ac:dyDescent="0.45">
      <c r="A8" t="s">
        <v>163</v>
      </c>
    </row>
    <row r="9" spans="1:5" x14ac:dyDescent="0.45">
      <c r="A9" t="s">
        <v>164</v>
      </c>
    </row>
    <row r="10" spans="1:5" x14ac:dyDescent="0.45">
      <c r="A10" t="s">
        <v>165</v>
      </c>
    </row>
    <row r="11" spans="1:5" x14ac:dyDescent="0.45">
      <c r="A11" t="s">
        <v>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H1" workbookViewId="0">
      <selection activeCell="B17" sqref="B17:B21"/>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0" width="26.1328125" customWidth="1"/>
    <col min="11" max="11" width="15.1992187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15" x14ac:dyDescent="0.45">
      <c r="A1" t="s">
        <v>307</v>
      </c>
      <c r="B1" t="s">
        <v>272</v>
      </c>
      <c r="C1" t="s">
        <v>63</v>
      </c>
      <c r="D1" t="s">
        <v>500</v>
      </c>
      <c r="E1" t="s">
        <v>375</v>
      </c>
      <c r="F1" t="s">
        <v>376</v>
      </c>
      <c r="G1" t="s">
        <v>383</v>
      </c>
      <c r="H1" t="s">
        <v>490</v>
      </c>
      <c r="I1" t="s">
        <v>641</v>
      </c>
      <c r="J1" t="s">
        <v>1</v>
      </c>
      <c r="K1" t="s">
        <v>263</v>
      </c>
      <c r="L1" t="s">
        <v>93</v>
      </c>
      <c r="M1" t="s">
        <v>559</v>
      </c>
      <c r="N1" s="37" t="s">
        <v>377</v>
      </c>
      <c r="O1" s="4" t="s">
        <v>378</v>
      </c>
      <c r="P1" s="4" t="s">
        <v>379</v>
      </c>
      <c r="Q1" s="4" t="s">
        <v>380</v>
      </c>
    </row>
    <row r="2" spans="1:17" x14ac:dyDescent="0.45">
      <c r="A2" t="s">
        <v>308</v>
      </c>
      <c r="B2" t="s">
        <v>318</v>
      </c>
      <c r="C2" t="str">
        <f>RIGHT(VNETS[Subscription Name (Computed)], (LEN(VNETS[[#This Row],[Subscription Name (Computed)]]) - SEARCH("_", VNETS[[#This Row],[Subscription Name (Computed)]], 4)))&amp;"_"&amp;VNETS[[#This Row],[Location Name (Computed)]]</f>
        <v>slg_managed_cjis_va</v>
      </c>
      <c r="D2" t="s">
        <v>1038</v>
      </c>
      <c r="E2" t="str">
        <f t="shared" ref="E2:E11" si="0">N2&amp;"."&amp;O2&amp;"."&amp;P2&amp;"."&amp;Q2</f>
        <v>10.130.16.0</v>
      </c>
      <c r="F2" s="9" t="s">
        <v>382</v>
      </c>
      <c r="G2" s="29" t="str">
        <f>LOWER(VLOOKUP(B2,Subscriptions[#All],2,FALSE))</f>
        <v>mag_slg_managed_cjis</v>
      </c>
      <c r="H2" s="29" t="str">
        <f>VLOOKUP(VNETS[[#This Row],[SubID]], Subscriptions[#All], 4, FALSE)</f>
        <v>SLG</v>
      </c>
      <c r="I2" s="29" t="str">
        <f>VLOOKUP(VNETS[[#This Row],[SubID]], Subscriptions[#All], 6, FALSE)</f>
        <v>Managed</v>
      </c>
      <c r="J2" t="s">
        <v>374</v>
      </c>
      <c r="K2" t="s">
        <v>396</v>
      </c>
      <c r="L2" t="s">
        <v>558</v>
      </c>
      <c r="M2" t="str">
        <f>VLOOKUP(VNETS[[#This Row],[Location]], Locations[#All], 3, FALSE)</f>
        <v>va</v>
      </c>
      <c r="N2">
        <v>10</v>
      </c>
      <c r="O2">
        <v>130</v>
      </c>
      <c r="P2">
        <v>16</v>
      </c>
      <c r="Q2">
        <v>0</v>
      </c>
    </row>
    <row r="3" spans="1:17" x14ac:dyDescent="0.45">
      <c r="A3" t="s">
        <v>309</v>
      </c>
      <c r="B3" t="s">
        <v>319</v>
      </c>
      <c r="C3" t="str">
        <f>RIGHT(VNETS[Subscription Name (Computed)], (LEN(VNETS[[#This Row],[Subscription Name (Computed)]]) - SEARCH("_", VNETS[[#This Row],[Subscription Name (Computed)]], 4)))&amp;"_"&amp;VNETS[[#This Row],[Location Name (Computed)]]</f>
        <v>slg_managed_preprod_va</v>
      </c>
      <c r="D3" t="s">
        <v>1037</v>
      </c>
      <c r="E3" t="str">
        <f t="shared" si="0"/>
        <v>10.130.32.0</v>
      </c>
      <c r="F3" s="9" t="s">
        <v>382</v>
      </c>
      <c r="G3" s="29" t="str">
        <f>LOWER(VLOOKUP(B3,Subscriptions[#All],2,FALSE))</f>
        <v>mag_slg_managed_preprod</v>
      </c>
      <c r="H3" s="29" t="str">
        <f>VLOOKUP(VNETS[[#This Row],[SubID]], Subscriptions[#All], 4, FALSE)</f>
        <v>SLG</v>
      </c>
      <c r="I3" s="29" t="str">
        <f>VLOOKUP(VNETS[[#This Row],[SubID]], Subscriptions[#All], 6, FALSE)</f>
        <v>Managed</v>
      </c>
      <c r="J3" t="s">
        <v>374</v>
      </c>
      <c r="K3" t="s">
        <v>992</v>
      </c>
      <c r="L3" t="s">
        <v>558</v>
      </c>
      <c r="M3" t="str">
        <f>VLOOKUP(VNETS[[#This Row],[Location]], Locations[#All], 3, FALSE)</f>
        <v>va</v>
      </c>
      <c r="N3">
        <v>10</v>
      </c>
      <c r="O3">
        <v>130</v>
      </c>
      <c r="P3">
        <v>32</v>
      </c>
      <c r="Q3">
        <v>0</v>
      </c>
    </row>
    <row r="4" spans="1:17" x14ac:dyDescent="0.45">
      <c r="A4" t="s">
        <v>310</v>
      </c>
      <c r="B4" t="s">
        <v>320</v>
      </c>
      <c r="C4" t="str">
        <f>RIGHT(VNETS[Subscription Name (Computed)], (LEN(VNETS[[#This Row],[Subscription Name (Computed)]]) - SEARCH("_", VNETS[[#This Row],[Subscription Name (Computed)]], 4)))&amp;"_"&amp;VNETS[[#This Row],[Location Name (Computed)]]</f>
        <v>slg_managed_prod_va</v>
      </c>
      <c r="D4" t="s">
        <v>1035</v>
      </c>
      <c r="E4" t="str">
        <f t="shared" si="0"/>
        <v>10.130.0.0</v>
      </c>
      <c r="F4" s="9" t="s">
        <v>382</v>
      </c>
      <c r="G4" s="29" t="str">
        <f>LOWER(VLOOKUP(B4,Subscriptions[#All],2,FALSE))</f>
        <v>mag_slg_managed_prod</v>
      </c>
      <c r="H4" s="29" t="str">
        <f>VLOOKUP(VNETS[[#This Row],[SubID]], Subscriptions[#All], 4, FALSE)</f>
        <v>SLG</v>
      </c>
      <c r="I4" s="29" t="str">
        <f>VLOOKUP(VNETS[[#This Row],[SubID]], Subscriptions[#All], 6, FALSE)</f>
        <v>Managed</v>
      </c>
      <c r="J4" t="s">
        <v>374</v>
      </c>
      <c r="K4" t="s">
        <v>993</v>
      </c>
      <c r="L4" t="s">
        <v>558</v>
      </c>
      <c r="M4" t="str">
        <f>VLOOKUP(VNETS[[#This Row],[Location]], Locations[#All], 3, FALSE)</f>
        <v>va</v>
      </c>
      <c r="N4">
        <v>10</v>
      </c>
      <c r="O4">
        <v>130</v>
      </c>
      <c r="P4">
        <v>0</v>
      </c>
      <c r="Q4">
        <v>0</v>
      </c>
    </row>
    <row r="5" spans="1:17" x14ac:dyDescent="0.45">
      <c r="A5" t="s">
        <v>311</v>
      </c>
      <c r="B5" t="s">
        <v>321</v>
      </c>
      <c r="C5" t="str">
        <f>RIGHT(VNETS[Subscription Name (Computed)], (LEN(VNETS[[#This Row],[Subscription Name (Computed)]]) - SEARCH("_", VNETS[[#This Row],[Subscription Name (Computed)]], 4)))&amp;"_"&amp;VNETS[[#This Row],[Location Name (Computed)]]</f>
        <v>slg_managed_services_va</v>
      </c>
      <c r="D5" t="s">
        <v>1033</v>
      </c>
      <c r="E5" t="str">
        <f t="shared" si="0"/>
        <v>10.130.56.0</v>
      </c>
      <c r="F5" s="9" t="s">
        <v>301</v>
      </c>
      <c r="G5" s="29" t="str">
        <f>LOWER(VLOOKUP(B5,Subscriptions[#All],2,FALSE))</f>
        <v>mag_slg_managed_services</v>
      </c>
      <c r="H5" s="29" t="str">
        <f>VLOOKUP(VNETS[[#This Row],[SubID]], Subscriptions[#All], 4, FALSE)</f>
        <v>SLG</v>
      </c>
      <c r="I5" s="29" t="str">
        <f>VLOOKUP(VNETS[[#This Row],[SubID]], Subscriptions[#All], 6, FALSE)</f>
        <v>Managed</v>
      </c>
      <c r="J5" t="s">
        <v>374</v>
      </c>
      <c r="K5" t="s">
        <v>994</v>
      </c>
      <c r="L5" t="s">
        <v>558</v>
      </c>
      <c r="M5" t="str">
        <f>VLOOKUP(VNETS[[#This Row],[Location]], Locations[#All], 3, FALSE)</f>
        <v>va</v>
      </c>
      <c r="N5">
        <v>10</v>
      </c>
      <c r="O5">
        <v>130</v>
      </c>
      <c r="P5">
        <v>56</v>
      </c>
      <c r="Q5">
        <v>0</v>
      </c>
    </row>
    <row r="6" spans="1:17" x14ac:dyDescent="0.45">
      <c r="A6" t="s">
        <v>312</v>
      </c>
      <c r="B6" t="s">
        <v>322</v>
      </c>
      <c r="C6" t="str">
        <f>RIGHT(VNETS[Subscription Name (Computed)], (LEN(VNETS[[#This Row],[Subscription Name (Computed)]]) - SEARCH("_", VNETS[[#This Row],[Subscription Name (Computed)]], 4)))&amp;"_"&amp;VNETS[[#This Row],[Location Name (Computed)]]</f>
        <v>slg_managed_storage_va</v>
      </c>
      <c r="D6" t="s">
        <v>1033</v>
      </c>
      <c r="E6" t="str">
        <f t="shared" si="0"/>
        <v>10.130.48.0</v>
      </c>
      <c r="F6" s="9" t="s">
        <v>301</v>
      </c>
      <c r="G6" s="29" t="str">
        <f>LOWER(VLOOKUP(B6,Subscriptions[#All],2,FALSE))</f>
        <v>mag_slg_managed_storage</v>
      </c>
      <c r="H6" s="29" t="str">
        <f>VLOOKUP(VNETS[[#This Row],[SubID]], Subscriptions[#All], 4, FALSE)</f>
        <v>SLG</v>
      </c>
      <c r="I6" s="29" t="str">
        <f>VLOOKUP(VNETS[[#This Row],[SubID]], Subscriptions[#All], 6, FALSE)</f>
        <v>Managed</v>
      </c>
      <c r="J6" t="s">
        <v>374</v>
      </c>
      <c r="K6" t="s">
        <v>995</v>
      </c>
      <c r="L6" t="s">
        <v>558</v>
      </c>
      <c r="M6" t="str">
        <f>VLOOKUP(VNETS[[#This Row],[Location]], Locations[#All], 3, FALSE)</f>
        <v>va</v>
      </c>
      <c r="N6">
        <v>10</v>
      </c>
      <c r="O6">
        <v>130</v>
      </c>
      <c r="P6">
        <v>48</v>
      </c>
      <c r="Q6">
        <v>0</v>
      </c>
    </row>
    <row r="7" spans="1:17" x14ac:dyDescent="0.45">
      <c r="A7" t="s">
        <v>313</v>
      </c>
      <c r="B7" t="s">
        <v>318</v>
      </c>
      <c r="C7" t="str">
        <f>RIGHT(VNETS[Subscription Name (Computed)], (LEN(VNETS[[#This Row],[Subscription Name (Computed)]]) - SEARCH("_", VNETS[[#This Row],[Subscription Name (Computed)]], 4)))&amp;"_"&amp;VNETS[[#This Row],[Location Name (Computed)]]</f>
        <v>slg_managed_cjis_ia</v>
      </c>
      <c r="D7" t="s">
        <v>1031</v>
      </c>
      <c r="E7" t="str">
        <f t="shared" si="0"/>
        <v>10.130.80.0</v>
      </c>
      <c r="F7" s="9" t="s">
        <v>382</v>
      </c>
      <c r="G7" s="29" t="str">
        <f>LOWER(VLOOKUP(B7,Subscriptions[#All],2,FALSE))</f>
        <v>mag_slg_managed_cjis</v>
      </c>
      <c r="H7" s="29" t="str">
        <f>VLOOKUP(VNETS[[#This Row],[SubID]], Subscriptions[#All], 4, FALSE)</f>
        <v>SLG</v>
      </c>
      <c r="I7" s="29" t="str">
        <f>VLOOKUP(VNETS[[#This Row],[SubID]], Subscriptions[#All], 6, FALSE)</f>
        <v>Managed</v>
      </c>
      <c r="J7" t="s">
        <v>374</v>
      </c>
      <c r="K7" t="s">
        <v>396</v>
      </c>
      <c r="L7" t="s">
        <v>560</v>
      </c>
      <c r="M7" t="str">
        <f>VLOOKUP(VNETS[[#This Row],[Location]], Locations[#All], 3, FALSE)</f>
        <v>ia</v>
      </c>
      <c r="N7">
        <v>10</v>
      </c>
      <c r="O7">
        <v>130</v>
      </c>
      <c r="P7">
        <v>80</v>
      </c>
      <c r="Q7">
        <v>0</v>
      </c>
    </row>
    <row r="8" spans="1:17" x14ac:dyDescent="0.45">
      <c r="A8" t="s">
        <v>314</v>
      </c>
      <c r="B8" t="s">
        <v>319</v>
      </c>
      <c r="C8" t="str">
        <f>RIGHT(VNETS[Subscription Name (Computed)], (LEN(VNETS[[#This Row],[Subscription Name (Computed)]]) - SEARCH("_", VNETS[[#This Row],[Subscription Name (Computed)]], 4)))&amp;"_"&amp;VNETS[[#This Row],[Location Name (Computed)]]</f>
        <v>slg_managed_preprod_ia</v>
      </c>
      <c r="D8" t="s">
        <v>1037</v>
      </c>
      <c r="E8" t="str">
        <f t="shared" si="0"/>
        <v>10.130.96.0</v>
      </c>
      <c r="F8" s="9" t="s">
        <v>382</v>
      </c>
      <c r="G8" s="29" t="str">
        <f>LOWER(VLOOKUP(B8,Subscriptions[#All],2,FALSE))</f>
        <v>mag_slg_managed_preprod</v>
      </c>
      <c r="H8" s="29" t="str">
        <f>VLOOKUP(VNETS[[#This Row],[SubID]], Subscriptions[#All], 4, FALSE)</f>
        <v>SLG</v>
      </c>
      <c r="I8" s="29" t="str">
        <f>VLOOKUP(VNETS[[#This Row],[SubID]], Subscriptions[#All], 6, FALSE)</f>
        <v>Managed</v>
      </c>
      <c r="J8" t="s">
        <v>374</v>
      </c>
      <c r="K8" t="s">
        <v>992</v>
      </c>
      <c r="L8" t="s">
        <v>560</v>
      </c>
      <c r="M8" t="str">
        <f>VLOOKUP(VNETS[[#This Row],[Location]], Locations[#All], 3, FALSE)</f>
        <v>ia</v>
      </c>
      <c r="N8">
        <v>10</v>
      </c>
      <c r="O8">
        <v>130</v>
      </c>
      <c r="P8">
        <v>96</v>
      </c>
      <c r="Q8">
        <v>0</v>
      </c>
    </row>
    <row r="9" spans="1:17" x14ac:dyDescent="0.45">
      <c r="A9" t="s">
        <v>315</v>
      </c>
      <c r="B9" t="s">
        <v>320</v>
      </c>
      <c r="C9" t="str">
        <f>RIGHT(VNETS[Subscription Name (Computed)], (LEN(VNETS[[#This Row],[Subscription Name (Computed)]]) - SEARCH("_", VNETS[[#This Row],[Subscription Name (Computed)]], 4)))&amp;"_"&amp;VNETS[[#This Row],[Location Name (Computed)]]</f>
        <v>slg_managed_prod_ia</v>
      </c>
      <c r="D9" t="s">
        <v>1034</v>
      </c>
      <c r="E9" t="str">
        <f t="shared" si="0"/>
        <v>10.130.64.0</v>
      </c>
      <c r="F9" s="9" t="s">
        <v>382</v>
      </c>
      <c r="G9" s="29" t="str">
        <f>LOWER(VLOOKUP(B9,Subscriptions[#All],2,FALSE))</f>
        <v>mag_slg_managed_prod</v>
      </c>
      <c r="H9" s="29" t="str">
        <f>VLOOKUP(VNETS[[#This Row],[SubID]], Subscriptions[#All], 4, FALSE)</f>
        <v>SLG</v>
      </c>
      <c r="I9" s="29" t="str">
        <f>VLOOKUP(VNETS[[#This Row],[SubID]], Subscriptions[#All], 6, FALSE)</f>
        <v>Managed</v>
      </c>
      <c r="J9" t="s">
        <v>374</v>
      </c>
      <c r="K9" t="s">
        <v>993</v>
      </c>
      <c r="L9" t="s">
        <v>560</v>
      </c>
      <c r="M9" t="str">
        <f>VLOOKUP(VNETS[[#This Row],[Location]], Locations[#All], 3, FALSE)</f>
        <v>ia</v>
      </c>
      <c r="N9">
        <v>10</v>
      </c>
      <c r="O9">
        <v>130</v>
      </c>
      <c r="P9">
        <v>64</v>
      </c>
      <c r="Q9">
        <v>0</v>
      </c>
    </row>
    <row r="10" spans="1:17" x14ac:dyDescent="0.45">
      <c r="A10" t="s">
        <v>316</v>
      </c>
      <c r="B10" t="s">
        <v>321</v>
      </c>
      <c r="C10" t="str">
        <f>RIGHT(VNETS[Subscription Name (Computed)], (LEN(VNETS[[#This Row],[Subscription Name (Computed)]]) - SEARCH("_", VNETS[[#This Row],[Subscription Name (Computed)]], 4)))&amp;"_"&amp;VNETS[[#This Row],[Location Name (Computed)]]</f>
        <v>slg_managed_services_ia</v>
      </c>
      <c r="D10" t="s">
        <v>1036</v>
      </c>
      <c r="E10" t="str">
        <f t="shared" si="0"/>
        <v>10.130.120.0</v>
      </c>
      <c r="F10" s="9" t="s">
        <v>301</v>
      </c>
      <c r="G10" s="29" t="str">
        <f>LOWER(VLOOKUP(B10,Subscriptions[#All],2,FALSE))</f>
        <v>mag_slg_managed_services</v>
      </c>
      <c r="H10" s="29" t="str">
        <f>VLOOKUP(VNETS[[#This Row],[SubID]], Subscriptions[#All], 4, FALSE)</f>
        <v>SLG</v>
      </c>
      <c r="I10" s="29" t="str">
        <f>VLOOKUP(VNETS[[#This Row],[SubID]], Subscriptions[#All], 6, FALSE)</f>
        <v>Managed</v>
      </c>
      <c r="J10" t="s">
        <v>374</v>
      </c>
      <c r="K10" t="s">
        <v>994</v>
      </c>
      <c r="L10" t="s">
        <v>560</v>
      </c>
      <c r="M10" t="str">
        <f>VLOOKUP(VNETS[[#This Row],[Location]], Locations[#All], 3, FALSE)</f>
        <v>ia</v>
      </c>
      <c r="N10">
        <v>10</v>
      </c>
      <c r="O10">
        <v>130</v>
      </c>
      <c r="P10">
        <v>120</v>
      </c>
      <c r="Q10">
        <v>0</v>
      </c>
    </row>
    <row r="11" spans="1:17" x14ac:dyDescent="0.45">
      <c r="A11" t="s">
        <v>317</v>
      </c>
      <c r="B11" t="s">
        <v>322</v>
      </c>
      <c r="C11" t="str">
        <f>RIGHT(VNETS[Subscription Name (Computed)], (LEN(VNETS[[#This Row],[Subscription Name (Computed)]]) - SEARCH("_", VNETS[[#This Row],[Subscription Name (Computed)]], 4)))&amp;"_"&amp;VNETS[[#This Row],[Location Name (Computed)]]</f>
        <v>slg_managed_storage_ia</v>
      </c>
      <c r="D11" t="s">
        <v>1032</v>
      </c>
      <c r="E11" t="str">
        <f t="shared" si="0"/>
        <v>10.130.112.0</v>
      </c>
      <c r="F11" s="9" t="s">
        <v>301</v>
      </c>
      <c r="G11" s="29" t="str">
        <f>LOWER(VLOOKUP(B11,Subscriptions[#All],2,FALSE))</f>
        <v>mag_slg_managed_storage</v>
      </c>
      <c r="H11" s="29" t="str">
        <f>VLOOKUP(VNETS[[#This Row],[SubID]], Subscriptions[#All], 4, FALSE)</f>
        <v>SLG</v>
      </c>
      <c r="I11" s="29" t="str">
        <f>VLOOKUP(VNETS[[#This Row],[SubID]], Subscriptions[#All], 6, FALSE)</f>
        <v>Managed</v>
      </c>
      <c r="J11" t="s">
        <v>374</v>
      </c>
      <c r="K11" t="s">
        <v>995</v>
      </c>
      <c r="L11" t="s">
        <v>560</v>
      </c>
      <c r="M11" t="str">
        <f>VLOOKUP(VNETS[[#This Row],[Location]], Locations[#All], 3, FALSE)</f>
        <v>ia</v>
      </c>
      <c r="N11">
        <v>10</v>
      </c>
      <c r="O11">
        <v>130</v>
      </c>
      <c r="P11">
        <v>112</v>
      </c>
      <c r="Q11">
        <v>0</v>
      </c>
    </row>
    <row r="12" spans="1:17" x14ac:dyDescent="0.45">
      <c r="A12" t="s">
        <v>1207</v>
      </c>
      <c r="B12" t="s">
        <v>1189</v>
      </c>
      <c r="C12" t="str">
        <f>RIGHT(VNETS[Subscription Name (Computed)], (LEN(VNETS[[#This Row],[Subscription Name (Computed)]]) - SEARCH("_", VNETS[[#This Row],[Subscription Name (Computed)]], 4)))&amp;"_"&amp;VNETS[[#This Row],[Location Name (Computed)]]</f>
        <v>slg_managed_preprod_w2</v>
      </c>
      <c r="D12" t="s">
        <v>1038</v>
      </c>
      <c r="E12" t="str">
        <f t="shared" ref="E12:E21" si="1">N12&amp;"."&amp;O12&amp;"."&amp;P12&amp;"."&amp;Q12</f>
        <v>10.131.16.0</v>
      </c>
      <c r="F12" s="9" t="s">
        <v>382</v>
      </c>
      <c r="G12" s="29" t="str">
        <f>LOWER(VLOOKUP(B12,Subscriptions[#All],2,FALSE))</f>
        <v>mac_slg_managed_preprod</v>
      </c>
      <c r="H12" s="29" t="str">
        <f>VLOOKUP(VNETS[[#This Row],[SubID]], Subscriptions[#All], 4, FALSE)</f>
        <v>SLG</v>
      </c>
      <c r="I12" s="29" t="str">
        <f>VLOOKUP(VNETS[[#This Row],[SubID]], Subscriptions[#All], 6, FALSE)</f>
        <v>Managed</v>
      </c>
      <c r="J12" t="s">
        <v>374</v>
      </c>
      <c r="K12" t="s">
        <v>396</v>
      </c>
      <c r="L12" t="s">
        <v>161</v>
      </c>
      <c r="M12" t="str">
        <f>VLOOKUP(VNETS[[#This Row],[Location]], Locations[#All], 3, FALSE)</f>
        <v>w2</v>
      </c>
      <c r="N12">
        <v>10</v>
      </c>
      <c r="O12">
        <v>131</v>
      </c>
      <c r="P12">
        <v>16</v>
      </c>
      <c r="Q12">
        <v>0</v>
      </c>
    </row>
    <row r="13" spans="1:17" x14ac:dyDescent="0.45">
      <c r="A13" t="s">
        <v>1208</v>
      </c>
      <c r="B13" t="s">
        <v>1190</v>
      </c>
      <c r="C13" t="str">
        <f>RIGHT(VNETS[Subscription Name (Computed)], (LEN(VNETS[[#This Row],[Subscription Name (Computed)]]) - SEARCH("_", VNETS[[#This Row],[Subscription Name (Computed)]], 4)))&amp;"_"&amp;VNETS[[#This Row],[Location Name (Computed)]]</f>
        <v>slg_managed_prod_w2</v>
      </c>
      <c r="D13" t="s">
        <v>1037</v>
      </c>
      <c r="E13" t="str">
        <f t="shared" si="1"/>
        <v>10.131.32.0</v>
      </c>
      <c r="F13" s="9" t="s">
        <v>382</v>
      </c>
      <c r="G13" s="29" t="str">
        <f>LOWER(VLOOKUP(B13,Subscriptions[#All],2,FALSE))</f>
        <v>mac_slg_managed_prod</v>
      </c>
      <c r="H13" s="29" t="str">
        <f>VLOOKUP(VNETS[[#This Row],[SubID]], Subscriptions[#All], 4, FALSE)</f>
        <v>SLG</v>
      </c>
      <c r="I13" s="29" t="str">
        <f>VLOOKUP(VNETS[[#This Row],[SubID]], Subscriptions[#All], 6, FALSE)</f>
        <v>Managed</v>
      </c>
      <c r="J13" t="s">
        <v>374</v>
      </c>
      <c r="K13" t="s">
        <v>992</v>
      </c>
      <c r="L13" t="s">
        <v>161</v>
      </c>
      <c r="M13" t="str">
        <f>VLOOKUP(VNETS[[#This Row],[Location]], Locations[#All], 3, FALSE)</f>
        <v>w2</v>
      </c>
      <c r="N13">
        <v>10</v>
      </c>
      <c r="O13">
        <v>131</v>
      </c>
      <c r="P13">
        <v>32</v>
      </c>
      <c r="Q13">
        <v>0</v>
      </c>
    </row>
    <row r="14" spans="1:17" x14ac:dyDescent="0.45">
      <c r="A14" t="s">
        <v>1209</v>
      </c>
      <c r="B14" t="s">
        <v>1191</v>
      </c>
      <c r="C14" t="str">
        <f>RIGHT(VNETS[Subscription Name (Computed)], (LEN(VNETS[[#This Row],[Subscription Name (Computed)]]) - SEARCH("_", VNETS[[#This Row],[Subscription Name (Computed)]], 4)))&amp;"_"&amp;VNETS[[#This Row],[Location Name (Computed)]]</f>
        <v>slg_managed_services_w2</v>
      </c>
      <c r="D14" t="s">
        <v>1035</v>
      </c>
      <c r="E14" t="str">
        <f t="shared" si="1"/>
        <v>10.131.0.0</v>
      </c>
      <c r="F14" s="9" t="s">
        <v>382</v>
      </c>
      <c r="G14" s="29" t="str">
        <f>LOWER(VLOOKUP(B14,Subscriptions[#All],2,FALSE))</f>
        <v>mac_slg_managed_services</v>
      </c>
      <c r="H14" s="29" t="str">
        <f>VLOOKUP(VNETS[[#This Row],[SubID]], Subscriptions[#All], 4, FALSE)</f>
        <v>SLG</v>
      </c>
      <c r="I14" s="29" t="str">
        <f>VLOOKUP(VNETS[[#This Row],[SubID]], Subscriptions[#All], 6, FALSE)</f>
        <v>Managed</v>
      </c>
      <c r="J14" t="s">
        <v>374</v>
      </c>
      <c r="K14" t="s">
        <v>993</v>
      </c>
      <c r="L14" t="s">
        <v>161</v>
      </c>
      <c r="M14" t="str">
        <f>VLOOKUP(VNETS[[#This Row],[Location]], Locations[#All], 3, FALSE)</f>
        <v>w2</v>
      </c>
      <c r="N14">
        <v>10</v>
      </c>
      <c r="O14">
        <v>131</v>
      </c>
      <c r="P14">
        <v>0</v>
      </c>
      <c r="Q14">
        <v>0</v>
      </c>
    </row>
    <row r="15" spans="1:17" x14ac:dyDescent="0.45">
      <c r="A15" t="s">
        <v>1210</v>
      </c>
      <c r="B15" t="s">
        <v>1192</v>
      </c>
      <c r="C15" t="str">
        <f>RIGHT(VNETS[Subscription Name (Computed)], (LEN(VNETS[[#This Row],[Subscription Name (Computed)]]) - SEARCH("_", VNETS[[#This Row],[Subscription Name (Computed)]], 4)))&amp;"_"&amp;VNETS[[#This Row],[Location Name (Computed)]]</f>
        <v>slg_managed_storage_w2</v>
      </c>
      <c r="D15" t="s">
        <v>1033</v>
      </c>
      <c r="E15" t="str">
        <f t="shared" si="1"/>
        <v>10.131.56.0</v>
      </c>
      <c r="F15" s="9" t="s">
        <v>301</v>
      </c>
      <c r="G15" s="29" t="str">
        <f>LOWER(VLOOKUP(B15,Subscriptions[#All],2,FALSE))</f>
        <v>mac_slg_managed_storage</v>
      </c>
      <c r="H15" s="29" t="str">
        <f>VLOOKUP(VNETS[[#This Row],[SubID]], Subscriptions[#All], 4, FALSE)</f>
        <v>SLG</v>
      </c>
      <c r="I15" s="29" t="str">
        <f>VLOOKUP(VNETS[[#This Row],[SubID]], Subscriptions[#All], 6, FALSE)</f>
        <v>Managed</v>
      </c>
      <c r="J15" t="s">
        <v>374</v>
      </c>
      <c r="K15" t="s">
        <v>994</v>
      </c>
      <c r="L15" t="s">
        <v>161</v>
      </c>
      <c r="M15" t="str">
        <f>VLOOKUP(VNETS[[#This Row],[Location]], Locations[#All], 3, FALSE)</f>
        <v>w2</v>
      </c>
      <c r="N15">
        <v>10</v>
      </c>
      <c r="O15">
        <v>131</v>
      </c>
      <c r="P15">
        <v>56</v>
      </c>
      <c r="Q15">
        <v>0</v>
      </c>
    </row>
    <row r="16" spans="1:17" x14ac:dyDescent="0.45">
      <c r="A16" t="s">
        <v>1211</v>
      </c>
      <c r="B16" t="s">
        <v>1193</v>
      </c>
      <c r="C16" t="str">
        <f>RIGHT(VNETS[Subscription Name (Computed)], (LEN(VNETS[[#This Row],[Subscription Name (Computed)]]) - SEARCH("_", VNETS[[#This Row],[Subscription Name (Computed)]], 4)))&amp;"_"&amp;VNETS[[#This Row],[Location Name (Computed)]]</f>
        <v>slg_sandbox_devteama_w2</v>
      </c>
      <c r="D16" t="s">
        <v>1033</v>
      </c>
      <c r="E16" t="str">
        <f t="shared" si="1"/>
        <v>10.131.48.0</v>
      </c>
      <c r="F16" s="9" t="s">
        <v>301</v>
      </c>
      <c r="G16" s="29" t="str">
        <f>LOWER(VLOOKUP(B16,Subscriptions[#All],2,FALSE))</f>
        <v>mac_slg_sandbox_devteama</v>
      </c>
      <c r="H16" s="29" t="str">
        <f>VLOOKUP(VNETS[[#This Row],[SubID]], Subscriptions[#All], 4, FALSE)</f>
        <v>SLG</v>
      </c>
      <c r="I16" s="29" t="str">
        <f>VLOOKUP(VNETS[[#This Row],[SubID]], Subscriptions[#All], 6, FALSE)</f>
        <v>Sandbox</v>
      </c>
      <c r="J16" t="s">
        <v>374</v>
      </c>
      <c r="K16" t="s">
        <v>995</v>
      </c>
      <c r="L16" t="s">
        <v>161</v>
      </c>
      <c r="M16" t="str">
        <f>VLOOKUP(VNETS[[#This Row],[Location]], Locations[#All], 3, FALSE)</f>
        <v>w2</v>
      </c>
      <c r="N16">
        <v>10</v>
      </c>
      <c r="O16">
        <v>131</v>
      </c>
      <c r="P16">
        <v>48</v>
      </c>
      <c r="Q16">
        <v>0</v>
      </c>
    </row>
    <row r="17" spans="1:17" x14ac:dyDescent="0.45">
      <c r="A17" t="s">
        <v>1212</v>
      </c>
      <c r="B17" t="s">
        <v>1189</v>
      </c>
      <c r="C17" t="str">
        <f>RIGHT(VNETS[Subscription Name (Computed)], (LEN(VNETS[[#This Row],[Subscription Name (Computed)]]) - SEARCH("_", VNETS[[#This Row],[Subscription Name (Computed)]], 4)))&amp;"_"&amp;VNETS[[#This Row],[Location Name (Computed)]]</f>
        <v>slg_managed_preprod_w1</v>
      </c>
      <c r="D17" t="s">
        <v>1031</v>
      </c>
      <c r="E17" t="str">
        <f t="shared" si="1"/>
        <v>10.131.80.0</v>
      </c>
      <c r="F17" s="9" t="s">
        <v>382</v>
      </c>
      <c r="G17" s="29" t="str">
        <f>LOWER(VLOOKUP(B17,Subscriptions[#All],2,FALSE))</f>
        <v>mac_slg_managed_preprod</v>
      </c>
      <c r="H17" s="29" t="str">
        <f>VLOOKUP(VNETS[[#This Row],[SubID]], Subscriptions[#All], 4, FALSE)</f>
        <v>SLG</v>
      </c>
      <c r="I17" s="29" t="str">
        <f>VLOOKUP(VNETS[[#This Row],[SubID]], Subscriptions[#All], 6, FALSE)</f>
        <v>Managed</v>
      </c>
      <c r="J17" t="s">
        <v>374</v>
      </c>
      <c r="K17" t="s">
        <v>396</v>
      </c>
      <c r="L17" t="s">
        <v>162</v>
      </c>
      <c r="M17" t="str">
        <f>VLOOKUP(VNETS[[#This Row],[Location]], Locations[#All], 3, FALSE)</f>
        <v>w1</v>
      </c>
      <c r="N17">
        <v>10</v>
      </c>
      <c r="O17">
        <v>131</v>
      </c>
      <c r="P17">
        <v>80</v>
      </c>
      <c r="Q17">
        <v>0</v>
      </c>
    </row>
    <row r="18" spans="1:17" x14ac:dyDescent="0.45">
      <c r="A18" t="s">
        <v>1213</v>
      </c>
      <c r="B18" t="s">
        <v>1190</v>
      </c>
      <c r="C18" t="str">
        <f>RIGHT(VNETS[Subscription Name (Computed)], (LEN(VNETS[[#This Row],[Subscription Name (Computed)]]) - SEARCH("_", VNETS[[#This Row],[Subscription Name (Computed)]], 4)))&amp;"_"&amp;VNETS[[#This Row],[Location Name (Computed)]]</f>
        <v>slg_managed_prod_w1</v>
      </c>
      <c r="D18" t="s">
        <v>1037</v>
      </c>
      <c r="E18" t="str">
        <f t="shared" si="1"/>
        <v>10.131.96.0</v>
      </c>
      <c r="F18" s="9" t="s">
        <v>382</v>
      </c>
      <c r="G18" s="29" t="str">
        <f>LOWER(VLOOKUP(B18,Subscriptions[#All],2,FALSE))</f>
        <v>mac_slg_managed_prod</v>
      </c>
      <c r="H18" s="29" t="str">
        <f>VLOOKUP(VNETS[[#This Row],[SubID]], Subscriptions[#All], 4, FALSE)</f>
        <v>SLG</v>
      </c>
      <c r="I18" s="29" t="str">
        <f>VLOOKUP(VNETS[[#This Row],[SubID]], Subscriptions[#All], 6, FALSE)</f>
        <v>Managed</v>
      </c>
      <c r="J18" t="s">
        <v>374</v>
      </c>
      <c r="K18" t="s">
        <v>992</v>
      </c>
      <c r="L18" t="s">
        <v>162</v>
      </c>
      <c r="M18" t="str">
        <f>VLOOKUP(VNETS[[#This Row],[Location]], Locations[#All], 3, FALSE)</f>
        <v>w1</v>
      </c>
      <c r="N18">
        <v>10</v>
      </c>
      <c r="O18">
        <v>131</v>
      </c>
      <c r="P18">
        <v>96</v>
      </c>
      <c r="Q18">
        <v>0</v>
      </c>
    </row>
    <row r="19" spans="1:17" x14ac:dyDescent="0.45">
      <c r="A19" t="s">
        <v>1214</v>
      </c>
      <c r="B19" t="s">
        <v>1191</v>
      </c>
      <c r="C19" t="str">
        <f>RIGHT(VNETS[Subscription Name (Computed)], (LEN(VNETS[[#This Row],[Subscription Name (Computed)]]) - SEARCH("_", VNETS[[#This Row],[Subscription Name (Computed)]], 4)))&amp;"_"&amp;VNETS[[#This Row],[Location Name (Computed)]]</f>
        <v>slg_managed_services_w1</v>
      </c>
      <c r="D19" t="s">
        <v>1034</v>
      </c>
      <c r="E19" t="str">
        <f t="shared" si="1"/>
        <v>10.131.64.0</v>
      </c>
      <c r="F19" s="9" t="s">
        <v>382</v>
      </c>
      <c r="G19" s="29" t="str">
        <f>LOWER(VLOOKUP(B19,Subscriptions[#All],2,FALSE))</f>
        <v>mac_slg_managed_services</v>
      </c>
      <c r="H19" s="29" t="str">
        <f>VLOOKUP(VNETS[[#This Row],[SubID]], Subscriptions[#All], 4, FALSE)</f>
        <v>SLG</v>
      </c>
      <c r="I19" s="29" t="str">
        <f>VLOOKUP(VNETS[[#This Row],[SubID]], Subscriptions[#All], 6, FALSE)</f>
        <v>Managed</v>
      </c>
      <c r="J19" t="s">
        <v>374</v>
      </c>
      <c r="K19" t="s">
        <v>993</v>
      </c>
      <c r="L19" t="s">
        <v>162</v>
      </c>
      <c r="M19" t="str">
        <f>VLOOKUP(VNETS[[#This Row],[Location]], Locations[#All], 3, FALSE)</f>
        <v>w1</v>
      </c>
      <c r="N19">
        <v>10</v>
      </c>
      <c r="O19">
        <v>131</v>
      </c>
      <c r="P19">
        <v>64</v>
      </c>
      <c r="Q19">
        <v>0</v>
      </c>
    </row>
    <row r="20" spans="1:17" x14ac:dyDescent="0.45">
      <c r="A20" t="s">
        <v>1215</v>
      </c>
      <c r="B20" t="s">
        <v>1192</v>
      </c>
      <c r="C20" t="str">
        <f>RIGHT(VNETS[Subscription Name (Computed)], (LEN(VNETS[[#This Row],[Subscription Name (Computed)]]) - SEARCH("_", VNETS[[#This Row],[Subscription Name (Computed)]], 4)))&amp;"_"&amp;VNETS[[#This Row],[Location Name (Computed)]]</f>
        <v>slg_managed_storage_w1</v>
      </c>
      <c r="D20" t="s">
        <v>1036</v>
      </c>
      <c r="E20" t="str">
        <f t="shared" si="1"/>
        <v>10.131.120.0</v>
      </c>
      <c r="F20" s="9" t="s">
        <v>301</v>
      </c>
      <c r="G20" s="29" t="str">
        <f>LOWER(VLOOKUP(B20,Subscriptions[#All],2,FALSE))</f>
        <v>mac_slg_managed_storage</v>
      </c>
      <c r="H20" s="29" t="str">
        <f>VLOOKUP(VNETS[[#This Row],[SubID]], Subscriptions[#All], 4, FALSE)</f>
        <v>SLG</v>
      </c>
      <c r="I20" s="29" t="str">
        <f>VLOOKUP(VNETS[[#This Row],[SubID]], Subscriptions[#All], 6, FALSE)</f>
        <v>Managed</v>
      </c>
      <c r="J20" t="s">
        <v>374</v>
      </c>
      <c r="K20" t="s">
        <v>994</v>
      </c>
      <c r="L20" t="s">
        <v>162</v>
      </c>
      <c r="M20" t="str">
        <f>VLOOKUP(VNETS[[#This Row],[Location]], Locations[#All], 3, FALSE)</f>
        <v>w1</v>
      </c>
      <c r="N20">
        <v>10</v>
      </c>
      <c r="O20">
        <v>131</v>
      </c>
      <c r="P20">
        <v>120</v>
      </c>
      <c r="Q20">
        <v>0</v>
      </c>
    </row>
    <row r="21" spans="1:17" x14ac:dyDescent="0.45">
      <c r="A21" t="s">
        <v>1216</v>
      </c>
      <c r="B21" t="s">
        <v>1193</v>
      </c>
      <c r="C21" t="str">
        <f>RIGHT(VNETS[Subscription Name (Computed)], (LEN(VNETS[[#This Row],[Subscription Name (Computed)]]) - SEARCH("_", VNETS[[#This Row],[Subscription Name (Computed)]], 4)))&amp;"_"&amp;VNETS[[#This Row],[Location Name (Computed)]]</f>
        <v>slg_sandbox_devteama_w1</v>
      </c>
      <c r="D21" t="s">
        <v>1032</v>
      </c>
      <c r="E21" t="str">
        <f t="shared" si="1"/>
        <v>10.131.112.0</v>
      </c>
      <c r="F21" s="9" t="s">
        <v>301</v>
      </c>
      <c r="G21" s="29" t="str">
        <f>LOWER(VLOOKUP(B21,Subscriptions[#All],2,FALSE))</f>
        <v>mac_slg_sandbox_devteama</v>
      </c>
      <c r="H21" s="29" t="str">
        <f>VLOOKUP(VNETS[[#This Row],[SubID]], Subscriptions[#All], 4, FALSE)</f>
        <v>SLG</v>
      </c>
      <c r="I21" s="29" t="str">
        <f>VLOOKUP(VNETS[[#This Row],[SubID]], Subscriptions[#All], 6, FALSE)</f>
        <v>Sandbox</v>
      </c>
      <c r="J21" t="s">
        <v>374</v>
      </c>
      <c r="K21" t="s">
        <v>995</v>
      </c>
      <c r="L21" t="s">
        <v>162</v>
      </c>
      <c r="M21" t="str">
        <f>VLOOKUP(VNETS[[#This Row],[Location]], Locations[#All], 3, FALSE)</f>
        <v>w1</v>
      </c>
      <c r="N21">
        <v>10</v>
      </c>
      <c r="O21">
        <v>131</v>
      </c>
      <c r="P21">
        <v>112</v>
      </c>
      <c r="Q21">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7"/>
  <sheetViews>
    <sheetView topLeftCell="I56" zoomScale="115" zoomScaleNormal="115" workbookViewId="0">
      <selection activeCell="D199" sqref="D199"/>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643</v>
      </c>
      <c r="B1" t="s">
        <v>642</v>
      </c>
      <c r="C1" t="s">
        <v>307</v>
      </c>
      <c r="D1" t="s">
        <v>266</v>
      </c>
      <c r="E1" t="s">
        <v>996</v>
      </c>
      <c r="F1" t="s">
        <v>536</v>
      </c>
      <c r="G1" t="s">
        <v>641</v>
      </c>
      <c r="H1" t="s">
        <v>384</v>
      </c>
      <c r="I1" t="s">
        <v>0</v>
      </c>
      <c r="J1" t="s">
        <v>228</v>
      </c>
      <c r="K1" t="s">
        <v>1</v>
      </c>
      <c r="L1" t="s">
        <v>64</v>
      </c>
      <c r="M1" t="s">
        <v>65</v>
      </c>
      <c r="N1" t="s">
        <v>387</v>
      </c>
      <c r="O1" t="s">
        <v>67</v>
      </c>
      <c r="P1" t="s">
        <v>68</v>
      </c>
      <c r="Q1" t="s">
        <v>69</v>
      </c>
      <c r="R1" t="s">
        <v>66</v>
      </c>
      <c r="S1" t="s">
        <v>97</v>
      </c>
      <c r="T1" t="s">
        <v>98</v>
      </c>
      <c r="U1" s="53" t="s">
        <v>783</v>
      </c>
      <c r="V1" s="53" t="s">
        <v>272</v>
      </c>
    </row>
    <row r="2" spans="1:22" x14ac:dyDescent="0.45">
      <c r="A2" t="s">
        <v>399</v>
      </c>
      <c r="B2">
        <v>210</v>
      </c>
      <c r="C2" t="s">
        <v>308</v>
      </c>
      <c r="D2" t="str">
        <f>I2&amp;"_"&amp;Subnets[[#This Row],[SubNetNumber]]&amp;"_"&amp;Subnets[[#This Row],[Dept. (Computed)]]&amp;"_"&amp;E2&amp;"_"&amp;Subnets[[#This Row],[Location (Computed)]]</f>
        <v>Web_210_SLG_CJIS_va</v>
      </c>
      <c r="E2" t="str">
        <f>VLOOKUP(Subnets[[#This Row],[VNETID]], VNETS[], 11, FALSE)</f>
        <v>CJIS</v>
      </c>
      <c r="F2" t="str">
        <f>VLOOKUP(Subnets[[#This Row],[VNETID]],VNETS[#All], 8, FALSE)</f>
        <v>SLG</v>
      </c>
      <c r="G2" t="str">
        <f>VLOOKUP(Subnets[[#This Row],[VNETID]],VNETS[#All], 9, FALSE)</f>
        <v>Managed</v>
      </c>
      <c r="H2" t="str">
        <f>VLOOKUP(Subnets[[#This Row],[VNETID]],VNETS[#All],13, FALSE)</f>
        <v>va</v>
      </c>
      <c r="I2" t="s">
        <v>72</v>
      </c>
      <c r="K2" t="s">
        <v>76</v>
      </c>
      <c r="L2" t="str">
        <f t="shared" ref="L2:L34" si="0">O2&amp;"."&amp;P2&amp;"."&amp;Q2&amp;"."&amp;R2</f>
        <v>10.130.16.0</v>
      </c>
      <c r="M2" s="9" t="s">
        <v>77</v>
      </c>
      <c r="N2" t="str">
        <f>VLOOKUP(Subnets[[#This Row],[VNETID]],VNETS[#All],7, FALSE)</f>
        <v>mag_slg_managed_cjis</v>
      </c>
      <c r="O2">
        <f>VLOOKUP(Subnets[[#This Row],[VNETID]], VNETS[#All], 14, FALSE)</f>
        <v>10</v>
      </c>
      <c r="P2">
        <f>VLOOKUP(Subnets[[#This Row],[VNETID]], VNETS[#All], 15, FALSE)</f>
        <v>130</v>
      </c>
      <c r="Q2">
        <v>16</v>
      </c>
      <c r="R2">
        <v>0</v>
      </c>
      <c r="S2" t="str">
        <f>O2&amp;"."&amp;P2&amp;"."&amp;Q2&amp;"."&amp;R2</f>
        <v>10.130.16.0</v>
      </c>
      <c r="T2" s="9" t="s">
        <v>382</v>
      </c>
      <c r="U2" s="53" t="str">
        <f>VLOOKUP(Subnets[[#This Row],[VNETID]],VNETS[#All],11, FALSE)</f>
        <v>CJIS</v>
      </c>
      <c r="V2" s="53" t="str">
        <f>VLOOKUP(Subnets[[#This Row],[VNETID]],VNETS[#All],2, FALSE)</f>
        <v>sub01</v>
      </c>
    </row>
    <row r="3" spans="1:22" x14ac:dyDescent="0.45">
      <c r="A3" t="s">
        <v>400</v>
      </c>
      <c r="B3">
        <v>220</v>
      </c>
      <c r="C3" t="s">
        <v>308</v>
      </c>
      <c r="D3" t="str">
        <f>I3&amp;"_"&amp;Subnets[[#This Row],[SubNetNumber]]&amp;"_"&amp;Subnets[[#This Row],[Dept. (Computed)]]&amp;"_"&amp;E3&amp;"_"&amp;Subnets[[#This Row],[Location (Computed)]]</f>
        <v>App_220_SLG_CJIS_va</v>
      </c>
      <c r="E3" t="str">
        <f>VLOOKUP(Subnets[[#This Row],[VNETID]], VNETS[], 11, FALSE)</f>
        <v>CJIS</v>
      </c>
      <c r="F3" t="str">
        <f>VLOOKUP(Subnets[[#This Row],[VNETID]],VNETS[#All], 8, FALSE)</f>
        <v>SLG</v>
      </c>
      <c r="G3" t="str">
        <f>VLOOKUP(Subnets[[#This Row],[VNETID]],VNETS[#All], 9, FALSE)</f>
        <v>Managed</v>
      </c>
      <c r="H3" t="str">
        <f>VLOOKUP(Subnets[[#This Row],[VNETID]],VNETS[#All],13, FALSE)</f>
        <v>va</v>
      </c>
      <c r="I3" t="s">
        <v>73</v>
      </c>
      <c r="K3" t="s">
        <v>78</v>
      </c>
      <c r="L3" t="str">
        <f t="shared" si="0"/>
        <v>10.130.18.0</v>
      </c>
      <c r="M3" s="9" t="s">
        <v>77</v>
      </c>
      <c r="N3" t="str">
        <f>VLOOKUP(Subnets[[#This Row],[VNETID]],VNETS[#All],7, FALSE)</f>
        <v>mag_slg_managed_cjis</v>
      </c>
      <c r="O3">
        <f>VLOOKUP(Subnets[[#This Row],[VNETID]], VNETS[#All], 14, FALSE)</f>
        <v>10</v>
      </c>
      <c r="P3">
        <f>VLOOKUP(Subnets[[#This Row],[VNETID]], VNETS[#All], 15, FALSE)</f>
        <v>130</v>
      </c>
      <c r="Q3">
        <v>18</v>
      </c>
      <c r="R3">
        <v>0</v>
      </c>
      <c r="U3" s="53" t="str">
        <f>VLOOKUP(Subnets[[#This Row],[VNETID]],VNETS[#All],11, FALSE)</f>
        <v>CJIS</v>
      </c>
      <c r="V3" s="53" t="str">
        <f>VLOOKUP(Subnets[[#This Row],[VNETID]],VNETS[#All],2, FALSE)</f>
        <v>sub01</v>
      </c>
    </row>
    <row r="4" spans="1:22" x14ac:dyDescent="0.45">
      <c r="A4" t="s">
        <v>401</v>
      </c>
      <c r="B4">
        <v>230</v>
      </c>
      <c r="C4" t="s">
        <v>308</v>
      </c>
      <c r="D4" t="str">
        <f>I4&amp;"_"&amp;Subnets[[#This Row],[SubNetNumber]]&amp;"_"&amp;Subnets[[#This Row],[Dept. (Computed)]]&amp;"_"&amp;E4&amp;"_"&amp;Subnets[[#This Row],[Location (Computed)]]</f>
        <v>DB_230_SLG_CJIS_va</v>
      </c>
      <c r="E4" t="str">
        <f>VLOOKUP(Subnets[[#This Row],[VNETID]], VNETS[], 11, FALSE)</f>
        <v>CJIS</v>
      </c>
      <c r="F4" t="str">
        <f>VLOOKUP(Subnets[[#This Row],[VNETID]],VNETS[#All], 8, FALSE)</f>
        <v>SLG</v>
      </c>
      <c r="G4" t="str">
        <f>VLOOKUP(Subnets[[#This Row],[VNETID]],VNETS[#All], 9, FALSE)</f>
        <v>Managed</v>
      </c>
      <c r="H4" t="str">
        <f>VLOOKUP(Subnets[[#This Row],[VNETID]],VNETS[#All],13, FALSE)</f>
        <v>va</v>
      </c>
      <c r="I4" t="s">
        <v>487</v>
      </c>
      <c r="K4" t="s">
        <v>79</v>
      </c>
      <c r="L4" t="str">
        <f t="shared" si="0"/>
        <v>10.130.20.0</v>
      </c>
      <c r="M4" s="9" t="s">
        <v>77</v>
      </c>
      <c r="N4" t="str">
        <f>VLOOKUP(Subnets[[#This Row],[VNETID]],VNETS[#All],7, FALSE)</f>
        <v>mag_slg_managed_cjis</v>
      </c>
      <c r="O4">
        <f>VLOOKUP(Subnets[[#This Row],[VNETID]], VNETS[#All], 14, FALSE)</f>
        <v>10</v>
      </c>
      <c r="P4">
        <f>VLOOKUP(Subnets[[#This Row],[VNETID]], VNETS[#All], 15, FALSE)</f>
        <v>130</v>
      </c>
      <c r="Q4">
        <v>20</v>
      </c>
      <c r="R4">
        <v>0</v>
      </c>
      <c r="U4" s="53" t="str">
        <f>VLOOKUP(Subnets[[#This Row],[VNETID]],VNETS[#All],11, FALSE)</f>
        <v>CJIS</v>
      </c>
      <c r="V4" s="53" t="str">
        <f>VLOOKUP(Subnets[[#This Row],[VNETID]],VNETS[#All],2, FALSE)</f>
        <v>sub01</v>
      </c>
    </row>
    <row r="5" spans="1:22" x14ac:dyDescent="0.45">
      <c r="A5" t="s">
        <v>402</v>
      </c>
      <c r="B5">
        <v>250</v>
      </c>
      <c r="C5" t="s">
        <v>308</v>
      </c>
      <c r="D5" t="str">
        <f>I5&amp;"_"&amp;Subnets[[#This Row],[SubNetNumber]]&amp;"_"&amp;Subnets[[#This Row],[Dept. (Computed)]]&amp;"_"&amp;E5&amp;"_"&amp;Subnets[[#This Row],[Location (Computed)]]</f>
        <v>DMZ_250_SLG_CJIS_va</v>
      </c>
      <c r="E5" t="str">
        <f>VLOOKUP(Subnets[[#This Row],[VNETID]], VNETS[], 11, FALSE)</f>
        <v>CJIS</v>
      </c>
      <c r="F5" t="str">
        <f>VLOOKUP(Subnets[[#This Row],[VNETID]],VNETS[#All], 8, FALSE)</f>
        <v>SLG</v>
      </c>
      <c r="G5" t="str">
        <f>VLOOKUP(Subnets[[#This Row],[VNETID]],VNETS[#All], 9, FALSE)</f>
        <v>Managed</v>
      </c>
      <c r="H5" t="str">
        <f>VLOOKUP(Subnets[[#This Row],[VNETID]],VNETS[#All],13, FALSE)</f>
        <v>va</v>
      </c>
      <c r="I5" t="s">
        <v>75</v>
      </c>
      <c r="K5" t="s">
        <v>90</v>
      </c>
      <c r="L5" t="str">
        <f t="shared" si="0"/>
        <v>10.130.22.0</v>
      </c>
      <c r="M5" s="9" t="s">
        <v>77</v>
      </c>
      <c r="N5" t="str">
        <f>VLOOKUP(Subnets[[#This Row],[VNETID]],VNETS[#All],7, FALSE)</f>
        <v>mag_slg_managed_cjis</v>
      </c>
      <c r="O5">
        <f>VLOOKUP(Subnets[[#This Row],[VNETID]], VNETS[#All], 14, FALSE)</f>
        <v>10</v>
      </c>
      <c r="P5">
        <f>VLOOKUP(Subnets[[#This Row],[VNETID]], VNETS[#All], 15, FALSE)</f>
        <v>130</v>
      </c>
      <c r="Q5">
        <v>22</v>
      </c>
      <c r="R5">
        <v>0</v>
      </c>
      <c r="U5" s="53" t="str">
        <f>VLOOKUP(Subnets[[#This Row],[VNETID]],VNETS[#All],11, FALSE)</f>
        <v>CJIS</v>
      </c>
      <c r="V5" s="53" t="str">
        <f>VLOOKUP(Subnets[[#This Row],[VNETID]],VNETS[#All],2, FALSE)</f>
        <v>sub01</v>
      </c>
    </row>
    <row r="6" spans="1:22" x14ac:dyDescent="0.45">
      <c r="A6" t="s">
        <v>403</v>
      </c>
      <c r="B6">
        <v>260</v>
      </c>
      <c r="C6" t="s">
        <v>308</v>
      </c>
      <c r="D6" t="str">
        <f>I6&amp;"_"&amp;Subnets[[#This Row],[SubNetNumber]]&amp;"_"&amp;Subnets[[#This Row],[Dept. (Computed)]]&amp;"_"&amp;E6&amp;"_"&amp;Subnets[[#This Row],[Location (Computed)]]</f>
        <v>User_Tier0_260_SLG_CJIS_va</v>
      </c>
      <c r="E6" t="str">
        <f>VLOOKUP(Subnets[[#This Row],[VNETID]], VNETS[], 11, FALSE)</f>
        <v>CJIS</v>
      </c>
      <c r="F6" t="str">
        <f>VLOOKUP(Subnets[[#This Row],[VNETID]],VNETS[#All], 8, FALSE)</f>
        <v>SLG</v>
      </c>
      <c r="G6" t="str">
        <f>VLOOKUP(Subnets[[#This Row],[VNETID]],VNETS[#All], 9, FALSE)</f>
        <v>Managed</v>
      </c>
      <c r="H6" t="str">
        <f>VLOOKUP(Subnets[[#This Row],[VNETID]],VNETS[#All],13, FALSE)</f>
        <v>va</v>
      </c>
      <c r="I6" t="s">
        <v>982</v>
      </c>
      <c r="K6" t="s">
        <v>985</v>
      </c>
      <c r="L6" t="str">
        <f t="shared" si="0"/>
        <v>10.130.26.0</v>
      </c>
      <c r="M6" s="9" t="s">
        <v>389</v>
      </c>
      <c r="N6" t="str">
        <f>VLOOKUP(Subnets[[#This Row],[VNETID]],VNETS[#All],7, FALSE)</f>
        <v>mag_slg_managed_cjis</v>
      </c>
      <c r="O6">
        <f>VLOOKUP(Subnets[[#This Row],[VNETID]], VNETS[#All], 14, FALSE)</f>
        <v>10</v>
      </c>
      <c r="P6">
        <f>VLOOKUP(Subnets[[#This Row],[VNETID]], VNETS[#All], 15, FALSE)</f>
        <v>130</v>
      </c>
      <c r="Q6">
        <v>26</v>
      </c>
      <c r="R6">
        <v>0</v>
      </c>
      <c r="U6" s="53" t="str">
        <f>VLOOKUP(Subnets[[#This Row],[VNETID]],VNETS[#All],11, FALSE)</f>
        <v>CJIS</v>
      </c>
      <c r="V6" s="53" t="str">
        <f>VLOOKUP(Subnets[[#This Row],[VNETID]],VNETS[#All],2, FALSE)</f>
        <v>sub01</v>
      </c>
    </row>
    <row r="7" spans="1:22" x14ac:dyDescent="0.45">
      <c r="A7" t="s">
        <v>404</v>
      </c>
      <c r="B7">
        <v>261</v>
      </c>
      <c r="C7" t="s">
        <v>308</v>
      </c>
      <c r="D7" t="str">
        <f>I7&amp;"_"&amp;Subnets[[#This Row],[SubNetNumber]]&amp;"_"&amp;Subnets[[#This Row],[Dept. (Computed)]]&amp;"_"&amp;E7&amp;"_"&amp;Subnets[[#This Row],[Location (Computed)]]</f>
        <v>Users_Tier1_261_SLG_CJIS_va</v>
      </c>
      <c r="E7" t="str">
        <f>VLOOKUP(Subnets[[#This Row],[VNETID]], VNETS[], 11, FALSE)</f>
        <v>CJIS</v>
      </c>
      <c r="F7" t="str">
        <f>VLOOKUP(Subnets[[#This Row],[VNETID]],VNETS[#All], 8, FALSE)</f>
        <v>SLG</v>
      </c>
      <c r="G7" t="str">
        <f>VLOOKUP(Subnets[[#This Row],[VNETID]],VNETS[#All], 9, FALSE)</f>
        <v>Managed</v>
      </c>
      <c r="H7" t="str">
        <f>VLOOKUP(Subnets[[#This Row],[VNETID]],VNETS[#All],13, FALSE)</f>
        <v>va</v>
      </c>
      <c r="I7" t="s">
        <v>980</v>
      </c>
      <c r="K7" t="s">
        <v>983</v>
      </c>
      <c r="L7" t="str">
        <f t="shared" si="0"/>
        <v>10.130.26.128</v>
      </c>
      <c r="M7" s="9" t="s">
        <v>389</v>
      </c>
      <c r="N7" t="str">
        <f>VLOOKUP(Subnets[[#This Row],[VNETID]],VNETS[#All],7, FALSE)</f>
        <v>mag_slg_managed_cjis</v>
      </c>
      <c r="O7">
        <f>VLOOKUP(Subnets[[#This Row],[VNETID]], VNETS[#All], 14, FALSE)</f>
        <v>10</v>
      </c>
      <c r="P7">
        <f>VLOOKUP(Subnets[[#This Row],[VNETID]], VNETS[#All], 15, FALSE)</f>
        <v>130</v>
      </c>
      <c r="Q7">
        <v>26</v>
      </c>
      <c r="R7">
        <v>128</v>
      </c>
      <c r="U7" s="53" t="str">
        <f>VLOOKUP(Subnets[[#This Row],[VNETID]],VNETS[#All],11, FALSE)</f>
        <v>CJIS</v>
      </c>
      <c r="V7" s="53" t="str">
        <f>VLOOKUP(Subnets[[#This Row],[VNETID]],VNETS[#All],2, FALSE)</f>
        <v>sub01</v>
      </c>
    </row>
    <row r="8" spans="1:22" x14ac:dyDescent="0.45">
      <c r="A8" t="s">
        <v>405</v>
      </c>
      <c r="B8">
        <v>270</v>
      </c>
      <c r="C8" t="s">
        <v>308</v>
      </c>
      <c r="D8" t="str">
        <f>I8&amp;"_"&amp;Subnets[[#This Row],[SubNetNumber]]&amp;"_"&amp;Subnets[[#This Row],[Dept. (Computed)]]&amp;"_"&amp;E8&amp;"_"&amp;Subnets[[#This Row],[Location (Computed)]]</f>
        <v>Future_270_SLG_CJIS_va</v>
      </c>
      <c r="E8" t="str">
        <f>VLOOKUP(Subnets[[#This Row],[VNETID]], VNETS[], 11, FALSE)</f>
        <v>CJIS</v>
      </c>
      <c r="F8" t="str">
        <f>VLOOKUP(Subnets[[#This Row],[VNETID]],VNETS[#All], 8, FALSE)</f>
        <v>SLG</v>
      </c>
      <c r="G8" t="str">
        <f>VLOOKUP(Subnets[[#This Row],[VNETID]],VNETS[#All], 9, FALSE)</f>
        <v>Managed</v>
      </c>
      <c r="H8" t="str">
        <f>VLOOKUP(Subnets[[#This Row],[VNETID]],VNETS[#All],13, FALSE)</f>
        <v>va</v>
      </c>
      <c r="I8" t="s">
        <v>299</v>
      </c>
      <c r="K8" t="s">
        <v>300</v>
      </c>
      <c r="L8" t="str">
        <f t="shared" si="0"/>
        <v>10.130.26.0</v>
      </c>
      <c r="M8" s="9" t="s">
        <v>488</v>
      </c>
      <c r="N8" t="str">
        <f>VLOOKUP(Subnets[[#This Row],[VNETID]],VNETS[#All],7, FALSE)</f>
        <v>mag_slg_managed_cjis</v>
      </c>
      <c r="O8">
        <f>VLOOKUP(Subnets[[#This Row],[VNETID]], VNETS[#All], 14, FALSE)</f>
        <v>10</v>
      </c>
      <c r="P8">
        <f>VLOOKUP(Subnets[[#This Row],[VNETID]], VNETS[#All], 15, FALSE)</f>
        <v>130</v>
      </c>
      <c r="Q8">
        <v>26</v>
      </c>
      <c r="R8">
        <v>0</v>
      </c>
      <c r="U8" s="53" t="str">
        <f>VLOOKUP(Subnets[[#This Row],[VNETID]],VNETS[#All],11, FALSE)</f>
        <v>CJIS</v>
      </c>
      <c r="V8" s="53" t="str">
        <f>VLOOKUP(Subnets[[#This Row],[VNETID]],VNETS[#All],2, FALSE)</f>
        <v>sub01</v>
      </c>
    </row>
    <row r="9" spans="1:22" x14ac:dyDescent="0.45">
      <c r="A9" t="s">
        <v>406</v>
      </c>
      <c r="B9">
        <v>270</v>
      </c>
      <c r="C9" t="s">
        <v>308</v>
      </c>
      <c r="D9" t="str">
        <f>I9&amp;"_"&amp;Subnets[[#This Row],[SubNetNumber]]&amp;"_"&amp;Subnets[[#This Row],[Dept. (Computed)]]&amp;"_"&amp;E9&amp;"_"&amp;Subnets[[#This Row],[Location (Computed)]]</f>
        <v>Future_270_SLG_CJIS_va</v>
      </c>
      <c r="E9" t="str">
        <f>VLOOKUP(Subnets[[#This Row],[VNETID]], VNETS[], 11, FALSE)</f>
        <v>CJIS</v>
      </c>
      <c r="F9" t="str">
        <f>VLOOKUP(Subnets[[#This Row],[VNETID]],VNETS[#All], 8, FALSE)</f>
        <v>SLG</v>
      </c>
      <c r="G9" t="str">
        <f>VLOOKUP(Subnets[[#This Row],[VNETID]],VNETS[#All], 9, FALSE)</f>
        <v>Managed</v>
      </c>
      <c r="H9" t="str">
        <f>VLOOKUP(Subnets[[#This Row],[VNETID]],VNETS[#All],13, FALSE)</f>
        <v>va</v>
      </c>
      <c r="I9" t="s">
        <v>299</v>
      </c>
      <c r="K9" t="s">
        <v>300</v>
      </c>
      <c r="L9" t="str">
        <f t="shared" si="0"/>
        <v>10.130.28.0</v>
      </c>
      <c r="M9" s="9" t="s">
        <v>488</v>
      </c>
      <c r="N9" t="str">
        <f>VLOOKUP(Subnets[[#This Row],[VNETID]],VNETS[#All],7, FALSE)</f>
        <v>mag_slg_managed_cjis</v>
      </c>
      <c r="O9">
        <f>VLOOKUP(Subnets[[#This Row],[VNETID]], VNETS[#All], 14, FALSE)</f>
        <v>10</v>
      </c>
      <c r="P9">
        <f>VLOOKUP(Subnets[[#This Row],[VNETID]], VNETS[#All], 15, FALSE)</f>
        <v>130</v>
      </c>
      <c r="Q9">
        <v>28</v>
      </c>
      <c r="R9">
        <v>0</v>
      </c>
      <c r="U9" s="53" t="str">
        <f>VLOOKUP(Subnets[[#This Row],[VNETID]],VNETS[#All],11, FALSE)</f>
        <v>CJIS</v>
      </c>
      <c r="V9" s="53" t="str">
        <f>VLOOKUP(Subnets[[#This Row],[VNETID]],VNETS[#All],2, FALSE)</f>
        <v>sub01</v>
      </c>
    </row>
    <row r="10" spans="1:22" x14ac:dyDescent="0.45">
      <c r="A10" t="s">
        <v>407</v>
      </c>
      <c r="B10">
        <v>270</v>
      </c>
      <c r="C10" t="s">
        <v>308</v>
      </c>
      <c r="D10" t="str">
        <f>I10&amp;"_"&amp;Subnets[[#This Row],[SubNetNumber]]&amp;"_"&amp;Subnets[[#This Row],[Dept. (Computed)]]&amp;"_"&amp;E10&amp;"_"&amp;Subnets[[#This Row],[Location (Computed)]]</f>
        <v>Future_270_SLG_CJIS_va</v>
      </c>
      <c r="E10" t="str">
        <f>VLOOKUP(Subnets[[#This Row],[VNETID]], VNETS[], 11, FALSE)</f>
        <v>CJIS</v>
      </c>
      <c r="F10" t="str">
        <f>VLOOKUP(Subnets[[#This Row],[VNETID]],VNETS[#All], 8, FALSE)</f>
        <v>SLG</v>
      </c>
      <c r="G10" t="str">
        <f>VLOOKUP(Subnets[[#This Row],[VNETID]],VNETS[#All], 9, FALSE)</f>
        <v>Managed</v>
      </c>
      <c r="H10" t="str">
        <f>VLOOKUP(Subnets[[#This Row],[VNETID]],VNETS[#All],13, FALSE)</f>
        <v>va</v>
      </c>
      <c r="I10" t="s">
        <v>299</v>
      </c>
      <c r="K10" t="s">
        <v>300</v>
      </c>
      <c r="L10" t="str">
        <f t="shared" si="0"/>
        <v>10.130.30.0</v>
      </c>
      <c r="M10" s="9" t="s">
        <v>77</v>
      </c>
      <c r="N10" t="str">
        <f>VLOOKUP(Subnets[[#This Row],[VNETID]],VNETS[#All],7, FALSE)</f>
        <v>mag_slg_managed_cjis</v>
      </c>
      <c r="O10">
        <f>VLOOKUP(Subnets[[#This Row],[VNETID]], VNETS[#All], 14, FALSE)</f>
        <v>10</v>
      </c>
      <c r="P10">
        <f>VLOOKUP(Subnets[[#This Row],[VNETID]], VNETS[#All], 15, FALSE)</f>
        <v>130</v>
      </c>
      <c r="Q10">
        <v>30</v>
      </c>
      <c r="R10">
        <v>0</v>
      </c>
      <c r="U10" s="53" t="str">
        <f>VLOOKUP(Subnets[[#This Row],[VNETID]],VNETS[#All],11, FALSE)</f>
        <v>CJIS</v>
      </c>
      <c r="V10" s="53" t="str">
        <f>VLOOKUP(Subnets[[#This Row],[VNETID]],VNETS[#All],2, FALSE)</f>
        <v>sub01</v>
      </c>
    </row>
    <row r="11" spans="1:22" x14ac:dyDescent="0.45">
      <c r="A11" t="s">
        <v>408</v>
      </c>
      <c r="B11">
        <v>299</v>
      </c>
      <c r="C11" t="s">
        <v>308</v>
      </c>
      <c r="D11" t="str">
        <f>I11&amp;"_"&amp;Subnets[[#This Row],[SubNetNumber]]&amp;"_"&amp;Subnets[[#This Row],[Dept. (Computed)]]&amp;"_"&amp;E11&amp;"_"&amp;Subnets[[#This Row],[Location (Computed)]]</f>
        <v>Gateway_299_SLG_CJIS_va</v>
      </c>
      <c r="E11" t="str">
        <f>VLOOKUP(Subnets[[#This Row],[VNETID]], VNETS[], 11, FALSE)</f>
        <v>CJIS</v>
      </c>
      <c r="F11" t="str">
        <f>VLOOKUP(Subnets[[#This Row],[VNETID]],VNETS[#All], 8, FALSE)</f>
        <v>SLG</v>
      </c>
      <c r="G11" t="str">
        <f>VLOOKUP(Subnets[[#This Row],[VNETID]],VNETS[#All], 9, FALSE)</f>
        <v>Managed</v>
      </c>
      <c r="H11" t="str">
        <f>VLOOKUP(Subnets[[#This Row],[VNETID]],VNETS[#All],13, FALSE)</f>
        <v>va</v>
      </c>
      <c r="I11" t="s">
        <v>500</v>
      </c>
      <c r="K11" t="s">
        <v>553</v>
      </c>
      <c r="L11" t="str">
        <f t="shared" si="0"/>
        <v>10.130.31.248</v>
      </c>
      <c r="M11" s="9" t="s">
        <v>398</v>
      </c>
      <c r="N11" t="str">
        <f>VLOOKUP(Subnets[[#This Row],[VNETID]],VNETS[#All],7, FALSE)</f>
        <v>mag_slg_managed_cjis</v>
      </c>
      <c r="O11">
        <f>VLOOKUP(Subnets[[#This Row],[VNETID]], VNETS[#All], 14, FALSE)</f>
        <v>10</v>
      </c>
      <c r="P11">
        <f>VLOOKUP(Subnets[[#This Row],[VNETID]], VNETS[#All], 15, FALSE)</f>
        <v>130</v>
      </c>
      <c r="Q11">
        <v>31</v>
      </c>
      <c r="R11">
        <v>248</v>
      </c>
      <c r="S11" t="str">
        <f>O11&amp;"."&amp;P11&amp;"."&amp;Q11&amp;"."&amp;R11</f>
        <v>10.130.31.248</v>
      </c>
      <c r="T11" s="9" t="s">
        <v>398</v>
      </c>
      <c r="U11" s="53" t="str">
        <f>VLOOKUP(Subnets[[#This Row],[VNETID]],VNETS[#All],11, FALSE)</f>
        <v>CJIS</v>
      </c>
      <c r="V11" s="53" t="str">
        <f>VLOOKUP(Subnets[[#This Row],[VNETID]],VNETS[#All],2, FALSE)</f>
        <v>sub01</v>
      </c>
    </row>
    <row r="12" spans="1:22" x14ac:dyDescent="0.45">
      <c r="A12" t="s">
        <v>409</v>
      </c>
      <c r="B12">
        <v>210</v>
      </c>
      <c r="C12" t="s">
        <v>313</v>
      </c>
      <c r="D12" t="str">
        <f>I12&amp;"_"&amp;Subnets[[#This Row],[SubNetNumber]]&amp;"_"&amp;Subnets[[#This Row],[Dept. (Computed)]]&amp;"_"&amp;E12&amp;"_"&amp;Subnets[[#This Row],[Location (Computed)]]</f>
        <v>Web_210_SLG_CJIS_ia</v>
      </c>
      <c r="E12" t="str">
        <f>VLOOKUP(Subnets[[#This Row],[VNETID]], VNETS[], 11, FALSE)</f>
        <v>CJIS</v>
      </c>
      <c r="F12" t="str">
        <f>VLOOKUP(Subnets[[#This Row],[VNETID]],VNETS[#All], 8, FALSE)</f>
        <v>SLG</v>
      </c>
      <c r="G12" t="str">
        <f>VLOOKUP(Subnets[[#This Row],[VNETID]],VNETS[#All], 9, FALSE)</f>
        <v>Managed</v>
      </c>
      <c r="H12" t="str">
        <f>VLOOKUP(Subnets[[#This Row],[VNETID]],VNETS[#All],13, FALSE)</f>
        <v>ia</v>
      </c>
      <c r="I12" t="s">
        <v>72</v>
      </c>
      <c r="K12" t="s">
        <v>76</v>
      </c>
      <c r="L12" t="str">
        <f t="shared" si="0"/>
        <v>10.130.80.0</v>
      </c>
      <c r="M12" s="9" t="s">
        <v>77</v>
      </c>
      <c r="N12" t="str">
        <f>VLOOKUP(Subnets[[#This Row],[VNETID]],VNETS[#All],7, FALSE)</f>
        <v>mag_slg_managed_cjis</v>
      </c>
      <c r="O12">
        <f>VLOOKUP(Subnets[[#This Row],[VNETID]], VNETS[#All], 14, FALSE)</f>
        <v>10</v>
      </c>
      <c r="P12">
        <f>VLOOKUP(Subnets[[#This Row],[VNETID]], VNETS[#All], 15, FALSE)</f>
        <v>130</v>
      </c>
      <c r="Q12">
        <v>80</v>
      </c>
      <c r="R12">
        <v>0</v>
      </c>
      <c r="S12" t="str">
        <f>O12&amp;"."&amp;P12&amp;"."&amp;Q12&amp;"."&amp;R12</f>
        <v>10.130.80.0</v>
      </c>
      <c r="T12" s="9" t="s">
        <v>382</v>
      </c>
      <c r="U12" s="53" t="str">
        <f>VLOOKUP(Subnets[[#This Row],[VNETID]],VNETS[#All],11, FALSE)</f>
        <v>CJIS</v>
      </c>
      <c r="V12" s="53" t="str">
        <f>VLOOKUP(Subnets[[#This Row],[VNETID]],VNETS[#All],2, FALSE)</f>
        <v>sub01</v>
      </c>
    </row>
    <row r="13" spans="1:22" x14ac:dyDescent="0.45">
      <c r="A13" t="s">
        <v>410</v>
      </c>
      <c r="B13">
        <v>220</v>
      </c>
      <c r="C13" t="s">
        <v>313</v>
      </c>
      <c r="D13" t="str">
        <f>I13&amp;"_"&amp;Subnets[[#This Row],[SubNetNumber]]&amp;"_"&amp;Subnets[[#This Row],[Dept. (Computed)]]&amp;"_"&amp;E13&amp;"_"&amp;Subnets[[#This Row],[Location (Computed)]]</f>
        <v>App_220_SLG_CJIS_ia</v>
      </c>
      <c r="E13" t="str">
        <f>VLOOKUP(Subnets[[#This Row],[VNETID]], VNETS[], 11, FALSE)</f>
        <v>CJIS</v>
      </c>
      <c r="F13" t="str">
        <f>VLOOKUP(Subnets[[#This Row],[VNETID]],VNETS[#All], 8, FALSE)</f>
        <v>SLG</v>
      </c>
      <c r="G13" t="str">
        <f>VLOOKUP(Subnets[[#This Row],[VNETID]],VNETS[#All], 9, FALSE)</f>
        <v>Managed</v>
      </c>
      <c r="H13" t="str">
        <f>VLOOKUP(Subnets[[#This Row],[VNETID]],VNETS[#All],13, FALSE)</f>
        <v>ia</v>
      </c>
      <c r="I13" t="s">
        <v>73</v>
      </c>
      <c r="K13" t="s">
        <v>78</v>
      </c>
      <c r="L13" t="str">
        <f t="shared" si="0"/>
        <v>10.130.82.0</v>
      </c>
      <c r="M13" s="9" t="s">
        <v>77</v>
      </c>
      <c r="N13" t="str">
        <f>VLOOKUP(Subnets[[#This Row],[VNETID]],VNETS[#All],7, FALSE)</f>
        <v>mag_slg_managed_cjis</v>
      </c>
      <c r="O13">
        <f>VLOOKUP(Subnets[[#This Row],[VNETID]], VNETS[#All], 14, FALSE)</f>
        <v>10</v>
      </c>
      <c r="P13">
        <f>VLOOKUP(Subnets[[#This Row],[VNETID]], VNETS[#All], 15, FALSE)</f>
        <v>130</v>
      </c>
      <c r="Q13">
        <v>82</v>
      </c>
      <c r="R13">
        <v>0</v>
      </c>
      <c r="U13" s="53" t="str">
        <f>VLOOKUP(Subnets[[#This Row],[VNETID]],VNETS[#All],11, FALSE)</f>
        <v>CJIS</v>
      </c>
      <c r="V13" s="53" t="str">
        <f>VLOOKUP(Subnets[[#This Row],[VNETID]],VNETS[#All],2, FALSE)</f>
        <v>sub01</v>
      </c>
    </row>
    <row r="14" spans="1:22" x14ac:dyDescent="0.45">
      <c r="A14" t="s">
        <v>411</v>
      </c>
      <c r="B14">
        <v>230</v>
      </c>
      <c r="C14" t="s">
        <v>313</v>
      </c>
      <c r="D14" t="str">
        <f>I14&amp;"_"&amp;Subnets[[#This Row],[SubNetNumber]]&amp;"_"&amp;Subnets[[#This Row],[Dept. (Computed)]]&amp;"_"&amp;E14&amp;"_"&amp;Subnets[[#This Row],[Location (Computed)]]</f>
        <v>Database_230_SLG_CJIS_ia</v>
      </c>
      <c r="E14" t="str">
        <f>VLOOKUP(Subnets[[#This Row],[VNETID]], VNETS[], 11, FALSE)</f>
        <v>CJIS</v>
      </c>
      <c r="F14" t="str">
        <f>VLOOKUP(Subnets[[#This Row],[VNETID]],VNETS[#All], 8, FALSE)</f>
        <v>SLG</v>
      </c>
      <c r="G14" t="str">
        <f>VLOOKUP(Subnets[[#This Row],[VNETID]],VNETS[#All], 9, FALSE)</f>
        <v>Managed</v>
      </c>
      <c r="H14" t="str">
        <f>VLOOKUP(Subnets[[#This Row],[VNETID]],VNETS[#All],13, FALSE)</f>
        <v>ia</v>
      </c>
      <c r="I14" t="s">
        <v>74</v>
      </c>
      <c r="K14" t="s">
        <v>79</v>
      </c>
      <c r="L14" t="str">
        <f t="shared" si="0"/>
        <v>10.130.84.0</v>
      </c>
      <c r="M14" s="9" t="s">
        <v>77</v>
      </c>
      <c r="N14" t="str">
        <f>VLOOKUP(Subnets[[#This Row],[VNETID]],VNETS[#All],7, FALSE)</f>
        <v>mag_slg_managed_cjis</v>
      </c>
      <c r="O14">
        <f>VLOOKUP(Subnets[[#This Row],[VNETID]], VNETS[#All], 14, FALSE)</f>
        <v>10</v>
      </c>
      <c r="P14">
        <f>VLOOKUP(Subnets[[#This Row],[VNETID]], VNETS[#All], 15, FALSE)</f>
        <v>130</v>
      </c>
      <c r="Q14">
        <v>84</v>
      </c>
      <c r="R14">
        <v>0</v>
      </c>
      <c r="U14" s="53" t="str">
        <f>VLOOKUP(Subnets[[#This Row],[VNETID]],VNETS[#All],11, FALSE)</f>
        <v>CJIS</v>
      </c>
      <c r="V14" s="53" t="str">
        <f>VLOOKUP(Subnets[[#This Row],[VNETID]],VNETS[#All],2, FALSE)</f>
        <v>sub01</v>
      </c>
    </row>
    <row r="15" spans="1:22" x14ac:dyDescent="0.45">
      <c r="A15" t="s">
        <v>412</v>
      </c>
      <c r="B15">
        <v>250</v>
      </c>
      <c r="C15" t="s">
        <v>313</v>
      </c>
      <c r="D15" t="str">
        <f>I15&amp;"_"&amp;Subnets[[#This Row],[SubNetNumber]]&amp;"_"&amp;Subnets[[#This Row],[Dept. (Computed)]]&amp;"_"&amp;E15&amp;"_"&amp;Subnets[[#This Row],[Location (Computed)]]</f>
        <v>DMZ_250_SLG_CJIS_ia</v>
      </c>
      <c r="E15" t="str">
        <f>VLOOKUP(Subnets[[#This Row],[VNETID]], VNETS[], 11, FALSE)</f>
        <v>CJIS</v>
      </c>
      <c r="F15" t="str">
        <f>VLOOKUP(Subnets[[#This Row],[VNETID]],VNETS[#All], 8, FALSE)</f>
        <v>SLG</v>
      </c>
      <c r="G15" t="str">
        <f>VLOOKUP(Subnets[[#This Row],[VNETID]],VNETS[#All], 9, FALSE)</f>
        <v>Managed</v>
      </c>
      <c r="H15" t="str">
        <f>VLOOKUP(Subnets[[#This Row],[VNETID]],VNETS[#All],13, FALSE)</f>
        <v>ia</v>
      </c>
      <c r="I15" t="s">
        <v>75</v>
      </c>
      <c r="K15" t="s">
        <v>90</v>
      </c>
      <c r="L15" t="str">
        <f t="shared" si="0"/>
        <v>10.130.86.0</v>
      </c>
      <c r="M15" s="9" t="s">
        <v>77</v>
      </c>
      <c r="N15" t="str">
        <f>VLOOKUP(Subnets[[#This Row],[VNETID]],VNETS[#All],7, FALSE)</f>
        <v>mag_slg_managed_cjis</v>
      </c>
      <c r="O15">
        <f>VLOOKUP(Subnets[[#This Row],[VNETID]], VNETS[#All], 14, FALSE)</f>
        <v>10</v>
      </c>
      <c r="P15">
        <f>VLOOKUP(Subnets[[#This Row],[VNETID]], VNETS[#All], 15, FALSE)</f>
        <v>130</v>
      </c>
      <c r="Q15">
        <v>86</v>
      </c>
      <c r="R15">
        <v>0</v>
      </c>
      <c r="U15" s="53" t="str">
        <f>VLOOKUP(Subnets[[#This Row],[VNETID]],VNETS[#All],11, FALSE)</f>
        <v>CJIS</v>
      </c>
      <c r="V15" s="53" t="str">
        <f>VLOOKUP(Subnets[[#This Row],[VNETID]],VNETS[#All],2, FALSE)</f>
        <v>sub01</v>
      </c>
    </row>
    <row r="16" spans="1:22" x14ac:dyDescent="0.45">
      <c r="A16" t="s">
        <v>413</v>
      </c>
      <c r="B16">
        <v>260</v>
      </c>
      <c r="C16" t="s">
        <v>313</v>
      </c>
      <c r="D16" t="str">
        <f>I16&amp;"_"&amp;Subnets[[#This Row],[SubNetNumber]]&amp;"_"&amp;Subnets[[#This Row],[Dept. (Computed)]]&amp;"_"&amp;E16&amp;"_"&amp;Subnets[[#This Row],[Location (Computed)]]</f>
        <v>User_Tier0_260_SLG_CJIS_ia</v>
      </c>
      <c r="E16" t="str">
        <f>VLOOKUP(Subnets[[#This Row],[VNETID]], VNETS[], 11, FALSE)</f>
        <v>CJIS</v>
      </c>
      <c r="F16" t="str">
        <f>VLOOKUP(Subnets[[#This Row],[VNETID]],VNETS[#All], 8, FALSE)</f>
        <v>SLG</v>
      </c>
      <c r="G16" t="str">
        <f>VLOOKUP(Subnets[[#This Row],[VNETID]],VNETS[#All], 9, FALSE)</f>
        <v>Managed</v>
      </c>
      <c r="H16" t="str">
        <f>VLOOKUP(Subnets[[#This Row],[VNETID]],VNETS[#All],13, FALSE)</f>
        <v>ia</v>
      </c>
      <c r="I16" t="s">
        <v>982</v>
      </c>
      <c r="K16" t="s">
        <v>985</v>
      </c>
      <c r="L16" t="str">
        <f t="shared" si="0"/>
        <v>10.130.88.0</v>
      </c>
      <c r="M16" s="9" t="s">
        <v>389</v>
      </c>
      <c r="N16" t="str">
        <f>VLOOKUP(Subnets[[#This Row],[VNETID]],VNETS[#All],7, FALSE)</f>
        <v>mag_slg_managed_cjis</v>
      </c>
      <c r="O16">
        <f>VLOOKUP(Subnets[[#This Row],[VNETID]], VNETS[#All], 14, FALSE)</f>
        <v>10</v>
      </c>
      <c r="P16">
        <f>VLOOKUP(Subnets[[#This Row],[VNETID]], VNETS[#All], 15, FALSE)</f>
        <v>130</v>
      </c>
      <c r="Q16">
        <v>88</v>
      </c>
      <c r="R16">
        <v>0</v>
      </c>
      <c r="U16" s="53" t="str">
        <f>VLOOKUP(Subnets[[#This Row],[VNETID]],VNETS[#All],11, FALSE)</f>
        <v>CJIS</v>
      </c>
      <c r="V16" s="53" t="str">
        <f>VLOOKUP(Subnets[[#This Row],[VNETID]],VNETS[#All],2, FALSE)</f>
        <v>sub01</v>
      </c>
    </row>
    <row r="17" spans="1:22" x14ac:dyDescent="0.45">
      <c r="A17" t="s">
        <v>414</v>
      </c>
      <c r="B17">
        <v>261</v>
      </c>
      <c r="C17" t="s">
        <v>313</v>
      </c>
      <c r="D17" t="str">
        <f>I17&amp;"_"&amp;Subnets[[#This Row],[SubNetNumber]]&amp;"_"&amp;Subnets[[#This Row],[Dept. (Computed)]]&amp;"_"&amp;E17&amp;"_"&amp;Subnets[[#This Row],[Location (Computed)]]</f>
        <v>User_Tier1_261_SLG_CJIS_ia</v>
      </c>
      <c r="E17" t="str">
        <f>VLOOKUP(Subnets[[#This Row],[VNETID]], VNETS[], 11, FALSE)</f>
        <v>CJIS</v>
      </c>
      <c r="F17" t="str">
        <f>VLOOKUP(Subnets[[#This Row],[VNETID]],VNETS[#All], 8, FALSE)</f>
        <v>SLG</v>
      </c>
      <c r="G17" t="str">
        <f>VLOOKUP(Subnets[[#This Row],[VNETID]],VNETS[#All], 9, FALSE)</f>
        <v>Managed</v>
      </c>
      <c r="H17" t="str">
        <f>VLOOKUP(Subnets[[#This Row],[VNETID]],VNETS[#All],13, FALSE)</f>
        <v>ia</v>
      </c>
      <c r="I17" t="s">
        <v>988</v>
      </c>
      <c r="K17" t="s">
        <v>983</v>
      </c>
      <c r="L17" t="str">
        <f t="shared" si="0"/>
        <v>10.130.88.128</v>
      </c>
      <c r="M17" s="9" t="s">
        <v>389</v>
      </c>
      <c r="N17" t="str">
        <f>VLOOKUP(Subnets[[#This Row],[VNETID]],VNETS[#All],7, FALSE)</f>
        <v>mag_slg_managed_cjis</v>
      </c>
      <c r="O17">
        <f>VLOOKUP(Subnets[[#This Row],[VNETID]], VNETS[#All], 14, FALSE)</f>
        <v>10</v>
      </c>
      <c r="P17">
        <f>VLOOKUP(Subnets[[#This Row],[VNETID]], VNETS[#All], 15, FALSE)</f>
        <v>130</v>
      </c>
      <c r="Q17">
        <v>88</v>
      </c>
      <c r="R17">
        <v>128</v>
      </c>
      <c r="U17" s="53" t="str">
        <f>VLOOKUP(Subnets[[#This Row],[VNETID]],VNETS[#All],11, FALSE)</f>
        <v>CJIS</v>
      </c>
      <c r="V17" s="53" t="str">
        <f>VLOOKUP(Subnets[[#This Row],[VNETID]],VNETS[#All],2, FALSE)</f>
        <v>sub01</v>
      </c>
    </row>
    <row r="18" spans="1:22" x14ac:dyDescent="0.45">
      <c r="A18" t="s">
        <v>415</v>
      </c>
      <c r="B18">
        <v>270</v>
      </c>
      <c r="C18" t="s">
        <v>313</v>
      </c>
      <c r="D18" t="str">
        <f>I18&amp;"_"&amp;Subnets[[#This Row],[SubNetNumber]]&amp;"_"&amp;Subnets[[#This Row],[Dept. (Computed)]]&amp;"_"&amp;E18&amp;"_"&amp;Subnets[[#This Row],[Location (Computed)]]</f>
        <v>Future_270_SLG_CJIS_ia</v>
      </c>
      <c r="E18" t="str">
        <f>VLOOKUP(Subnets[[#This Row],[VNETID]], VNETS[], 11, FALSE)</f>
        <v>CJIS</v>
      </c>
      <c r="F18" t="str">
        <f>VLOOKUP(Subnets[[#This Row],[VNETID]],VNETS[#All], 8, FALSE)</f>
        <v>SLG</v>
      </c>
      <c r="G18" t="str">
        <f>VLOOKUP(Subnets[[#This Row],[VNETID]],VNETS[#All], 9, FALSE)</f>
        <v>Managed</v>
      </c>
      <c r="H18" t="str">
        <f>VLOOKUP(Subnets[[#This Row],[VNETID]],VNETS[#All],13, FALSE)</f>
        <v>ia</v>
      </c>
      <c r="I18" t="s">
        <v>299</v>
      </c>
      <c r="K18" t="s">
        <v>300</v>
      </c>
      <c r="L18" t="str">
        <f t="shared" si="0"/>
        <v>10.130.92.0</v>
      </c>
      <c r="M18" s="9" t="s">
        <v>488</v>
      </c>
      <c r="N18" t="str">
        <f>VLOOKUP(Subnets[[#This Row],[VNETID]],VNETS[#All],7, FALSE)</f>
        <v>mag_slg_managed_cjis</v>
      </c>
      <c r="O18">
        <f>VLOOKUP(Subnets[[#This Row],[VNETID]], VNETS[#All], 14, FALSE)</f>
        <v>10</v>
      </c>
      <c r="P18">
        <f>VLOOKUP(Subnets[[#This Row],[VNETID]], VNETS[#All], 15, FALSE)</f>
        <v>130</v>
      </c>
      <c r="Q18">
        <v>92</v>
      </c>
      <c r="R18">
        <v>0</v>
      </c>
      <c r="U18" s="53" t="str">
        <f>VLOOKUP(Subnets[[#This Row],[VNETID]],VNETS[#All],11, FALSE)</f>
        <v>CJIS</v>
      </c>
      <c r="V18" s="53" t="str">
        <f>VLOOKUP(Subnets[[#This Row],[VNETID]],VNETS[#All],2, FALSE)</f>
        <v>sub01</v>
      </c>
    </row>
    <row r="19" spans="1:22" x14ac:dyDescent="0.45">
      <c r="A19" t="s">
        <v>416</v>
      </c>
      <c r="B19">
        <v>270</v>
      </c>
      <c r="C19" t="s">
        <v>313</v>
      </c>
      <c r="D19" t="str">
        <f>I19&amp;"_"&amp;Subnets[[#This Row],[SubNetNumber]]&amp;"_"&amp;Subnets[[#This Row],[Dept. (Computed)]]&amp;"_"&amp;E19&amp;"_"&amp;Subnets[[#This Row],[Location (Computed)]]</f>
        <v>Future_270_SLG_CJIS_ia</v>
      </c>
      <c r="E19" t="str">
        <f>VLOOKUP(Subnets[[#This Row],[VNETID]], VNETS[], 11, FALSE)</f>
        <v>CJIS</v>
      </c>
      <c r="F19" t="str">
        <f>VLOOKUP(Subnets[[#This Row],[VNETID]],VNETS[#All], 8, FALSE)</f>
        <v>SLG</v>
      </c>
      <c r="G19" t="str">
        <f>VLOOKUP(Subnets[[#This Row],[VNETID]],VNETS[#All], 9, FALSE)</f>
        <v>Managed</v>
      </c>
      <c r="H19" t="str">
        <f>VLOOKUP(Subnets[[#This Row],[VNETID]],VNETS[#All],13, FALSE)</f>
        <v>ia</v>
      </c>
      <c r="I19" t="s">
        <v>299</v>
      </c>
      <c r="K19" t="s">
        <v>300</v>
      </c>
      <c r="L19" t="str">
        <f t="shared" si="0"/>
        <v>10.130.94.0</v>
      </c>
      <c r="M19" s="9" t="s">
        <v>77</v>
      </c>
      <c r="N19" t="str">
        <f>VLOOKUP(Subnets[[#This Row],[VNETID]],VNETS[#All],7, FALSE)</f>
        <v>mag_slg_managed_cjis</v>
      </c>
      <c r="O19">
        <f>VLOOKUP(Subnets[[#This Row],[VNETID]], VNETS[#All], 14, FALSE)</f>
        <v>10</v>
      </c>
      <c r="P19">
        <f>VLOOKUP(Subnets[[#This Row],[VNETID]], VNETS[#All], 15, FALSE)</f>
        <v>130</v>
      </c>
      <c r="Q19">
        <v>94</v>
      </c>
      <c r="R19">
        <v>0</v>
      </c>
      <c r="U19" s="53" t="str">
        <f>VLOOKUP(Subnets[[#This Row],[VNETID]],VNETS[#All],11, FALSE)</f>
        <v>CJIS</v>
      </c>
      <c r="V19" s="53" t="str">
        <f>VLOOKUP(Subnets[[#This Row],[VNETID]],VNETS[#All],2, FALSE)</f>
        <v>sub01</v>
      </c>
    </row>
    <row r="20" spans="1:22" x14ac:dyDescent="0.45">
      <c r="A20" t="s">
        <v>417</v>
      </c>
      <c r="B20">
        <v>299</v>
      </c>
      <c r="C20" t="s">
        <v>313</v>
      </c>
      <c r="D20" t="str">
        <f>I20&amp;"_"&amp;Subnets[[#This Row],[SubNetNumber]]&amp;"_"&amp;Subnets[[#This Row],[Dept. (Computed)]]&amp;"_"&amp;E20&amp;"_"&amp;Subnets[[#This Row],[Location (Computed)]]</f>
        <v>Gateway_299_SLG_CJIS_ia</v>
      </c>
      <c r="E20" t="str">
        <f>VLOOKUP(Subnets[[#This Row],[VNETID]], VNETS[], 11, FALSE)</f>
        <v>CJIS</v>
      </c>
      <c r="F20" t="str">
        <f>VLOOKUP(Subnets[[#This Row],[VNETID]],VNETS[#All], 8, FALSE)</f>
        <v>SLG</v>
      </c>
      <c r="G20" t="str">
        <f>VLOOKUP(Subnets[[#This Row],[VNETID]],VNETS[#All], 9, FALSE)</f>
        <v>Managed</v>
      </c>
      <c r="H20" t="str">
        <f>VLOOKUP(Subnets[[#This Row],[VNETID]],VNETS[#All],13, FALSE)</f>
        <v>ia</v>
      </c>
      <c r="I20" t="s">
        <v>500</v>
      </c>
      <c r="K20" t="s">
        <v>553</v>
      </c>
      <c r="L20" t="str">
        <f t="shared" si="0"/>
        <v>10.130.95.248</v>
      </c>
      <c r="M20" s="9" t="s">
        <v>398</v>
      </c>
      <c r="N20" t="str">
        <f>VLOOKUP(Subnets[[#This Row],[VNETID]],VNETS[#All],7, FALSE)</f>
        <v>mag_slg_managed_cjis</v>
      </c>
      <c r="O20">
        <f>VLOOKUP(Subnets[[#This Row],[VNETID]], VNETS[#All], 14, FALSE)</f>
        <v>10</v>
      </c>
      <c r="P20">
        <f>VLOOKUP(Subnets[[#This Row],[VNETID]], VNETS[#All], 15, FALSE)</f>
        <v>130</v>
      </c>
      <c r="Q20">
        <v>95</v>
      </c>
      <c r="R20">
        <v>248</v>
      </c>
      <c r="S20" t="str">
        <f>O20&amp;"."&amp;P20&amp;"."&amp;Q20&amp;"."&amp;R20</f>
        <v>10.130.95.248</v>
      </c>
      <c r="T20" s="9" t="s">
        <v>398</v>
      </c>
      <c r="U20" s="53" t="str">
        <f>VLOOKUP(Subnets[[#This Row],[VNETID]],VNETS[#All],11, FALSE)</f>
        <v>CJIS</v>
      </c>
      <c r="V20" s="53" t="str">
        <f>VLOOKUP(Subnets[[#This Row],[VNETID]],VNETS[#All],2, FALSE)</f>
        <v>sub01</v>
      </c>
    </row>
    <row r="21" spans="1:22" x14ac:dyDescent="0.45">
      <c r="A21" t="s">
        <v>418</v>
      </c>
      <c r="B21">
        <v>310</v>
      </c>
      <c r="C21" t="s">
        <v>309</v>
      </c>
      <c r="D21" t="str">
        <f>I21&amp;"_"&amp;Subnets[[#This Row],[SubNetNumber]]&amp;"_"&amp;Subnets[[#This Row],[Dept. (Computed)]]&amp;"_"&amp;E21&amp;"_"&amp;Subnets[[#This Row],[Location (Computed)]]</f>
        <v>Web_310_SLG_Test_va</v>
      </c>
      <c r="E21" t="s">
        <v>80</v>
      </c>
      <c r="F21" t="str">
        <f>VLOOKUP(Subnets[[#This Row],[VNETID]],VNETS[#All], 8, FALSE)</f>
        <v>SLG</v>
      </c>
      <c r="G21" t="str">
        <f>VLOOKUP(Subnets[[#This Row],[VNETID]],VNETS[#All], 9, FALSE)</f>
        <v>Managed</v>
      </c>
      <c r="H21" t="str">
        <f>VLOOKUP(Subnets[[#This Row],[VNETID]],VNETS[#All],13, FALSE)</f>
        <v>va</v>
      </c>
      <c r="I21" t="s">
        <v>72</v>
      </c>
      <c r="K21" t="s">
        <v>76</v>
      </c>
      <c r="L21" t="str">
        <f t="shared" si="0"/>
        <v>10.130.32.0</v>
      </c>
      <c r="M21" s="9" t="s">
        <v>77</v>
      </c>
      <c r="N21" t="str">
        <f>VLOOKUP(Subnets[[#This Row],[VNETID]],VNETS[#All],7, FALSE)</f>
        <v>mag_slg_managed_preprod</v>
      </c>
      <c r="O21">
        <f>VLOOKUP(Subnets[[#This Row],[VNETID]], VNETS[#All], 14, FALSE)</f>
        <v>10</v>
      </c>
      <c r="P21">
        <f>VLOOKUP(Subnets[[#This Row],[VNETID]], VNETS[#All], 15, FALSE)</f>
        <v>130</v>
      </c>
      <c r="Q21">
        <v>32</v>
      </c>
      <c r="R21">
        <v>0</v>
      </c>
      <c r="S21" t="str">
        <f>O21&amp;"."&amp;P21&amp;"."&amp;Q21&amp;"."&amp;R21</f>
        <v>10.130.32.0</v>
      </c>
      <c r="T21" s="9" t="s">
        <v>382</v>
      </c>
      <c r="U21" s="53" t="str">
        <f>VLOOKUP(Subnets[[#This Row],[VNETID]],VNETS[#All],11, FALSE)</f>
        <v>PREPROD</v>
      </c>
      <c r="V21" s="53" t="str">
        <f>VLOOKUP(Subnets[[#This Row],[VNETID]],VNETS[#All],2, FALSE)</f>
        <v>sub02</v>
      </c>
    </row>
    <row r="22" spans="1:22" x14ac:dyDescent="0.45">
      <c r="A22" t="s">
        <v>419</v>
      </c>
      <c r="B22">
        <v>320</v>
      </c>
      <c r="C22" t="s">
        <v>309</v>
      </c>
      <c r="D22" t="str">
        <f>I22&amp;"_"&amp;Subnets[[#This Row],[SubNetNumber]]&amp;"_"&amp;Subnets[[#This Row],[Dept. (Computed)]]&amp;"_"&amp;E22&amp;"_"&amp;Subnets[[#This Row],[Location (Computed)]]</f>
        <v>App_320_SLG_Test_va</v>
      </c>
      <c r="E22" t="s">
        <v>80</v>
      </c>
      <c r="F22" t="str">
        <f>VLOOKUP(Subnets[[#This Row],[VNETID]],VNETS[#All], 8, FALSE)</f>
        <v>SLG</v>
      </c>
      <c r="G22" t="str">
        <f>VLOOKUP(Subnets[[#This Row],[VNETID]],VNETS[#All], 9, FALSE)</f>
        <v>Managed</v>
      </c>
      <c r="H22" t="str">
        <f>VLOOKUP(Subnets[[#This Row],[VNETID]],VNETS[#All],13, FALSE)</f>
        <v>va</v>
      </c>
      <c r="I22" t="s">
        <v>73</v>
      </c>
      <c r="K22" t="s">
        <v>78</v>
      </c>
      <c r="L22" t="str">
        <f t="shared" si="0"/>
        <v>10.130.33.0</v>
      </c>
      <c r="M22" s="9" t="s">
        <v>77</v>
      </c>
      <c r="N22" t="str">
        <f>VLOOKUP(Subnets[[#This Row],[VNETID]],VNETS[#All],7, FALSE)</f>
        <v>mag_slg_managed_preprod</v>
      </c>
      <c r="O22">
        <f>VLOOKUP(Subnets[[#This Row],[VNETID]], VNETS[#All], 14, FALSE)</f>
        <v>10</v>
      </c>
      <c r="P22">
        <f>VLOOKUP(Subnets[[#This Row],[VNETID]], VNETS[#All], 15, FALSE)</f>
        <v>130</v>
      </c>
      <c r="Q22">
        <v>33</v>
      </c>
      <c r="R22">
        <v>0</v>
      </c>
      <c r="U22" s="53" t="str">
        <f>VLOOKUP(Subnets[[#This Row],[VNETID]],VNETS[#All],11, FALSE)</f>
        <v>PREPROD</v>
      </c>
      <c r="V22" s="53" t="str">
        <f>VLOOKUP(Subnets[[#This Row],[VNETID]],VNETS[#All],2, FALSE)</f>
        <v>sub02</v>
      </c>
    </row>
    <row r="23" spans="1:22" x14ac:dyDescent="0.45">
      <c r="A23" t="s">
        <v>420</v>
      </c>
      <c r="B23">
        <v>330</v>
      </c>
      <c r="C23" t="s">
        <v>309</v>
      </c>
      <c r="D23" t="str">
        <f>I23&amp;"_"&amp;Subnets[[#This Row],[SubNetNumber]]&amp;"_"&amp;Subnets[[#This Row],[Dept. (Computed)]]&amp;"_"&amp;E23&amp;"_"&amp;Subnets[[#This Row],[Location (Computed)]]</f>
        <v>Database_330_SLG_Test_va</v>
      </c>
      <c r="E23" t="s">
        <v>80</v>
      </c>
      <c r="F23" t="str">
        <f>VLOOKUP(Subnets[[#This Row],[VNETID]],VNETS[#All], 8, FALSE)</f>
        <v>SLG</v>
      </c>
      <c r="G23" t="str">
        <f>VLOOKUP(Subnets[[#This Row],[VNETID]],VNETS[#All], 9, FALSE)</f>
        <v>Managed</v>
      </c>
      <c r="H23" t="str">
        <f>VLOOKUP(Subnets[[#This Row],[VNETID]],VNETS[#All],13, FALSE)</f>
        <v>va</v>
      </c>
      <c r="I23" t="s">
        <v>74</v>
      </c>
      <c r="K23" t="s">
        <v>79</v>
      </c>
      <c r="L23" t="str">
        <f t="shared" si="0"/>
        <v>10.130.34.0</v>
      </c>
      <c r="M23" s="9" t="s">
        <v>77</v>
      </c>
      <c r="N23" t="str">
        <f>VLOOKUP(Subnets[[#This Row],[VNETID]],VNETS[#All],7, FALSE)</f>
        <v>mag_slg_managed_preprod</v>
      </c>
      <c r="O23">
        <f>VLOOKUP(Subnets[[#This Row],[VNETID]], VNETS[#All], 14, FALSE)</f>
        <v>10</v>
      </c>
      <c r="P23">
        <f>VLOOKUP(Subnets[[#This Row],[VNETID]], VNETS[#All], 15, FALSE)</f>
        <v>130</v>
      </c>
      <c r="Q23">
        <v>34</v>
      </c>
      <c r="R23">
        <v>0</v>
      </c>
      <c r="U23" s="53" t="str">
        <f>VLOOKUP(Subnets[[#This Row],[VNETID]],VNETS[#All],11, FALSE)</f>
        <v>PREPROD</v>
      </c>
      <c r="V23" s="53" t="str">
        <f>VLOOKUP(Subnets[[#This Row],[VNETID]],VNETS[#All],2, FALSE)</f>
        <v>sub02</v>
      </c>
    </row>
    <row r="24" spans="1:22" x14ac:dyDescent="0.45">
      <c r="A24" t="s">
        <v>421</v>
      </c>
      <c r="B24">
        <v>350</v>
      </c>
      <c r="C24" t="s">
        <v>309</v>
      </c>
      <c r="D24" t="str">
        <f>I24&amp;"_"&amp;Subnets[[#This Row],[SubNetNumber]]&amp;"_"&amp;Subnets[[#This Row],[Dept. (Computed)]]&amp;"_"&amp;E24&amp;"_"&amp;Subnets[[#This Row],[Location (Computed)]]</f>
        <v>DMZ_350_SLG_Test_va</v>
      </c>
      <c r="E24" t="s">
        <v>80</v>
      </c>
      <c r="F24" t="str">
        <f>VLOOKUP(Subnets[[#This Row],[VNETID]],VNETS[#All], 8, FALSE)</f>
        <v>SLG</v>
      </c>
      <c r="G24" t="str">
        <f>VLOOKUP(Subnets[[#This Row],[VNETID]],VNETS[#All], 9, FALSE)</f>
        <v>Managed</v>
      </c>
      <c r="H24" t="str">
        <f>VLOOKUP(Subnets[[#This Row],[VNETID]],VNETS[#All],13, FALSE)</f>
        <v>va</v>
      </c>
      <c r="I24" t="s">
        <v>75</v>
      </c>
      <c r="K24" t="s">
        <v>90</v>
      </c>
      <c r="L24" t="str">
        <f t="shared" si="0"/>
        <v>10.130.35.0</v>
      </c>
      <c r="M24" s="9" t="s">
        <v>77</v>
      </c>
      <c r="N24" t="str">
        <f>VLOOKUP(Subnets[[#This Row],[VNETID]],VNETS[#All],7, FALSE)</f>
        <v>mag_slg_managed_preprod</v>
      </c>
      <c r="O24">
        <f>VLOOKUP(Subnets[[#This Row],[VNETID]], VNETS[#All], 14, FALSE)</f>
        <v>10</v>
      </c>
      <c r="P24">
        <f>VLOOKUP(Subnets[[#This Row],[VNETID]], VNETS[#All], 15, FALSE)</f>
        <v>130</v>
      </c>
      <c r="Q24">
        <v>35</v>
      </c>
      <c r="R24">
        <v>0</v>
      </c>
      <c r="U24" s="53" t="str">
        <f>VLOOKUP(Subnets[[#This Row],[VNETID]],VNETS[#All],11, FALSE)</f>
        <v>PREPROD</v>
      </c>
      <c r="V24" s="53" t="str">
        <f>VLOOKUP(Subnets[[#This Row],[VNETID]],VNETS[#All],2, FALSE)</f>
        <v>sub02</v>
      </c>
    </row>
    <row r="25" spans="1:22" x14ac:dyDescent="0.45">
      <c r="A25" t="s">
        <v>422</v>
      </c>
      <c r="B25">
        <v>360</v>
      </c>
      <c r="C25" t="s">
        <v>309</v>
      </c>
      <c r="D25" t="str">
        <f>I25&amp;"_"&amp;Subnets[[#This Row],[SubNetNumber]]&amp;"_"&amp;Subnets[[#This Row],[Dept. (Computed)]]&amp;"_"&amp;E25&amp;"_"&amp;Subnets[[#This Row],[Location (Computed)]]</f>
        <v>User_Tier0_360_SLG_Test_va</v>
      </c>
      <c r="E25" t="s">
        <v>80</v>
      </c>
      <c r="F25" t="str">
        <f>VLOOKUP(Subnets[[#This Row],[VNETID]],VNETS[#All], 8, FALSE)</f>
        <v>SLG</v>
      </c>
      <c r="G25" t="str">
        <f>VLOOKUP(Subnets[[#This Row],[VNETID]],VNETS[#All], 9, FALSE)</f>
        <v>Managed</v>
      </c>
      <c r="H25" t="str">
        <f>VLOOKUP(Subnets[[#This Row],[VNETID]],VNETS[#All],13, FALSE)</f>
        <v>va</v>
      </c>
      <c r="I25" t="s">
        <v>982</v>
      </c>
      <c r="K25" t="s">
        <v>985</v>
      </c>
      <c r="L25" t="str">
        <f t="shared" si="0"/>
        <v>10.130.36.0</v>
      </c>
      <c r="M25" s="9" t="s">
        <v>389</v>
      </c>
      <c r="N25" t="str">
        <f>VLOOKUP(Subnets[[#This Row],[VNETID]],VNETS[#All],7, FALSE)</f>
        <v>mag_slg_managed_preprod</v>
      </c>
      <c r="O25">
        <f>VLOOKUP(Subnets[[#This Row],[VNETID]], VNETS[#All], 14, FALSE)</f>
        <v>10</v>
      </c>
      <c r="P25">
        <f>VLOOKUP(Subnets[[#This Row],[VNETID]], VNETS[#All], 15, FALSE)</f>
        <v>130</v>
      </c>
      <c r="Q25">
        <v>36</v>
      </c>
      <c r="R25">
        <v>0</v>
      </c>
      <c r="U25" s="53" t="str">
        <f>VLOOKUP(Subnets[[#This Row],[VNETID]],VNETS[#All],11, FALSE)</f>
        <v>PREPROD</v>
      </c>
      <c r="V25" s="53" t="str">
        <f>VLOOKUP(Subnets[[#This Row],[VNETID]],VNETS[#All],2, FALSE)</f>
        <v>sub02</v>
      </c>
    </row>
    <row r="26" spans="1:22" x14ac:dyDescent="0.45">
      <c r="A26" t="s">
        <v>423</v>
      </c>
      <c r="B26">
        <v>361</v>
      </c>
      <c r="C26" t="s">
        <v>309</v>
      </c>
      <c r="D26" t="str">
        <f>I26&amp;"_"&amp;Subnets[[#This Row],[SubNetNumber]]&amp;"_"&amp;Subnets[[#This Row],[Dept. (Computed)]]&amp;"_"&amp;E26&amp;"_"&amp;Subnets[[#This Row],[Location (Computed)]]</f>
        <v>Users_Tier1_361_SLG_Test_va</v>
      </c>
      <c r="E26" t="s">
        <v>80</v>
      </c>
      <c r="F26" t="str">
        <f>VLOOKUP(Subnets[[#This Row],[VNETID]],VNETS[#All], 8, FALSE)</f>
        <v>SLG</v>
      </c>
      <c r="G26" t="str">
        <f>VLOOKUP(Subnets[[#This Row],[VNETID]],VNETS[#All], 9, FALSE)</f>
        <v>Managed</v>
      </c>
      <c r="H26" t="str">
        <f>VLOOKUP(Subnets[[#This Row],[VNETID]],VNETS[#All],13, FALSE)</f>
        <v>va</v>
      </c>
      <c r="I26" t="s">
        <v>980</v>
      </c>
      <c r="K26" t="s">
        <v>983</v>
      </c>
      <c r="L26" t="str">
        <f t="shared" si="0"/>
        <v>10.130.36.128</v>
      </c>
      <c r="M26" s="9" t="s">
        <v>389</v>
      </c>
      <c r="N26" t="str">
        <f>VLOOKUP(Subnets[[#This Row],[VNETID]],VNETS[#All],7, FALSE)</f>
        <v>mag_slg_managed_preprod</v>
      </c>
      <c r="O26">
        <f>VLOOKUP(Subnets[[#This Row],[VNETID]], VNETS[#All], 14, FALSE)</f>
        <v>10</v>
      </c>
      <c r="P26">
        <f>VLOOKUP(Subnets[[#This Row],[VNETID]], VNETS[#All], 15, FALSE)</f>
        <v>130</v>
      </c>
      <c r="Q26">
        <v>36</v>
      </c>
      <c r="R26">
        <v>128</v>
      </c>
      <c r="U26" s="53" t="str">
        <f>VLOOKUP(Subnets[[#This Row],[VNETID]],VNETS[#All],11, FALSE)</f>
        <v>PREPROD</v>
      </c>
      <c r="V26" s="53" t="str">
        <f>VLOOKUP(Subnets[[#This Row],[VNETID]],VNETS[#All],2, FALSE)</f>
        <v>sub02</v>
      </c>
    </row>
    <row r="27" spans="1:22" x14ac:dyDescent="0.45">
      <c r="A27" t="s">
        <v>424</v>
      </c>
      <c r="B27">
        <v>362</v>
      </c>
      <c r="C27" t="s">
        <v>309</v>
      </c>
      <c r="D27" t="str">
        <f>I27&amp;"_"&amp;Subnets[[#This Row],[SubNetNumber]]&amp;"_"&amp;Subnets[[#This Row],[Dept. (Computed)]]&amp;"_"&amp;E27&amp;"_"&amp;Subnets[[#This Row],[Location (Computed)]]</f>
        <v>Users_Tier2_362_SLG_Test_va</v>
      </c>
      <c r="E27" t="s">
        <v>80</v>
      </c>
      <c r="F27" t="str">
        <f>VLOOKUP(Subnets[[#This Row],[VNETID]],VNETS[#All], 8, FALSE)</f>
        <v>SLG</v>
      </c>
      <c r="G27" t="str">
        <f>VLOOKUP(Subnets[[#This Row],[VNETID]],VNETS[#All], 9, FALSE)</f>
        <v>Managed</v>
      </c>
      <c r="H27" t="str">
        <f>VLOOKUP(Subnets[[#This Row],[VNETID]],VNETS[#All],13, FALSE)</f>
        <v>va</v>
      </c>
      <c r="I27" t="s">
        <v>981</v>
      </c>
      <c r="K27" t="s">
        <v>984</v>
      </c>
      <c r="L27" t="str">
        <f t="shared" si="0"/>
        <v>10.130.37.0</v>
      </c>
      <c r="M27" s="9" t="s">
        <v>389</v>
      </c>
      <c r="N27" t="str">
        <f>VLOOKUP(Subnets[[#This Row],[VNETID]],VNETS[#All],7, FALSE)</f>
        <v>mag_slg_managed_preprod</v>
      </c>
      <c r="O27">
        <f>VLOOKUP(Subnets[[#This Row],[VNETID]], VNETS[#All], 14, FALSE)</f>
        <v>10</v>
      </c>
      <c r="P27">
        <f>VLOOKUP(Subnets[[#This Row],[VNETID]], VNETS[#All], 15, FALSE)</f>
        <v>130</v>
      </c>
      <c r="Q27">
        <v>37</v>
      </c>
      <c r="R27">
        <v>0</v>
      </c>
      <c r="U27" s="53" t="str">
        <f>VLOOKUP(Subnets[[#This Row],[VNETID]],VNETS[#All],11, FALSE)</f>
        <v>PREPROD</v>
      </c>
      <c r="V27" s="53" t="str">
        <f>VLOOKUP(Subnets[[#This Row],[VNETID]],VNETS[#All],2, FALSE)</f>
        <v>sub02</v>
      </c>
    </row>
    <row r="28" spans="1:22" x14ac:dyDescent="0.45">
      <c r="A28" t="s">
        <v>425</v>
      </c>
      <c r="B28">
        <v>363</v>
      </c>
      <c r="C28" t="s">
        <v>309</v>
      </c>
      <c r="D28" t="str">
        <f>I28&amp;"_"&amp;Subnets[[#This Row],[SubNetNumber]]&amp;"_"&amp;Subnets[[#This Row],[Dept. (Computed)]]&amp;"_"&amp;E28&amp;"_"&amp;Subnets[[#This Row],[Location (Computed)]]</f>
        <v>User_Tier0_363_SLG_Dev_va</v>
      </c>
      <c r="E28" t="s">
        <v>81</v>
      </c>
      <c r="F28" t="str">
        <f>VLOOKUP(Subnets[[#This Row],[VNETID]],VNETS[#All], 8, FALSE)</f>
        <v>SLG</v>
      </c>
      <c r="G28" t="str">
        <f>VLOOKUP(Subnets[[#This Row],[VNETID]],VNETS[#All], 9, FALSE)</f>
        <v>Managed</v>
      </c>
      <c r="H28" t="str">
        <f>VLOOKUP(Subnets[[#This Row],[VNETID]],VNETS[#All],13, FALSE)</f>
        <v>va</v>
      </c>
      <c r="I28" t="s">
        <v>982</v>
      </c>
      <c r="K28" t="s">
        <v>985</v>
      </c>
      <c r="L28" t="str">
        <f t="shared" si="0"/>
        <v>10.130.37.128</v>
      </c>
      <c r="M28" s="9" t="s">
        <v>389</v>
      </c>
      <c r="N28" t="str">
        <f>VLOOKUP(Subnets[[#This Row],[VNETID]],VNETS[#All],7, FALSE)</f>
        <v>mag_slg_managed_preprod</v>
      </c>
      <c r="O28">
        <f>VLOOKUP(Subnets[[#This Row],[VNETID]], VNETS[#All], 14, FALSE)</f>
        <v>10</v>
      </c>
      <c r="P28">
        <f>VLOOKUP(Subnets[[#This Row],[VNETID]], VNETS[#All], 15, FALSE)</f>
        <v>130</v>
      </c>
      <c r="Q28">
        <v>37</v>
      </c>
      <c r="R28">
        <v>128</v>
      </c>
      <c r="U28" s="53" t="str">
        <f>VLOOKUP(Subnets[[#This Row],[VNETID]],VNETS[#All],11, FALSE)</f>
        <v>PREPROD</v>
      </c>
      <c r="V28" s="53" t="str">
        <f>VLOOKUP(Subnets[[#This Row],[VNETID]],VNETS[#All],2, FALSE)</f>
        <v>sub02</v>
      </c>
    </row>
    <row r="29" spans="1:22" x14ac:dyDescent="0.45">
      <c r="A29" t="s">
        <v>426</v>
      </c>
      <c r="B29">
        <v>364</v>
      </c>
      <c r="C29" t="s">
        <v>309</v>
      </c>
      <c r="D29" t="str">
        <f>I29&amp;"_"&amp;Subnets[[#This Row],[SubNetNumber]]&amp;"_"&amp;Subnets[[#This Row],[Dept. (Computed)]]&amp;"_"&amp;E29&amp;"_"&amp;Subnets[[#This Row],[Location (Computed)]]</f>
        <v>User_Tier1_364_SLG_Dev_va</v>
      </c>
      <c r="E29" t="s">
        <v>81</v>
      </c>
      <c r="F29" t="str">
        <f>VLOOKUP(Subnets[[#This Row],[VNETID]],VNETS[#All], 8, FALSE)</f>
        <v>SLG</v>
      </c>
      <c r="G29" t="str">
        <f>VLOOKUP(Subnets[[#This Row],[VNETID]],VNETS[#All], 9, FALSE)</f>
        <v>Managed</v>
      </c>
      <c r="H29" t="str">
        <f>VLOOKUP(Subnets[[#This Row],[VNETID]],VNETS[#All],13, FALSE)</f>
        <v>va</v>
      </c>
      <c r="I29" t="s">
        <v>988</v>
      </c>
      <c r="K29" t="s">
        <v>983</v>
      </c>
      <c r="L29" t="str">
        <f t="shared" si="0"/>
        <v>10.130.38.0</v>
      </c>
      <c r="M29" s="9" t="s">
        <v>389</v>
      </c>
      <c r="N29" t="str">
        <f>VLOOKUP(Subnets[[#This Row],[VNETID]],VNETS[#All],7, FALSE)</f>
        <v>mag_slg_managed_preprod</v>
      </c>
      <c r="O29">
        <f>VLOOKUP(Subnets[[#This Row],[VNETID]], VNETS[#All], 14, FALSE)</f>
        <v>10</v>
      </c>
      <c r="P29">
        <f>VLOOKUP(Subnets[[#This Row],[VNETID]], VNETS[#All], 15, FALSE)</f>
        <v>130</v>
      </c>
      <c r="Q29">
        <v>38</v>
      </c>
      <c r="R29">
        <v>0</v>
      </c>
      <c r="U29" s="53" t="str">
        <f>VLOOKUP(Subnets[[#This Row],[VNETID]],VNETS[#All],11, FALSE)</f>
        <v>PREPROD</v>
      </c>
      <c r="V29" s="53" t="str">
        <f>VLOOKUP(Subnets[[#This Row],[VNETID]],VNETS[#All],2, FALSE)</f>
        <v>sub02</v>
      </c>
    </row>
    <row r="30" spans="1:22" x14ac:dyDescent="0.45">
      <c r="A30" t="s">
        <v>1174</v>
      </c>
      <c r="B30">
        <v>364</v>
      </c>
      <c r="C30" t="s">
        <v>309</v>
      </c>
      <c r="D30" s="53" t="str">
        <f>I30&amp;"_"&amp;Subnets[[#This Row],[SubNetNumber]]&amp;"_"&amp;Subnets[[#This Row],[Dept. (Computed)]]&amp;"_"&amp;E30&amp;"_"&amp;Subnets[[#This Row],[Location (Computed)]]</f>
        <v>User_Tier2_364_SLG_Dev_va</v>
      </c>
      <c r="E30" s="53" t="s">
        <v>81</v>
      </c>
      <c r="F30" s="53" t="str">
        <f>VLOOKUP(Subnets[[#This Row],[VNETID]],VNETS[#All], 8, FALSE)</f>
        <v>SLG</v>
      </c>
      <c r="G30" s="29" t="str">
        <f>VLOOKUP(Subnets[[#This Row],[VNETID]],VNETS[#All], 9, FALSE)</f>
        <v>Managed</v>
      </c>
      <c r="H30" t="str">
        <f>VLOOKUP(Subnets[[#This Row],[VNETID]],VNETS[#All],13, FALSE)</f>
        <v>va</v>
      </c>
      <c r="I30" t="s">
        <v>991</v>
      </c>
      <c r="J30" s="53"/>
      <c r="K30" t="s">
        <v>984</v>
      </c>
      <c r="L30" t="str">
        <f t="shared" si="0"/>
        <v>10.130.38.128</v>
      </c>
      <c r="M30" s="9" t="s">
        <v>389</v>
      </c>
      <c r="N30" t="str">
        <f>VLOOKUP(Subnets[[#This Row],[VNETID]],VNETS[#All],7, FALSE)</f>
        <v>mag_slg_managed_preprod</v>
      </c>
      <c r="O30">
        <f>VLOOKUP(Subnets[[#This Row],[VNETID]], VNETS[#All], 14, FALSE)</f>
        <v>10</v>
      </c>
      <c r="P30">
        <f>VLOOKUP(Subnets[[#This Row],[VNETID]], VNETS[#All], 15, FALSE)</f>
        <v>130</v>
      </c>
      <c r="Q30" s="53">
        <v>38</v>
      </c>
      <c r="R30" s="53">
        <v>128</v>
      </c>
      <c r="S30" s="53"/>
      <c r="T30" s="53"/>
      <c r="U30" s="53" t="str">
        <f>VLOOKUP(Subnets[[#This Row],[VNETID]],VNETS[#All],11, FALSE)</f>
        <v>PREPROD</v>
      </c>
      <c r="V30" s="53" t="str">
        <f>VLOOKUP(Subnets[[#This Row],[VNETID]],VNETS[#All],2, FALSE)</f>
        <v>sub02</v>
      </c>
    </row>
    <row r="31" spans="1:22" x14ac:dyDescent="0.45">
      <c r="A31" t="s">
        <v>427</v>
      </c>
      <c r="B31">
        <v>410</v>
      </c>
      <c r="C31" t="s">
        <v>309</v>
      </c>
      <c r="D31" t="str">
        <f>I31&amp;"_"&amp;Subnets[[#This Row],[SubNetNumber]]&amp;"_"&amp;Subnets[[#This Row],[Dept. (Computed)]]&amp;"_"&amp;E31&amp;"_"&amp;Subnets[[#This Row],[Location (Computed)]]</f>
        <v>Web_410_SLG_Dev_va</v>
      </c>
      <c r="E31" t="s">
        <v>81</v>
      </c>
      <c r="F31" t="str">
        <f>VLOOKUP(Subnets[[#This Row],[VNETID]],VNETS[#All], 8, FALSE)</f>
        <v>SLG</v>
      </c>
      <c r="G31" t="str">
        <f>VLOOKUP(Subnets[[#This Row],[VNETID]],VNETS[#All], 9, FALSE)</f>
        <v>Managed</v>
      </c>
      <c r="H31" t="str">
        <f>VLOOKUP(Subnets[[#This Row],[VNETID]],VNETS[#All],13, FALSE)</f>
        <v>va</v>
      </c>
      <c r="I31" t="s">
        <v>72</v>
      </c>
      <c r="K31" t="s">
        <v>76</v>
      </c>
      <c r="L31" t="str">
        <f t="shared" si="0"/>
        <v>10.130.40.0</v>
      </c>
      <c r="M31" s="9" t="s">
        <v>77</v>
      </c>
      <c r="N31" t="str">
        <f>VLOOKUP(Subnets[[#This Row],[VNETID]],VNETS[#All],7, FALSE)</f>
        <v>mag_slg_managed_preprod</v>
      </c>
      <c r="O31">
        <f>VLOOKUP(Subnets[[#This Row],[VNETID]], VNETS[#All], 14, FALSE)</f>
        <v>10</v>
      </c>
      <c r="P31">
        <f>VLOOKUP(Subnets[[#This Row],[VNETID]], VNETS[#All], 15, FALSE)</f>
        <v>130</v>
      </c>
      <c r="Q31">
        <v>40</v>
      </c>
      <c r="R31">
        <v>0</v>
      </c>
      <c r="U31" s="53" t="str">
        <f>VLOOKUP(Subnets[[#This Row],[VNETID]],VNETS[#All],11, FALSE)</f>
        <v>PREPROD</v>
      </c>
      <c r="V31" s="53" t="str">
        <f>VLOOKUP(Subnets[[#This Row],[VNETID]],VNETS[#All],2, FALSE)</f>
        <v>sub02</v>
      </c>
    </row>
    <row r="32" spans="1:22" x14ac:dyDescent="0.45">
      <c r="A32" t="s">
        <v>428</v>
      </c>
      <c r="B32">
        <v>420</v>
      </c>
      <c r="C32" t="s">
        <v>309</v>
      </c>
      <c r="D32" t="str">
        <f>I32&amp;"_"&amp;Subnets[[#This Row],[SubNetNumber]]&amp;"_"&amp;Subnets[[#This Row],[Dept. (Computed)]]&amp;"_"&amp;E32&amp;"_"&amp;Subnets[[#This Row],[Location (Computed)]]</f>
        <v>App_420_SLG_Dev_va</v>
      </c>
      <c r="E32" t="s">
        <v>81</v>
      </c>
      <c r="F32" t="str">
        <f>VLOOKUP(Subnets[[#This Row],[VNETID]],VNETS[#All], 8, FALSE)</f>
        <v>SLG</v>
      </c>
      <c r="G32" t="str">
        <f>VLOOKUP(Subnets[[#This Row],[VNETID]],VNETS[#All], 9, FALSE)</f>
        <v>Managed</v>
      </c>
      <c r="H32" t="str">
        <f>VLOOKUP(Subnets[[#This Row],[VNETID]],VNETS[#All],13, FALSE)</f>
        <v>va</v>
      </c>
      <c r="I32" t="s">
        <v>73</v>
      </c>
      <c r="K32" t="s">
        <v>78</v>
      </c>
      <c r="L32" t="str">
        <f t="shared" si="0"/>
        <v>10.130.41.0</v>
      </c>
      <c r="M32" s="9" t="s">
        <v>77</v>
      </c>
      <c r="N32" t="str">
        <f>VLOOKUP(Subnets[[#This Row],[VNETID]],VNETS[#All],7, FALSE)</f>
        <v>mag_slg_managed_preprod</v>
      </c>
      <c r="O32">
        <f>VLOOKUP(Subnets[[#This Row],[VNETID]], VNETS[#All], 14, FALSE)</f>
        <v>10</v>
      </c>
      <c r="P32">
        <f>VLOOKUP(Subnets[[#This Row],[VNETID]], VNETS[#All], 15, FALSE)</f>
        <v>130</v>
      </c>
      <c r="Q32">
        <v>41</v>
      </c>
      <c r="R32">
        <v>0</v>
      </c>
      <c r="U32" s="53" t="str">
        <f>VLOOKUP(Subnets[[#This Row],[VNETID]],VNETS[#All],11, FALSE)</f>
        <v>PREPROD</v>
      </c>
      <c r="V32" s="53" t="str">
        <f>VLOOKUP(Subnets[[#This Row],[VNETID]],VNETS[#All],2, FALSE)</f>
        <v>sub02</v>
      </c>
    </row>
    <row r="33" spans="1:22" x14ac:dyDescent="0.45">
      <c r="A33" t="s">
        <v>644</v>
      </c>
      <c r="B33">
        <v>430</v>
      </c>
      <c r="C33" t="s">
        <v>309</v>
      </c>
      <c r="D33" t="str">
        <f>I33&amp;"_"&amp;Subnets[[#This Row],[SubNetNumber]]&amp;"_"&amp;Subnets[[#This Row],[Dept. (Computed)]]&amp;"_"&amp;E33&amp;"_"&amp;Subnets[[#This Row],[Location (Computed)]]</f>
        <v>Database_430_SLG_Dev_va</v>
      </c>
      <c r="E33" t="s">
        <v>81</v>
      </c>
      <c r="F33" t="str">
        <f>VLOOKUP(Subnets[[#This Row],[VNETID]],VNETS[#All], 8, FALSE)</f>
        <v>SLG</v>
      </c>
      <c r="G33" t="str">
        <f>VLOOKUP(Subnets[[#This Row],[VNETID]],VNETS[#All], 9, FALSE)</f>
        <v>Managed</v>
      </c>
      <c r="H33" t="str">
        <f>VLOOKUP(Subnets[[#This Row],[VNETID]],VNETS[#All],13, FALSE)</f>
        <v>va</v>
      </c>
      <c r="I33" t="s">
        <v>74</v>
      </c>
      <c r="K33" t="s">
        <v>79</v>
      </c>
      <c r="L33" t="str">
        <f t="shared" si="0"/>
        <v>10.130.42.0</v>
      </c>
      <c r="M33" s="9" t="s">
        <v>77</v>
      </c>
      <c r="N33" t="str">
        <f>VLOOKUP(Subnets[[#This Row],[VNETID]],VNETS[#All],7, FALSE)</f>
        <v>mag_slg_managed_preprod</v>
      </c>
      <c r="O33">
        <f>VLOOKUP(Subnets[[#This Row],[VNETID]], VNETS[#All], 14, FALSE)</f>
        <v>10</v>
      </c>
      <c r="P33">
        <f>VLOOKUP(Subnets[[#This Row],[VNETID]], VNETS[#All], 15, FALSE)</f>
        <v>130</v>
      </c>
      <c r="Q33">
        <v>42</v>
      </c>
      <c r="R33">
        <v>0</v>
      </c>
      <c r="U33" s="53" t="str">
        <f>VLOOKUP(Subnets[[#This Row],[VNETID]],VNETS[#All],11, FALSE)</f>
        <v>PREPROD</v>
      </c>
      <c r="V33" s="53" t="str">
        <f>VLOOKUP(Subnets[[#This Row],[VNETID]],VNETS[#All],2, FALSE)</f>
        <v>sub02</v>
      </c>
    </row>
    <row r="34" spans="1:22" x14ac:dyDescent="0.45">
      <c r="A34" t="s">
        <v>429</v>
      </c>
      <c r="B34">
        <v>450</v>
      </c>
      <c r="C34" t="s">
        <v>309</v>
      </c>
      <c r="D34" t="str">
        <f>I34&amp;"_"&amp;Subnets[[#This Row],[SubNetNumber]]&amp;"_"&amp;Subnets[[#This Row],[Dept. (Computed)]]&amp;"_"&amp;E34&amp;"_"&amp;Subnets[[#This Row],[Location (Computed)]]</f>
        <v>DMZ_450_SLG_Dev_va</v>
      </c>
      <c r="E34" t="s">
        <v>81</v>
      </c>
      <c r="F34" t="str">
        <f>VLOOKUP(Subnets[[#This Row],[VNETID]],VNETS[#All], 8, FALSE)</f>
        <v>SLG</v>
      </c>
      <c r="G34" t="str">
        <f>VLOOKUP(Subnets[[#This Row],[VNETID]],VNETS[#All], 9, FALSE)</f>
        <v>Managed</v>
      </c>
      <c r="H34" t="str">
        <f>VLOOKUP(Subnets[[#This Row],[VNETID]],VNETS[#All],13, FALSE)</f>
        <v>va</v>
      </c>
      <c r="I34" t="s">
        <v>75</v>
      </c>
      <c r="K34" t="s">
        <v>90</v>
      </c>
      <c r="L34" t="str">
        <f t="shared" si="0"/>
        <v>10.130.43.0</v>
      </c>
      <c r="M34" s="9" t="s">
        <v>77</v>
      </c>
      <c r="N34" t="str">
        <f>VLOOKUP(Subnets[[#This Row],[VNETID]],VNETS[#All],7, FALSE)</f>
        <v>mag_slg_managed_preprod</v>
      </c>
      <c r="O34">
        <f>VLOOKUP(Subnets[[#This Row],[VNETID]], VNETS[#All], 14, FALSE)</f>
        <v>10</v>
      </c>
      <c r="P34">
        <f>VLOOKUP(Subnets[[#This Row],[VNETID]], VNETS[#All], 15, FALSE)</f>
        <v>130</v>
      </c>
      <c r="Q34">
        <v>43</v>
      </c>
      <c r="R34">
        <v>0</v>
      </c>
      <c r="U34" s="53" t="str">
        <f>VLOOKUP(Subnets[[#This Row],[VNETID]],VNETS[#All],11, FALSE)</f>
        <v>PREPROD</v>
      </c>
      <c r="V34" s="53" t="str">
        <f>VLOOKUP(Subnets[[#This Row],[VNETID]],VNETS[#All],2, FALSE)</f>
        <v>sub02</v>
      </c>
    </row>
    <row r="35" spans="1:22" x14ac:dyDescent="0.45">
      <c r="A35" t="s">
        <v>430</v>
      </c>
      <c r="B35">
        <v>470</v>
      </c>
      <c r="C35" t="s">
        <v>309</v>
      </c>
      <c r="D35" t="str">
        <f>I35&amp;"_"&amp;Subnets[[#This Row],[SubNetNumber]]&amp;"_"&amp;Subnets[[#This Row],[Dept. (Computed)]]&amp;"_"&amp;E35&amp;"_"&amp;Subnets[[#This Row],[Location (Computed)]]</f>
        <v>Future_470_SLG_PreProd_va</v>
      </c>
      <c r="E35" t="s">
        <v>381</v>
      </c>
      <c r="F35" t="str">
        <f>VLOOKUP(Subnets[[#This Row],[VNETID]],VNETS[#All], 8, FALSE)</f>
        <v>SLG</v>
      </c>
      <c r="G35" t="str">
        <f>VLOOKUP(Subnets[[#This Row],[VNETID]],VNETS[#All], 9, FALSE)</f>
        <v>Managed</v>
      </c>
      <c r="H35" t="str">
        <f>VLOOKUP(Subnets[[#This Row],[VNETID]],VNETS[#All],13, FALSE)</f>
        <v>va</v>
      </c>
      <c r="I35" t="s">
        <v>299</v>
      </c>
      <c r="K35" t="s">
        <v>300</v>
      </c>
      <c r="L35" t="str">
        <f t="shared" ref="L35:L67" si="1">O35&amp;"."&amp;P35&amp;"."&amp;Q35&amp;"."&amp;R35</f>
        <v>10.130.44.0</v>
      </c>
      <c r="M35" s="9" t="s">
        <v>488</v>
      </c>
      <c r="N35" t="str">
        <f>VLOOKUP(Subnets[[#This Row],[VNETID]],VNETS[#All],7, FALSE)</f>
        <v>mag_slg_managed_preprod</v>
      </c>
      <c r="O35">
        <f>VLOOKUP(Subnets[[#This Row],[VNETID]], VNETS[#All], 14, FALSE)</f>
        <v>10</v>
      </c>
      <c r="P35">
        <f>VLOOKUP(Subnets[[#This Row],[VNETID]], VNETS[#All], 15, FALSE)</f>
        <v>130</v>
      </c>
      <c r="Q35">
        <v>44</v>
      </c>
      <c r="R35">
        <v>0</v>
      </c>
      <c r="U35" s="53" t="str">
        <f>VLOOKUP(Subnets[[#This Row],[VNETID]],VNETS[#All],11, FALSE)</f>
        <v>PREPROD</v>
      </c>
      <c r="V35" s="53" t="str">
        <f>VLOOKUP(Subnets[[#This Row],[VNETID]],VNETS[#All],2, FALSE)</f>
        <v>sub02</v>
      </c>
    </row>
    <row r="36" spans="1:22" x14ac:dyDescent="0.45">
      <c r="A36" t="s">
        <v>431</v>
      </c>
      <c r="B36">
        <v>470</v>
      </c>
      <c r="C36" t="s">
        <v>309</v>
      </c>
      <c r="D36" t="str">
        <f>I36&amp;"_"&amp;Subnets[[#This Row],[SubNetNumber]]&amp;"_"&amp;Subnets[[#This Row],[Dept. (Computed)]]&amp;"_"&amp;E36&amp;"_"&amp;Subnets[[#This Row],[Location (Computed)]]</f>
        <v>Future_470_SLG_PreProd_va</v>
      </c>
      <c r="E36" t="s">
        <v>381</v>
      </c>
      <c r="F36" t="str">
        <f>VLOOKUP(Subnets[[#This Row],[VNETID]],VNETS[#All], 8, FALSE)</f>
        <v>SLG</v>
      </c>
      <c r="G36" t="str">
        <f>VLOOKUP(Subnets[[#This Row],[VNETID]],VNETS[#All], 9, FALSE)</f>
        <v>Managed</v>
      </c>
      <c r="H36" t="str">
        <f>VLOOKUP(Subnets[[#This Row],[VNETID]],VNETS[#All],13, FALSE)</f>
        <v>va</v>
      </c>
      <c r="I36" t="s">
        <v>299</v>
      </c>
      <c r="K36" t="s">
        <v>300</v>
      </c>
      <c r="L36" t="str">
        <f t="shared" si="1"/>
        <v>10.130.46.0</v>
      </c>
      <c r="M36" s="9" t="s">
        <v>77</v>
      </c>
      <c r="N36" t="str">
        <f>VLOOKUP(Subnets[[#This Row],[VNETID]],VNETS[#All],7, FALSE)</f>
        <v>mag_slg_managed_preprod</v>
      </c>
      <c r="O36">
        <f>VLOOKUP(Subnets[[#This Row],[VNETID]], VNETS[#All], 14, FALSE)</f>
        <v>10</v>
      </c>
      <c r="P36">
        <f>VLOOKUP(Subnets[[#This Row],[VNETID]], VNETS[#All], 15, FALSE)</f>
        <v>130</v>
      </c>
      <c r="Q36">
        <v>46</v>
      </c>
      <c r="R36">
        <v>0</v>
      </c>
      <c r="U36" s="53" t="str">
        <f>VLOOKUP(Subnets[[#This Row],[VNETID]],VNETS[#All],11, FALSE)</f>
        <v>PREPROD</v>
      </c>
      <c r="V36" s="53" t="str">
        <f>VLOOKUP(Subnets[[#This Row],[VNETID]],VNETS[#All],2, FALSE)</f>
        <v>sub02</v>
      </c>
    </row>
    <row r="37" spans="1:22" x14ac:dyDescent="0.45">
      <c r="A37" t="s">
        <v>432</v>
      </c>
      <c r="B37">
        <v>499</v>
      </c>
      <c r="C37" t="s">
        <v>309</v>
      </c>
      <c r="D37" t="str">
        <f>I37&amp;"_"&amp;Subnets[[#This Row],[SubNetNumber]]&amp;"_"&amp;Subnets[[#This Row],[Dept. (Computed)]]&amp;"_"&amp;E37&amp;"_"&amp;Subnets[[#This Row],[Location (Computed)]]</f>
        <v>Gateway_499_SLG_PreProd_va</v>
      </c>
      <c r="E37" t="s">
        <v>381</v>
      </c>
      <c r="F37" t="str">
        <f>VLOOKUP(Subnets[[#This Row],[VNETID]],VNETS[#All], 8, FALSE)</f>
        <v>SLG</v>
      </c>
      <c r="G37" t="str">
        <f>VLOOKUP(Subnets[[#This Row],[VNETID]],VNETS[#All], 9, FALSE)</f>
        <v>Managed</v>
      </c>
      <c r="H37" t="str">
        <f>VLOOKUP(Subnets[[#This Row],[VNETID]],VNETS[#All],13, FALSE)</f>
        <v>va</v>
      </c>
      <c r="I37" t="s">
        <v>500</v>
      </c>
      <c r="K37" t="s">
        <v>553</v>
      </c>
      <c r="L37" t="str">
        <f t="shared" si="1"/>
        <v>10.130.47.248</v>
      </c>
      <c r="M37" s="9" t="s">
        <v>398</v>
      </c>
      <c r="N37" t="str">
        <f>VLOOKUP(Subnets[[#This Row],[VNETID]],VNETS[#All],7, FALSE)</f>
        <v>mag_slg_managed_preprod</v>
      </c>
      <c r="O37">
        <f>VLOOKUP(Subnets[[#This Row],[VNETID]], VNETS[#All], 14, FALSE)</f>
        <v>10</v>
      </c>
      <c r="P37">
        <f>VLOOKUP(Subnets[[#This Row],[VNETID]], VNETS[#All], 15, FALSE)</f>
        <v>130</v>
      </c>
      <c r="Q37">
        <v>47</v>
      </c>
      <c r="R37">
        <v>248</v>
      </c>
      <c r="S37" t="str">
        <f>O37&amp;"."&amp;P37&amp;"."&amp;Q37&amp;"."&amp;R37</f>
        <v>10.130.47.248</v>
      </c>
      <c r="T37" s="9" t="s">
        <v>398</v>
      </c>
      <c r="U37" s="53" t="str">
        <f>VLOOKUP(Subnets[[#This Row],[VNETID]],VNETS[#All],11, FALSE)</f>
        <v>PREPROD</v>
      </c>
      <c r="V37" s="53" t="str">
        <f>VLOOKUP(Subnets[[#This Row],[VNETID]],VNETS[#All],2, FALSE)</f>
        <v>sub02</v>
      </c>
    </row>
    <row r="38" spans="1:22" x14ac:dyDescent="0.45">
      <c r="A38" t="s">
        <v>433</v>
      </c>
      <c r="B38">
        <v>310</v>
      </c>
      <c r="C38" t="s">
        <v>314</v>
      </c>
      <c r="D38" t="str">
        <f>I38&amp;"_"&amp;Subnets[[#This Row],[SubNetNumber]]&amp;"_"&amp;Subnets[[#This Row],[Dept. (Computed)]]&amp;"_"&amp;E38&amp;"_"&amp;Subnets[[#This Row],[Location (Computed)]]</f>
        <v>Web_310_SLG_Test_ia</v>
      </c>
      <c r="E38" t="s">
        <v>80</v>
      </c>
      <c r="F38" t="str">
        <f>VLOOKUP(Subnets[[#This Row],[VNETID]],VNETS[#All], 8, FALSE)</f>
        <v>SLG</v>
      </c>
      <c r="G38" t="str">
        <f>VLOOKUP(Subnets[[#This Row],[VNETID]],VNETS[#All], 9, FALSE)</f>
        <v>Managed</v>
      </c>
      <c r="H38" t="str">
        <f>VLOOKUP(Subnets[[#This Row],[VNETID]],VNETS[#All],13, FALSE)</f>
        <v>ia</v>
      </c>
      <c r="I38" t="s">
        <v>72</v>
      </c>
      <c r="K38" t="s">
        <v>76</v>
      </c>
      <c r="L38" t="str">
        <f t="shared" si="1"/>
        <v>10.130.96.0</v>
      </c>
      <c r="M38" s="9" t="s">
        <v>77</v>
      </c>
      <c r="N38" t="str">
        <f>VLOOKUP(Subnets[[#This Row],[VNETID]],VNETS[#All],7, FALSE)</f>
        <v>mag_slg_managed_preprod</v>
      </c>
      <c r="O38">
        <f>VLOOKUP(Subnets[[#This Row],[VNETID]], VNETS[#All], 14, FALSE)</f>
        <v>10</v>
      </c>
      <c r="P38">
        <f>VLOOKUP(Subnets[[#This Row],[VNETID]], VNETS[#All], 15, FALSE)</f>
        <v>130</v>
      </c>
      <c r="Q38">
        <v>96</v>
      </c>
      <c r="R38">
        <v>0</v>
      </c>
      <c r="S38" t="str">
        <f>O38&amp;"."&amp;P38&amp;"."&amp;Q38&amp;"."&amp;R38</f>
        <v>10.130.96.0</v>
      </c>
      <c r="T38" s="9" t="s">
        <v>382</v>
      </c>
      <c r="U38" s="53" t="str">
        <f>VLOOKUP(Subnets[[#This Row],[VNETID]],VNETS[#All],11, FALSE)</f>
        <v>PREPROD</v>
      </c>
      <c r="V38" s="53" t="str">
        <f>VLOOKUP(Subnets[[#This Row],[VNETID]],VNETS[#All],2, FALSE)</f>
        <v>sub02</v>
      </c>
    </row>
    <row r="39" spans="1:22" x14ac:dyDescent="0.45">
      <c r="A39" t="s">
        <v>434</v>
      </c>
      <c r="B39">
        <v>320</v>
      </c>
      <c r="C39" t="s">
        <v>314</v>
      </c>
      <c r="D39" t="str">
        <f>I39&amp;"_"&amp;Subnets[[#This Row],[SubNetNumber]]&amp;"_"&amp;Subnets[[#This Row],[Dept. (Computed)]]&amp;"_"&amp;E39&amp;"_"&amp;Subnets[[#This Row],[Location (Computed)]]</f>
        <v>App_320_SLG_Test_ia</v>
      </c>
      <c r="E39" t="s">
        <v>80</v>
      </c>
      <c r="F39" t="str">
        <f>VLOOKUP(Subnets[[#This Row],[VNETID]],VNETS[#All], 8, FALSE)</f>
        <v>SLG</v>
      </c>
      <c r="G39" t="str">
        <f>VLOOKUP(Subnets[[#This Row],[VNETID]],VNETS[#All], 9, FALSE)</f>
        <v>Managed</v>
      </c>
      <c r="H39" t="str">
        <f>VLOOKUP(Subnets[[#This Row],[VNETID]],VNETS[#All],13, FALSE)</f>
        <v>ia</v>
      </c>
      <c r="I39" t="s">
        <v>73</v>
      </c>
      <c r="K39" t="s">
        <v>78</v>
      </c>
      <c r="L39" t="str">
        <f t="shared" si="1"/>
        <v>10.130.97.0</v>
      </c>
      <c r="M39" s="9" t="s">
        <v>77</v>
      </c>
      <c r="N39" t="str">
        <f>VLOOKUP(Subnets[[#This Row],[VNETID]],VNETS[#All],7, FALSE)</f>
        <v>mag_slg_managed_preprod</v>
      </c>
      <c r="O39">
        <f>VLOOKUP(Subnets[[#This Row],[VNETID]], VNETS[#All], 14, FALSE)</f>
        <v>10</v>
      </c>
      <c r="P39">
        <f>VLOOKUP(Subnets[[#This Row],[VNETID]], VNETS[#All], 15, FALSE)</f>
        <v>130</v>
      </c>
      <c r="Q39">
        <v>97</v>
      </c>
      <c r="R39">
        <v>0</v>
      </c>
      <c r="U39" s="53" t="str">
        <f>VLOOKUP(Subnets[[#This Row],[VNETID]],VNETS[#All],11, FALSE)</f>
        <v>PREPROD</v>
      </c>
      <c r="V39" s="53" t="str">
        <f>VLOOKUP(Subnets[[#This Row],[VNETID]],VNETS[#All],2, FALSE)</f>
        <v>sub02</v>
      </c>
    </row>
    <row r="40" spans="1:22" x14ac:dyDescent="0.45">
      <c r="A40" t="s">
        <v>435</v>
      </c>
      <c r="B40">
        <v>330</v>
      </c>
      <c r="C40" t="s">
        <v>314</v>
      </c>
      <c r="D40" t="str">
        <f>I40&amp;"_"&amp;Subnets[[#This Row],[SubNetNumber]]&amp;"_"&amp;Subnets[[#This Row],[Dept. (Computed)]]&amp;"_"&amp;E40&amp;"_"&amp;Subnets[[#This Row],[Location (Computed)]]</f>
        <v>Database_330_SLG_Test_ia</v>
      </c>
      <c r="E40" t="s">
        <v>80</v>
      </c>
      <c r="F40" t="str">
        <f>VLOOKUP(Subnets[[#This Row],[VNETID]],VNETS[#All], 8, FALSE)</f>
        <v>SLG</v>
      </c>
      <c r="G40" t="str">
        <f>VLOOKUP(Subnets[[#This Row],[VNETID]],VNETS[#All], 9, FALSE)</f>
        <v>Managed</v>
      </c>
      <c r="H40" t="str">
        <f>VLOOKUP(Subnets[[#This Row],[VNETID]],VNETS[#All],13, FALSE)</f>
        <v>ia</v>
      </c>
      <c r="I40" t="s">
        <v>74</v>
      </c>
      <c r="K40" t="s">
        <v>79</v>
      </c>
      <c r="L40" t="str">
        <f t="shared" si="1"/>
        <v>10.130.98.0</v>
      </c>
      <c r="M40" s="9" t="s">
        <v>77</v>
      </c>
      <c r="N40" t="str">
        <f>VLOOKUP(Subnets[[#This Row],[VNETID]],VNETS[#All],7, FALSE)</f>
        <v>mag_slg_managed_preprod</v>
      </c>
      <c r="O40">
        <f>VLOOKUP(Subnets[[#This Row],[VNETID]], VNETS[#All], 14, FALSE)</f>
        <v>10</v>
      </c>
      <c r="P40">
        <f>VLOOKUP(Subnets[[#This Row],[VNETID]], VNETS[#All], 15, FALSE)</f>
        <v>130</v>
      </c>
      <c r="Q40">
        <v>98</v>
      </c>
      <c r="R40">
        <v>0</v>
      </c>
      <c r="U40" s="53" t="str">
        <f>VLOOKUP(Subnets[[#This Row],[VNETID]],VNETS[#All],11, FALSE)</f>
        <v>PREPROD</v>
      </c>
      <c r="V40" s="53" t="str">
        <f>VLOOKUP(Subnets[[#This Row],[VNETID]],VNETS[#All],2, FALSE)</f>
        <v>sub02</v>
      </c>
    </row>
    <row r="41" spans="1:22" x14ac:dyDescent="0.45">
      <c r="A41" t="s">
        <v>436</v>
      </c>
      <c r="B41">
        <v>350</v>
      </c>
      <c r="C41" t="s">
        <v>314</v>
      </c>
      <c r="D41" t="str">
        <f>I41&amp;"_"&amp;Subnets[[#This Row],[SubNetNumber]]&amp;"_"&amp;Subnets[[#This Row],[Dept. (Computed)]]&amp;"_"&amp;E41&amp;"_"&amp;Subnets[[#This Row],[Location (Computed)]]</f>
        <v>DMZ_350_SLG_Test_ia</v>
      </c>
      <c r="E41" t="s">
        <v>80</v>
      </c>
      <c r="F41" t="str">
        <f>VLOOKUP(Subnets[[#This Row],[VNETID]],VNETS[#All], 8, FALSE)</f>
        <v>SLG</v>
      </c>
      <c r="G41" t="str">
        <f>VLOOKUP(Subnets[[#This Row],[VNETID]],VNETS[#All], 9, FALSE)</f>
        <v>Managed</v>
      </c>
      <c r="H41" t="str">
        <f>VLOOKUP(Subnets[[#This Row],[VNETID]],VNETS[#All],13, FALSE)</f>
        <v>ia</v>
      </c>
      <c r="I41" t="s">
        <v>75</v>
      </c>
      <c r="K41" t="s">
        <v>90</v>
      </c>
      <c r="L41" t="str">
        <f t="shared" si="1"/>
        <v>10.130.99.0</v>
      </c>
      <c r="M41" s="9" t="s">
        <v>77</v>
      </c>
      <c r="N41" t="str">
        <f>VLOOKUP(Subnets[[#This Row],[VNETID]],VNETS[#All],7, FALSE)</f>
        <v>mag_slg_managed_preprod</v>
      </c>
      <c r="O41">
        <f>VLOOKUP(Subnets[[#This Row],[VNETID]], VNETS[#All], 14, FALSE)</f>
        <v>10</v>
      </c>
      <c r="P41">
        <f>VLOOKUP(Subnets[[#This Row],[VNETID]], VNETS[#All], 15, FALSE)</f>
        <v>130</v>
      </c>
      <c r="Q41">
        <v>99</v>
      </c>
      <c r="R41">
        <v>0</v>
      </c>
      <c r="U41" s="53" t="str">
        <f>VLOOKUP(Subnets[[#This Row],[VNETID]],VNETS[#All],11, FALSE)</f>
        <v>PREPROD</v>
      </c>
      <c r="V41" s="53" t="str">
        <f>VLOOKUP(Subnets[[#This Row],[VNETID]],VNETS[#All],2, FALSE)</f>
        <v>sub02</v>
      </c>
    </row>
    <row r="42" spans="1:22" x14ac:dyDescent="0.45">
      <c r="A42" t="s">
        <v>437</v>
      </c>
      <c r="B42">
        <v>360</v>
      </c>
      <c r="C42" t="s">
        <v>314</v>
      </c>
      <c r="D42" t="str">
        <f>I42&amp;"_"&amp;Subnets[[#This Row],[SubNetNumber]]&amp;"_"&amp;Subnets[[#This Row],[Dept. (Computed)]]&amp;"_"&amp;E42&amp;"_"&amp;Subnets[[#This Row],[Location (Computed)]]</f>
        <v>Users_Tier0_360_SLG_Test_ia</v>
      </c>
      <c r="E42" t="s">
        <v>80</v>
      </c>
      <c r="F42" t="str">
        <f>VLOOKUP(Subnets[[#This Row],[VNETID]],VNETS[#All], 8, FALSE)</f>
        <v>SLG</v>
      </c>
      <c r="G42" t="str">
        <f>VLOOKUP(Subnets[[#This Row],[VNETID]],VNETS[#All], 9, FALSE)</f>
        <v>Managed</v>
      </c>
      <c r="H42" t="str">
        <f>VLOOKUP(Subnets[[#This Row],[VNETID]],VNETS[#All],13, FALSE)</f>
        <v>ia</v>
      </c>
      <c r="I42" t="s">
        <v>990</v>
      </c>
      <c r="K42" t="s">
        <v>985</v>
      </c>
      <c r="L42" t="str">
        <f t="shared" si="1"/>
        <v>10.130.100.0</v>
      </c>
      <c r="M42" s="9" t="s">
        <v>389</v>
      </c>
      <c r="N42" t="str">
        <f>VLOOKUP(Subnets[[#This Row],[VNETID]],VNETS[#All],7, FALSE)</f>
        <v>mag_slg_managed_preprod</v>
      </c>
      <c r="O42">
        <f>VLOOKUP(Subnets[[#This Row],[VNETID]], VNETS[#All], 14, FALSE)</f>
        <v>10</v>
      </c>
      <c r="P42">
        <f>VLOOKUP(Subnets[[#This Row],[VNETID]], VNETS[#All], 15, FALSE)</f>
        <v>130</v>
      </c>
      <c r="Q42">
        <v>100</v>
      </c>
      <c r="R42">
        <v>0</v>
      </c>
      <c r="U42" s="53" t="str">
        <f>VLOOKUP(Subnets[[#This Row],[VNETID]],VNETS[#All],11, FALSE)</f>
        <v>PREPROD</v>
      </c>
      <c r="V42" s="53" t="str">
        <f>VLOOKUP(Subnets[[#This Row],[VNETID]],VNETS[#All],2, FALSE)</f>
        <v>sub02</v>
      </c>
    </row>
    <row r="43" spans="1:22" x14ac:dyDescent="0.45">
      <c r="A43" t="s">
        <v>438</v>
      </c>
      <c r="B43">
        <v>361</v>
      </c>
      <c r="C43" t="s">
        <v>314</v>
      </c>
      <c r="D43" t="str">
        <f>I43&amp;"_"&amp;Subnets[[#This Row],[SubNetNumber]]&amp;"_"&amp;Subnets[[#This Row],[Dept. (Computed)]]&amp;"_"&amp;E43&amp;"_"&amp;Subnets[[#This Row],[Location (Computed)]]</f>
        <v>Users_Tier1_361_SLG_Test_ia</v>
      </c>
      <c r="E43" t="s">
        <v>80</v>
      </c>
      <c r="F43" t="str">
        <f>VLOOKUP(Subnets[[#This Row],[VNETID]],VNETS[#All], 8, FALSE)</f>
        <v>SLG</v>
      </c>
      <c r="G43" t="str">
        <f>VLOOKUP(Subnets[[#This Row],[VNETID]],VNETS[#All], 9, FALSE)</f>
        <v>Managed</v>
      </c>
      <c r="H43" t="str">
        <f>VLOOKUP(Subnets[[#This Row],[VNETID]],VNETS[#All],13, FALSE)</f>
        <v>ia</v>
      </c>
      <c r="I43" t="s">
        <v>980</v>
      </c>
      <c r="K43" t="s">
        <v>983</v>
      </c>
      <c r="L43" t="str">
        <f t="shared" si="1"/>
        <v>10.130.100.128</v>
      </c>
      <c r="M43" s="9" t="s">
        <v>389</v>
      </c>
      <c r="N43" t="str">
        <f>VLOOKUP(Subnets[[#This Row],[VNETID]],VNETS[#All],7, FALSE)</f>
        <v>mag_slg_managed_preprod</v>
      </c>
      <c r="O43">
        <f>VLOOKUP(Subnets[[#This Row],[VNETID]], VNETS[#All], 14, FALSE)</f>
        <v>10</v>
      </c>
      <c r="P43">
        <f>VLOOKUP(Subnets[[#This Row],[VNETID]], VNETS[#All], 15, FALSE)</f>
        <v>130</v>
      </c>
      <c r="Q43">
        <v>100</v>
      </c>
      <c r="R43">
        <v>128</v>
      </c>
      <c r="U43" s="53" t="str">
        <f>VLOOKUP(Subnets[[#This Row],[VNETID]],VNETS[#All],11, FALSE)</f>
        <v>PREPROD</v>
      </c>
      <c r="V43" s="53" t="str">
        <f>VLOOKUP(Subnets[[#This Row],[VNETID]],VNETS[#All],2, FALSE)</f>
        <v>sub02</v>
      </c>
    </row>
    <row r="44" spans="1:22" x14ac:dyDescent="0.45">
      <c r="A44" t="s">
        <v>439</v>
      </c>
      <c r="B44">
        <v>362</v>
      </c>
      <c r="C44" t="s">
        <v>314</v>
      </c>
      <c r="D44" t="str">
        <f>I44&amp;"_"&amp;Subnets[[#This Row],[SubNetNumber]]&amp;"_"&amp;Subnets[[#This Row],[Dept. (Computed)]]&amp;"_"&amp;E44&amp;"_"&amp;Subnets[[#This Row],[Location (Computed)]]</f>
        <v>Users_Tier2_362_SLG_Test_ia</v>
      </c>
      <c r="E44" t="s">
        <v>80</v>
      </c>
      <c r="F44" t="str">
        <f>VLOOKUP(Subnets[[#This Row],[VNETID]],VNETS[#All], 8, FALSE)</f>
        <v>SLG</v>
      </c>
      <c r="G44" t="str">
        <f>VLOOKUP(Subnets[[#This Row],[VNETID]],VNETS[#All], 9, FALSE)</f>
        <v>Managed</v>
      </c>
      <c r="H44" t="str">
        <f>VLOOKUP(Subnets[[#This Row],[VNETID]],VNETS[#All],13, FALSE)</f>
        <v>ia</v>
      </c>
      <c r="I44" t="s">
        <v>981</v>
      </c>
      <c r="K44" t="s">
        <v>984</v>
      </c>
      <c r="L44" t="str">
        <f t="shared" si="1"/>
        <v>10.130.101.0</v>
      </c>
      <c r="M44" s="9" t="s">
        <v>389</v>
      </c>
      <c r="N44" t="str">
        <f>VLOOKUP(Subnets[[#This Row],[VNETID]],VNETS[#All],7, FALSE)</f>
        <v>mag_slg_managed_preprod</v>
      </c>
      <c r="O44">
        <f>VLOOKUP(Subnets[[#This Row],[VNETID]], VNETS[#All], 14, FALSE)</f>
        <v>10</v>
      </c>
      <c r="P44">
        <f>VLOOKUP(Subnets[[#This Row],[VNETID]], VNETS[#All], 15, FALSE)</f>
        <v>130</v>
      </c>
      <c r="Q44">
        <v>101</v>
      </c>
      <c r="R44">
        <v>0</v>
      </c>
      <c r="U44" s="53" t="str">
        <f>VLOOKUP(Subnets[[#This Row],[VNETID]],VNETS[#All],11, FALSE)</f>
        <v>PREPROD</v>
      </c>
      <c r="V44" s="53" t="str">
        <f>VLOOKUP(Subnets[[#This Row],[VNETID]],VNETS[#All],2, FALSE)</f>
        <v>sub02</v>
      </c>
    </row>
    <row r="45" spans="1:22" x14ac:dyDescent="0.45">
      <c r="A45" t="s">
        <v>440</v>
      </c>
      <c r="B45">
        <v>363</v>
      </c>
      <c r="C45" t="s">
        <v>314</v>
      </c>
      <c r="D45" t="str">
        <f>I45&amp;"_"&amp;Subnets[[#This Row],[SubNetNumber]]&amp;"_"&amp;Subnets[[#This Row],[Dept. (Computed)]]&amp;"_"&amp;E45&amp;"_"&amp;Subnets[[#This Row],[Location (Computed)]]</f>
        <v>Users_Tier0_363_SLG_Dev_ia</v>
      </c>
      <c r="E45" t="s">
        <v>81</v>
      </c>
      <c r="F45" t="str">
        <f>VLOOKUP(Subnets[[#This Row],[VNETID]],VNETS[#All], 8, FALSE)</f>
        <v>SLG</v>
      </c>
      <c r="G45" t="str">
        <f>VLOOKUP(Subnets[[#This Row],[VNETID]],VNETS[#All], 9, FALSE)</f>
        <v>Managed</v>
      </c>
      <c r="H45" t="str">
        <f>VLOOKUP(Subnets[[#This Row],[VNETID]],VNETS[#All],13, FALSE)</f>
        <v>ia</v>
      </c>
      <c r="I45" t="s">
        <v>990</v>
      </c>
      <c r="K45" t="s">
        <v>985</v>
      </c>
      <c r="L45" t="str">
        <f t="shared" si="1"/>
        <v>10.130.101.128</v>
      </c>
      <c r="M45" s="9" t="s">
        <v>389</v>
      </c>
      <c r="N45" t="str">
        <f>VLOOKUP(Subnets[[#This Row],[VNETID]],VNETS[#All],7, FALSE)</f>
        <v>mag_slg_managed_preprod</v>
      </c>
      <c r="O45">
        <f>VLOOKUP(Subnets[[#This Row],[VNETID]], VNETS[#All], 14, FALSE)</f>
        <v>10</v>
      </c>
      <c r="P45">
        <f>VLOOKUP(Subnets[[#This Row],[VNETID]], VNETS[#All], 15, FALSE)</f>
        <v>130</v>
      </c>
      <c r="Q45">
        <v>101</v>
      </c>
      <c r="R45">
        <v>128</v>
      </c>
      <c r="U45" s="53" t="str">
        <f>VLOOKUP(Subnets[[#This Row],[VNETID]],VNETS[#All],11, FALSE)</f>
        <v>PREPROD</v>
      </c>
      <c r="V45" s="53" t="str">
        <f>VLOOKUP(Subnets[[#This Row],[VNETID]],VNETS[#All],2, FALSE)</f>
        <v>sub02</v>
      </c>
    </row>
    <row r="46" spans="1:22" x14ac:dyDescent="0.45">
      <c r="A46" t="s">
        <v>441</v>
      </c>
      <c r="B46">
        <v>364</v>
      </c>
      <c r="C46" t="s">
        <v>314</v>
      </c>
      <c r="D46" t="str">
        <f>I46&amp;"_"&amp;Subnets[[#This Row],[SubNetNumber]]&amp;"_"&amp;Subnets[[#This Row],[Dept. (Computed)]]&amp;"_"&amp;E46&amp;"_"&amp;Subnets[[#This Row],[Location (Computed)]]</f>
        <v>Users_Tier1_364_SLG_Dev_ia</v>
      </c>
      <c r="E46" t="s">
        <v>81</v>
      </c>
      <c r="F46" t="str">
        <f>VLOOKUP(Subnets[[#This Row],[VNETID]],VNETS[#All], 8, FALSE)</f>
        <v>SLG</v>
      </c>
      <c r="G46" t="str">
        <f>VLOOKUP(Subnets[[#This Row],[VNETID]],VNETS[#All], 9, FALSE)</f>
        <v>Managed</v>
      </c>
      <c r="H46" t="str">
        <f>VLOOKUP(Subnets[[#This Row],[VNETID]],VNETS[#All],13, FALSE)</f>
        <v>ia</v>
      </c>
      <c r="I46" t="s">
        <v>980</v>
      </c>
      <c r="K46" t="s">
        <v>983</v>
      </c>
      <c r="L46" t="str">
        <f t="shared" si="1"/>
        <v>10.130.102.0</v>
      </c>
      <c r="M46" s="9" t="s">
        <v>389</v>
      </c>
      <c r="N46" t="str">
        <f>VLOOKUP(Subnets[[#This Row],[VNETID]],VNETS[#All],7, FALSE)</f>
        <v>mag_slg_managed_preprod</v>
      </c>
      <c r="O46">
        <f>VLOOKUP(Subnets[[#This Row],[VNETID]], VNETS[#All], 14, FALSE)</f>
        <v>10</v>
      </c>
      <c r="P46">
        <f>VLOOKUP(Subnets[[#This Row],[VNETID]], VNETS[#All], 15, FALSE)</f>
        <v>130</v>
      </c>
      <c r="Q46">
        <v>102</v>
      </c>
      <c r="R46">
        <v>0</v>
      </c>
      <c r="U46" s="53" t="str">
        <f>VLOOKUP(Subnets[[#This Row],[VNETID]],VNETS[#All],11, FALSE)</f>
        <v>PREPROD</v>
      </c>
      <c r="V46" s="53" t="str">
        <f>VLOOKUP(Subnets[[#This Row],[VNETID]],VNETS[#All],2, FALSE)</f>
        <v>sub02</v>
      </c>
    </row>
    <row r="47" spans="1:22" x14ac:dyDescent="0.45">
      <c r="A47" s="53" t="s">
        <v>1175</v>
      </c>
      <c r="B47">
        <v>365</v>
      </c>
      <c r="C47" t="s">
        <v>314</v>
      </c>
      <c r="D47" s="53" t="str">
        <f>I47&amp;"_"&amp;Subnets[[#This Row],[SubNetNumber]]&amp;"_"&amp;Subnets[[#This Row],[Dept. (Computed)]]&amp;"_"&amp;E47&amp;"_"&amp;Subnets[[#This Row],[Location (Computed)]]</f>
        <v>Users_Tier2_365_SLG_Dev_ia</v>
      </c>
      <c r="E47" s="53" t="s">
        <v>81</v>
      </c>
      <c r="F47" s="53" t="str">
        <f>VLOOKUP(Subnets[[#This Row],[VNETID]],VNETS[#All], 8, FALSE)</f>
        <v>SLG</v>
      </c>
      <c r="G47" s="29" t="str">
        <f>VLOOKUP(Subnets[[#This Row],[VNETID]],VNETS[#All], 9, FALSE)</f>
        <v>Managed</v>
      </c>
      <c r="H47" t="str">
        <f>VLOOKUP(Subnets[[#This Row],[VNETID]],VNETS[#All],13, FALSE)</f>
        <v>ia</v>
      </c>
      <c r="I47" t="s">
        <v>981</v>
      </c>
      <c r="J47" s="53"/>
      <c r="K47" t="s">
        <v>984</v>
      </c>
      <c r="L47" t="str">
        <f t="shared" si="1"/>
        <v>10.130.102.128</v>
      </c>
      <c r="M47" s="9" t="s">
        <v>389</v>
      </c>
      <c r="N47" t="str">
        <f>VLOOKUP(Subnets[[#This Row],[VNETID]],VNETS[#All],7, FALSE)</f>
        <v>mag_slg_managed_preprod</v>
      </c>
      <c r="O47">
        <f>VLOOKUP(Subnets[[#This Row],[VNETID]], VNETS[#All], 14, FALSE)</f>
        <v>10</v>
      </c>
      <c r="P47">
        <f>VLOOKUP(Subnets[[#This Row],[VNETID]], VNETS[#All], 15, FALSE)</f>
        <v>130</v>
      </c>
      <c r="Q47" s="53">
        <v>102</v>
      </c>
      <c r="R47" s="53">
        <v>128</v>
      </c>
      <c r="S47" s="53"/>
      <c r="T47" s="53"/>
      <c r="U47" s="53" t="str">
        <f>VLOOKUP(Subnets[[#This Row],[VNETID]],VNETS[#All],11, FALSE)</f>
        <v>PREPROD</v>
      </c>
      <c r="V47" s="53" t="str">
        <f>VLOOKUP(Subnets[[#This Row],[VNETID]],VNETS[#All],2, FALSE)</f>
        <v>sub02</v>
      </c>
    </row>
    <row r="48" spans="1:22" x14ac:dyDescent="0.45">
      <c r="A48" t="s">
        <v>442</v>
      </c>
      <c r="B48">
        <v>410</v>
      </c>
      <c r="C48" t="s">
        <v>314</v>
      </c>
      <c r="D48" t="str">
        <f>I48&amp;"_"&amp;Subnets[[#This Row],[SubNetNumber]]&amp;"_"&amp;Subnets[[#This Row],[Dept. (Computed)]]&amp;"_"&amp;E48&amp;"_"&amp;Subnets[[#This Row],[Location (Computed)]]</f>
        <v>Web_410_SLG_Dev_ia</v>
      </c>
      <c r="E48" t="s">
        <v>81</v>
      </c>
      <c r="F48" t="str">
        <f>VLOOKUP(Subnets[[#This Row],[VNETID]],VNETS[#All], 8, FALSE)</f>
        <v>SLG</v>
      </c>
      <c r="G48" t="str">
        <f>VLOOKUP(Subnets[[#This Row],[VNETID]],VNETS[#All], 9, FALSE)</f>
        <v>Managed</v>
      </c>
      <c r="H48" t="str">
        <f>VLOOKUP(Subnets[[#This Row],[VNETID]],VNETS[#All],13, FALSE)</f>
        <v>ia</v>
      </c>
      <c r="I48" t="s">
        <v>72</v>
      </c>
      <c r="K48" t="s">
        <v>76</v>
      </c>
      <c r="L48" t="str">
        <f t="shared" si="1"/>
        <v>10.130.103.0</v>
      </c>
      <c r="M48" s="9" t="s">
        <v>77</v>
      </c>
      <c r="N48" t="str">
        <f>VLOOKUP(Subnets[[#This Row],[VNETID]],VNETS[#All],7, FALSE)</f>
        <v>mag_slg_managed_preprod</v>
      </c>
      <c r="O48">
        <f>VLOOKUP(Subnets[[#This Row],[VNETID]], VNETS[#All], 14, FALSE)</f>
        <v>10</v>
      </c>
      <c r="P48">
        <f>VLOOKUP(Subnets[[#This Row],[VNETID]], VNETS[#All], 15, FALSE)</f>
        <v>130</v>
      </c>
      <c r="Q48">
        <v>103</v>
      </c>
      <c r="R48">
        <v>0</v>
      </c>
      <c r="U48" s="53" t="str">
        <f>VLOOKUP(Subnets[[#This Row],[VNETID]],VNETS[#All],11, FALSE)</f>
        <v>PREPROD</v>
      </c>
      <c r="V48" s="53" t="str">
        <f>VLOOKUP(Subnets[[#This Row],[VNETID]],VNETS[#All],2, FALSE)</f>
        <v>sub02</v>
      </c>
    </row>
    <row r="49" spans="1:22" x14ac:dyDescent="0.45">
      <c r="A49" t="s">
        <v>443</v>
      </c>
      <c r="B49">
        <v>420</v>
      </c>
      <c r="C49" t="s">
        <v>314</v>
      </c>
      <c r="D49" t="str">
        <f>I49&amp;"_"&amp;Subnets[[#This Row],[SubNetNumber]]&amp;"_"&amp;Subnets[[#This Row],[Dept. (Computed)]]&amp;"_"&amp;E49&amp;"_"&amp;Subnets[[#This Row],[Location (Computed)]]</f>
        <v>App_420_SLG_Dev_ia</v>
      </c>
      <c r="E49" t="s">
        <v>81</v>
      </c>
      <c r="F49" t="str">
        <f>VLOOKUP(Subnets[[#This Row],[VNETID]],VNETS[#All], 8, FALSE)</f>
        <v>SLG</v>
      </c>
      <c r="G49" t="str">
        <f>VLOOKUP(Subnets[[#This Row],[VNETID]],VNETS[#All], 9, FALSE)</f>
        <v>Managed</v>
      </c>
      <c r="H49" t="str">
        <f>VLOOKUP(Subnets[[#This Row],[VNETID]],VNETS[#All],13, FALSE)</f>
        <v>ia</v>
      </c>
      <c r="I49" t="s">
        <v>73</v>
      </c>
      <c r="K49" t="s">
        <v>78</v>
      </c>
      <c r="L49" t="str">
        <f t="shared" si="1"/>
        <v>10.130.104.0</v>
      </c>
      <c r="M49" s="9" t="s">
        <v>77</v>
      </c>
      <c r="N49" t="str">
        <f>VLOOKUP(Subnets[[#This Row],[VNETID]],VNETS[#All],7, FALSE)</f>
        <v>mag_slg_managed_preprod</v>
      </c>
      <c r="O49">
        <f>VLOOKUP(Subnets[[#This Row],[VNETID]], VNETS[#All], 14, FALSE)</f>
        <v>10</v>
      </c>
      <c r="P49">
        <f>VLOOKUP(Subnets[[#This Row],[VNETID]], VNETS[#All], 15, FALSE)</f>
        <v>130</v>
      </c>
      <c r="Q49">
        <v>104</v>
      </c>
      <c r="R49">
        <v>0</v>
      </c>
      <c r="U49" s="53" t="str">
        <f>VLOOKUP(Subnets[[#This Row],[VNETID]],VNETS[#All],11, FALSE)</f>
        <v>PREPROD</v>
      </c>
      <c r="V49" s="53" t="str">
        <f>VLOOKUP(Subnets[[#This Row],[VNETID]],VNETS[#All],2, FALSE)</f>
        <v>sub02</v>
      </c>
    </row>
    <row r="50" spans="1:22" x14ac:dyDescent="0.45">
      <c r="A50" t="s">
        <v>444</v>
      </c>
      <c r="B50">
        <v>430</v>
      </c>
      <c r="C50" t="s">
        <v>314</v>
      </c>
      <c r="D50" t="str">
        <f>I50&amp;"_"&amp;Subnets[[#This Row],[SubNetNumber]]&amp;"_"&amp;Subnets[[#This Row],[Dept. (Computed)]]&amp;"_"&amp;E50&amp;"_"&amp;Subnets[[#This Row],[Location (Computed)]]</f>
        <v>Database_430_SLG_Dev_ia</v>
      </c>
      <c r="E50" t="s">
        <v>81</v>
      </c>
      <c r="F50" t="str">
        <f>VLOOKUP(Subnets[[#This Row],[VNETID]],VNETS[#All], 8, FALSE)</f>
        <v>SLG</v>
      </c>
      <c r="G50" t="str">
        <f>VLOOKUP(Subnets[[#This Row],[VNETID]],VNETS[#All], 9, FALSE)</f>
        <v>Managed</v>
      </c>
      <c r="H50" t="str">
        <f>VLOOKUP(Subnets[[#This Row],[VNETID]],VNETS[#All],13, FALSE)</f>
        <v>ia</v>
      </c>
      <c r="I50" t="s">
        <v>74</v>
      </c>
      <c r="K50" t="s">
        <v>79</v>
      </c>
      <c r="L50" t="str">
        <f t="shared" si="1"/>
        <v>10.130.105.0</v>
      </c>
      <c r="M50" s="9" t="s">
        <v>77</v>
      </c>
      <c r="N50" t="str">
        <f>VLOOKUP(Subnets[[#This Row],[VNETID]],VNETS[#All],7, FALSE)</f>
        <v>mag_slg_managed_preprod</v>
      </c>
      <c r="O50">
        <f>VLOOKUP(Subnets[[#This Row],[VNETID]], VNETS[#All], 14, FALSE)</f>
        <v>10</v>
      </c>
      <c r="P50">
        <f>VLOOKUP(Subnets[[#This Row],[VNETID]], VNETS[#All], 15, FALSE)</f>
        <v>130</v>
      </c>
      <c r="Q50">
        <v>105</v>
      </c>
      <c r="R50">
        <v>0</v>
      </c>
      <c r="U50" s="53" t="str">
        <f>VLOOKUP(Subnets[[#This Row],[VNETID]],VNETS[#All],11, FALSE)</f>
        <v>PREPROD</v>
      </c>
      <c r="V50" s="53" t="str">
        <f>VLOOKUP(Subnets[[#This Row],[VNETID]],VNETS[#All],2, FALSE)</f>
        <v>sub02</v>
      </c>
    </row>
    <row r="51" spans="1:22" x14ac:dyDescent="0.45">
      <c r="A51" t="s">
        <v>445</v>
      </c>
      <c r="B51">
        <v>450</v>
      </c>
      <c r="C51" t="s">
        <v>314</v>
      </c>
      <c r="D51" t="str">
        <f>I51&amp;"_"&amp;Subnets[[#This Row],[SubNetNumber]]&amp;"_"&amp;Subnets[[#This Row],[Dept. (Computed)]]&amp;"_"&amp;E51&amp;"_"&amp;Subnets[[#This Row],[Location (Computed)]]</f>
        <v>DMZ_450_SLG_Dev_ia</v>
      </c>
      <c r="E51" t="s">
        <v>81</v>
      </c>
      <c r="F51" t="str">
        <f>VLOOKUP(Subnets[[#This Row],[VNETID]],VNETS[#All], 8, FALSE)</f>
        <v>SLG</v>
      </c>
      <c r="G51" t="str">
        <f>VLOOKUP(Subnets[[#This Row],[VNETID]],VNETS[#All], 9, FALSE)</f>
        <v>Managed</v>
      </c>
      <c r="H51" t="str">
        <f>VLOOKUP(Subnets[[#This Row],[VNETID]],VNETS[#All],13, FALSE)</f>
        <v>ia</v>
      </c>
      <c r="I51" t="s">
        <v>75</v>
      </c>
      <c r="K51" t="s">
        <v>90</v>
      </c>
      <c r="L51" t="str">
        <f t="shared" si="1"/>
        <v>10.130.106.0</v>
      </c>
      <c r="M51" s="9" t="s">
        <v>77</v>
      </c>
      <c r="N51" t="str">
        <f>VLOOKUP(Subnets[[#This Row],[VNETID]],VNETS[#All],7, FALSE)</f>
        <v>mag_slg_managed_preprod</v>
      </c>
      <c r="O51">
        <f>VLOOKUP(Subnets[[#This Row],[VNETID]], VNETS[#All], 14, FALSE)</f>
        <v>10</v>
      </c>
      <c r="P51">
        <f>VLOOKUP(Subnets[[#This Row],[VNETID]], VNETS[#All], 15, FALSE)</f>
        <v>130</v>
      </c>
      <c r="Q51">
        <v>106</v>
      </c>
      <c r="R51">
        <v>0</v>
      </c>
      <c r="U51" s="53" t="str">
        <f>VLOOKUP(Subnets[[#This Row],[VNETID]],VNETS[#All],11, FALSE)</f>
        <v>PREPROD</v>
      </c>
      <c r="V51" s="53" t="str">
        <f>VLOOKUP(Subnets[[#This Row],[VNETID]],VNETS[#All],2, FALSE)</f>
        <v>sub02</v>
      </c>
    </row>
    <row r="52" spans="1:22" x14ac:dyDescent="0.45">
      <c r="A52" t="s">
        <v>446</v>
      </c>
      <c r="B52">
        <v>470</v>
      </c>
      <c r="C52" t="s">
        <v>314</v>
      </c>
      <c r="D52" t="str">
        <f>I52&amp;"_"&amp;Subnets[[#This Row],[SubNetNumber]]&amp;"_"&amp;Subnets[[#This Row],[Dept. (Computed)]]&amp;"_"&amp;E52&amp;"_"&amp;Subnets[[#This Row],[Location (Computed)]]</f>
        <v>Future_470_SLG_Dev_ia</v>
      </c>
      <c r="E52" t="s">
        <v>81</v>
      </c>
      <c r="F52" t="str">
        <f>VLOOKUP(Subnets[[#This Row],[VNETID]],VNETS[#All], 8, FALSE)</f>
        <v>SLG</v>
      </c>
      <c r="G52" t="str">
        <f>VLOOKUP(Subnets[[#This Row],[VNETID]],VNETS[#All], 9, FALSE)</f>
        <v>Managed</v>
      </c>
      <c r="H52" t="str">
        <f>VLOOKUP(Subnets[[#This Row],[VNETID]],VNETS[#All],13, FALSE)</f>
        <v>ia</v>
      </c>
      <c r="I52" t="s">
        <v>299</v>
      </c>
      <c r="K52" t="s">
        <v>300</v>
      </c>
      <c r="L52" t="str">
        <f t="shared" si="1"/>
        <v>10.130.108.0</v>
      </c>
      <c r="M52" s="9" t="s">
        <v>488</v>
      </c>
      <c r="N52" t="str">
        <f>VLOOKUP(Subnets[[#This Row],[VNETID]],VNETS[#All],7, FALSE)</f>
        <v>mag_slg_managed_preprod</v>
      </c>
      <c r="O52">
        <f>VLOOKUP(Subnets[[#This Row],[VNETID]], VNETS[#All], 14, FALSE)</f>
        <v>10</v>
      </c>
      <c r="P52">
        <f>VLOOKUP(Subnets[[#This Row],[VNETID]], VNETS[#All], 15, FALSE)</f>
        <v>130</v>
      </c>
      <c r="Q52">
        <v>108</v>
      </c>
      <c r="R52">
        <v>0</v>
      </c>
      <c r="U52" s="53" t="str">
        <f>VLOOKUP(Subnets[[#This Row],[VNETID]],VNETS[#All],11, FALSE)</f>
        <v>PREPROD</v>
      </c>
      <c r="V52" s="53" t="str">
        <f>VLOOKUP(Subnets[[#This Row],[VNETID]],VNETS[#All],2, FALSE)</f>
        <v>sub02</v>
      </c>
    </row>
    <row r="53" spans="1:22" x14ac:dyDescent="0.45">
      <c r="A53" t="s">
        <v>447</v>
      </c>
      <c r="B53">
        <v>470</v>
      </c>
      <c r="C53" t="s">
        <v>314</v>
      </c>
      <c r="D53" t="str">
        <f>I53&amp;"_"&amp;Subnets[[#This Row],[SubNetNumber]]&amp;"_"&amp;Subnets[[#This Row],[Dept. (Computed)]]&amp;"_"&amp;E53&amp;"_"&amp;Subnets[[#This Row],[Location (Computed)]]</f>
        <v>Future_470_SLG_Dev_ia</v>
      </c>
      <c r="E53" t="s">
        <v>81</v>
      </c>
      <c r="F53" t="str">
        <f>VLOOKUP(Subnets[[#This Row],[VNETID]],VNETS[#All], 8, FALSE)</f>
        <v>SLG</v>
      </c>
      <c r="G53" t="str">
        <f>VLOOKUP(Subnets[[#This Row],[VNETID]],VNETS[#All], 9, FALSE)</f>
        <v>Managed</v>
      </c>
      <c r="H53" t="str">
        <f>VLOOKUP(Subnets[[#This Row],[VNETID]],VNETS[#All],13, FALSE)</f>
        <v>ia</v>
      </c>
      <c r="I53" t="s">
        <v>299</v>
      </c>
      <c r="K53" t="s">
        <v>300</v>
      </c>
      <c r="L53" t="str">
        <f t="shared" si="1"/>
        <v>10.130.110.0</v>
      </c>
      <c r="M53" s="9" t="s">
        <v>77</v>
      </c>
      <c r="N53" t="str">
        <f>VLOOKUP(Subnets[[#This Row],[VNETID]],VNETS[#All],7, FALSE)</f>
        <v>mag_slg_managed_preprod</v>
      </c>
      <c r="O53">
        <f>VLOOKUP(Subnets[[#This Row],[VNETID]], VNETS[#All], 14, FALSE)</f>
        <v>10</v>
      </c>
      <c r="P53">
        <f>VLOOKUP(Subnets[[#This Row],[VNETID]], VNETS[#All], 15, FALSE)</f>
        <v>130</v>
      </c>
      <c r="Q53">
        <v>110</v>
      </c>
      <c r="R53">
        <v>0</v>
      </c>
      <c r="U53" s="53" t="str">
        <f>VLOOKUP(Subnets[[#This Row],[VNETID]],VNETS[#All],11, FALSE)</f>
        <v>PREPROD</v>
      </c>
      <c r="V53" s="53" t="str">
        <f>VLOOKUP(Subnets[[#This Row],[VNETID]],VNETS[#All],2, FALSE)</f>
        <v>sub02</v>
      </c>
    </row>
    <row r="54" spans="1:22" x14ac:dyDescent="0.45">
      <c r="A54" t="s">
        <v>448</v>
      </c>
      <c r="B54">
        <v>499</v>
      </c>
      <c r="C54" t="s">
        <v>314</v>
      </c>
      <c r="D54" t="str">
        <f>I54&amp;"_"&amp;Subnets[[#This Row],[SubNetNumber]]&amp;"_"&amp;Subnets[[#This Row],[Dept. (Computed)]]&amp;"_"&amp;E54&amp;"_"&amp;Subnets[[#This Row],[Location (Computed)]]</f>
        <v>Gateway_499_SLG_PreProd_ia</v>
      </c>
      <c r="E54" t="s">
        <v>381</v>
      </c>
      <c r="F54" t="str">
        <f>VLOOKUP(Subnets[[#This Row],[VNETID]],VNETS[#All], 8, FALSE)</f>
        <v>SLG</v>
      </c>
      <c r="G54" t="str">
        <f>VLOOKUP(Subnets[[#This Row],[VNETID]],VNETS[#All], 9, FALSE)</f>
        <v>Managed</v>
      </c>
      <c r="H54" t="str">
        <f>VLOOKUP(Subnets[[#This Row],[VNETID]],VNETS[#All],13, FALSE)</f>
        <v>ia</v>
      </c>
      <c r="I54" t="s">
        <v>500</v>
      </c>
      <c r="K54" t="s">
        <v>553</v>
      </c>
      <c r="L54" t="str">
        <f t="shared" si="1"/>
        <v>10.130.111.248</v>
      </c>
      <c r="M54" s="9" t="s">
        <v>398</v>
      </c>
      <c r="N54" t="str">
        <f>VLOOKUP(Subnets[[#This Row],[VNETID]],VNETS[#All],7, FALSE)</f>
        <v>mag_slg_managed_preprod</v>
      </c>
      <c r="O54">
        <f>VLOOKUP(Subnets[[#This Row],[VNETID]], VNETS[#All], 14, FALSE)</f>
        <v>10</v>
      </c>
      <c r="P54">
        <f>VLOOKUP(Subnets[[#This Row],[VNETID]], VNETS[#All], 15, FALSE)</f>
        <v>130</v>
      </c>
      <c r="Q54">
        <v>111</v>
      </c>
      <c r="R54">
        <v>248</v>
      </c>
      <c r="S54" t="str">
        <f>O54&amp;"."&amp;P54&amp;"."&amp;Q54&amp;"."&amp;R54</f>
        <v>10.130.111.248</v>
      </c>
      <c r="T54" s="9" t="s">
        <v>398</v>
      </c>
      <c r="U54" s="53" t="str">
        <f>VLOOKUP(Subnets[[#This Row],[VNETID]],VNETS[#All],11, FALSE)</f>
        <v>PREPROD</v>
      </c>
      <c r="V54" s="53" t="str">
        <f>VLOOKUP(Subnets[[#This Row],[VNETID]],VNETS[#All],2, FALSE)</f>
        <v>sub02</v>
      </c>
    </row>
    <row r="55" spans="1:22" x14ac:dyDescent="0.45">
      <c r="A55" t="s">
        <v>449</v>
      </c>
      <c r="B55">
        <v>110</v>
      </c>
      <c r="C55" t="s">
        <v>310</v>
      </c>
      <c r="D55" t="str">
        <f>I55&amp;"_"&amp;Subnets[[#This Row],[SubNetNumber]]&amp;"_"&amp;Subnets[[#This Row],[Dept. (Computed)]]&amp;"_"&amp;E55&amp;"_"&amp;Subnets[[#This Row],[Location (Computed)]]</f>
        <v>Web_110_SLG_prod_va</v>
      </c>
      <c r="E55" t="s">
        <v>267</v>
      </c>
      <c r="F55" t="str">
        <f>VLOOKUP(Subnets[[#This Row],[VNETID]],VNETS[#All], 8, FALSE)</f>
        <v>SLG</v>
      </c>
      <c r="G55" t="str">
        <f>VLOOKUP(Subnets[[#This Row],[VNETID]],VNETS[#All], 9, FALSE)</f>
        <v>Managed</v>
      </c>
      <c r="H55" t="str">
        <f>VLOOKUP(Subnets[[#This Row],[VNETID]],VNETS[#All],13, FALSE)</f>
        <v>va</v>
      </c>
      <c r="I55" t="s">
        <v>72</v>
      </c>
      <c r="K55" t="s">
        <v>76</v>
      </c>
      <c r="L55" t="str">
        <f t="shared" si="1"/>
        <v>10.130.2.0</v>
      </c>
      <c r="M55" s="9" t="s">
        <v>77</v>
      </c>
      <c r="N55" t="str">
        <f>VLOOKUP(Subnets[[#This Row],[VNETID]],VNETS[#All],7, FALSE)</f>
        <v>mag_slg_managed_prod</v>
      </c>
      <c r="O55">
        <f>VLOOKUP(Subnets[[#This Row],[VNETID]], VNETS[#All], 14, FALSE)</f>
        <v>10</v>
      </c>
      <c r="P55">
        <f>VLOOKUP(Subnets[[#This Row],[VNETID]], VNETS[#All], 15, FALSE)</f>
        <v>130</v>
      </c>
      <c r="Q55">
        <v>2</v>
      </c>
      <c r="R55">
        <v>0</v>
      </c>
      <c r="S55" t="str">
        <f>O55&amp;"."&amp;P55&amp;"."&amp;Q55&amp;"."&amp;R55</f>
        <v>10.130.2.0</v>
      </c>
      <c r="T55" s="9" t="s">
        <v>382</v>
      </c>
      <c r="U55" s="53" t="str">
        <f>VLOOKUP(Subnets[[#This Row],[VNETID]],VNETS[#All],11, FALSE)</f>
        <v>PROD</v>
      </c>
      <c r="V55" s="53" t="str">
        <f>VLOOKUP(Subnets[[#This Row],[VNETID]],VNETS[#All],2, FALSE)</f>
        <v>sub03</v>
      </c>
    </row>
    <row r="56" spans="1:22" x14ac:dyDescent="0.45">
      <c r="A56" t="s">
        <v>450</v>
      </c>
      <c r="B56">
        <v>120</v>
      </c>
      <c r="C56" t="s">
        <v>310</v>
      </c>
      <c r="D56" t="str">
        <f>I56&amp;"_"&amp;Subnets[[#This Row],[SubNetNumber]]&amp;"_"&amp;Subnets[[#This Row],[Dept. (Computed)]]&amp;"_"&amp;E56&amp;"_"&amp;Subnets[[#This Row],[Location (Computed)]]</f>
        <v>App_120_SLG_prod_va</v>
      </c>
      <c r="E56" t="s">
        <v>267</v>
      </c>
      <c r="F56" t="str">
        <f>VLOOKUP(Subnets[[#This Row],[VNETID]],VNETS[#All], 8, FALSE)</f>
        <v>SLG</v>
      </c>
      <c r="G56" t="str">
        <f>VLOOKUP(Subnets[[#This Row],[VNETID]],VNETS[#All], 9, FALSE)</f>
        <v>Managed</v>
      </c>
      <c r="H56" t="str">
        <f>VLOOKUP(Subnets[[#This Row],[VNETID]],VNETS[#All],13, FALSE)</f>
        <v>va</v>
      </c>
      <c r="I56" t="s">
        <v>73</v>
      </c>
      <c r="J56">
        <v>2</v>
      </c>
      <c r="K56" t="s">
        <v>78</v>
      </c>
      <c r="L56" t="str">
        <f t="shared" si="1"/>
        <v>10.130.4.0</v>
      </c>
      <c r="M56" s="9" t="s">
        <v>77</v>
      </c>
      <c r="N56" t="str">
        <f>VLOOKUP(Subnets[[#This Row],[VNETID]],VNETS[#All],7, FALSE)</f>
        <v>mag_slg_managed_prod</v>
      </c>
      <c r="O56">
        <f>VLOOKUP(Subnets[[#This Row],[VNETID]], VNETS[#All], 14, FALSE)</f>
        <v>10</v>
      </c>
      <c r="P56">
        <f>VLOOKUP(Subnets[[#This Row],[VNETID]], VNETS[#All], 15, FALSE)</f>
        <v>130</v>
      </c>
      <c r="Q56">
        <v>4</v>
      </c>
      <c r="R56">
        <v>0</v>
      </c>
      <c r="U56" s="53" t="str">
        <f>VLOOKUP(Subnets[[#This Row],[VNETID]],VNETS[#All],11, FALSE)</f>
        <v>PROD</v>
      </c>
      <c r="V56" s="53" t="str">
        <f>VLOOKUP(Subnets[[#This Row],[VNETID]],VNETS[#All],2, FALSE)</f>
        <v>sub03</v>
      </c>
    </row>
    <row r="57" spans="1:22" x14ac:dyDescent="0.45">
      <c r="A57" t="s">
        <v>451</v>
      </c>
      <c r="B57">
        <v>130</v>
      </c>
      <c r="C57" t="s">
        <v>310</v>
      </c>
      <c r="D57" t="str">
        <f>I57&amp;"_"&amp;Subnets[[#This Row],[SubNetNumber]]&amp;"_"&amp;Subnets[[#This Row],[Dept. (Computed)]]&amp;"_"&amp;E57&amp;"_"&amp;Subnets[[#This Row],[Location (Computed)]]</f>
        <v>Database_130_SLG_prod_va</v>
      </c>
      <c r="E57" t="s">
        <v>267</v>
      </c>
      <c r="F57" t="str">
        <f>VLOOKUP(Subnets[[#This Row],[VNETID]],VNETS[#All], 8, FALSE)</f>
        <v>SLG</v>
      </c>
      <c r="G57" t="str">
        <f>VLOOKUP(Subnets[[#This Row],[VNETID]],VNETS[#All], 9, FALSE)</f>
        <v>Managed</v>
      </c>
      <c r="H57" t="str">
        <f>VLOOKUP(Subnets[[#This Row],[VNETID]],VNETS[#All],13, FALSE)</f>
        <v>va</v>
      </c>
      <c r="I57" t="s">
        <v>74</v>
      </c>
      <c r="J57">
        <v>1</v>
      </c>
      <c r="K57" t="s">
        <v>79</v>
      </c>
      <c r="L57" t="str">
        <f t="shared" si="1"/>
        <v>10.130.6.0</v>
      </c>
      <c r="M57" s="9" t="s">
        <v>77</v>
      </c>
      <c r="N57" t="str">
        <f>VLOOKUP(Subnets[[#This Row],[VNETID]],VNETS[#All],7, FALSE)</f>
        <v>mag_slg_managed_prod</v>
      </c>
      <c r="O57">
        <f>VLOOKUP(Subnets[[#This Row],[VNETID]], VNETS[#All], 14, FALSE)</f>
        <v>10</v>
      </c>
      <c r="P57">
        <f>VLOOKUP(Subnets[[#This Row],[VNETID]], VNETS[#All], 15, FALSE)</f>
        <v>130</v>
      </c>
      <c r="Q57">
        <v>6</v>
      </c>
      <c r="R57">
        <v>0</v>
      </c>
      <c r="U57" s="53" t="str">
        <f>VLOOKUP(Subnets[[#This Row],[VNETID]],VNETS[#All],11, FALSE)</f>
        <v>PROD</v>
      </c>
      <c r="V57" s="53" t="str">
        <f>VLOOKUP(Subnets[[#This Row],[VNETID]],VNETS[#All],2, FALSE)</f>
        <v>sub03</v>
      </c>
    </row>
    <row r="58" spans="1:22" x14ac:dyDescent="0.45">
      <c r="A58" t="s">
        <v>452</v>
      </c>
      <c r="B58">
        <v>150</v>
      </c>
      <c r="C58" t="s">
        <v>310</v>
      </c>
      <c r="D58" t="str">
        <f>I58&amp;"_"&amp;Subnets[[#This Row],[SubNetNumber]]&amp;"_"&amp;Subnets[[#This Row],[Dept. (Computed)]]&amp;"_"&amp;E58&amp;"_"&amp;Subnets[[#This Row],[Location (Computed)]]</f>
        <v>DMZ_150_SLG_prod_va</v>
      </c>
      <c r="E58" t="s">
        <v>267</v>
      </c>
      <c r="F58" t="str">
        <f>VLOOKUP(Subnets[[#This Row],[VNETID]],VNETS[#All], 8, FALSE)</f>
        <v>SLG</v>
      </c>
      <c r="G58" t="str">
        <f>VLOOKUP(Subnets[[#This Row],[VNETID]],VNETS[#All], 9, FALSE)</f>
        <v>Managed</v>
      </c>
      <c r="H58" t="str">
        <f>VLOOKUP(Subnets[[#This Row],[VNETID]],VNETS[#All],13, FALSE)</f>
        <v>va</v>
      </c>
      <c r="I58" t="s">
        <v>75</v>
      </c>
      <c r="K58" t="s">
        <v>90</v>
      </c>
      <c r="L58" t="str">
        <f t="shared" si="1"/>
        <v>10.130.8.0</v>
      </c>
      <c r="M58" s="9" t="s">
        <v>77</v>
      </c>
      <c r="N58" t="str">
        <f>VLOOKUP(Subnets[[#This Row],[VNETID]],VNETS[#All],7, FALSE)</f>
        <v>mag_slg_managed_prod</v>
      </c>
      <c r="O58">
        <f>VLOOKUP(Subnets[[#This Row],[VNETID]], VNETS[#All], 14, FALSE)</f>
        <v>10</v>
      </c>
      <c r="P58">
        <f>VLOOKUP(Subnets[[#This Row],[VNETID]], VNETS[#All], 15, FALSE)</f>
        <v>130</v>
      </c>
      <c r="Q58">
        <v>8</v>
      </c>
      <c r="R58">
        <v>0</v>
      </c>
      <c r="U58" s="53" t="str">
        <f>VLOOKUP(Subnets[[#This Row],[VNETID]],VNETS[#All],11, FALSE)</f>
        <v>PROD</v>
      </c>
      <c r="V58" s="53" t="str">
        <f>VLOOKUP(Subnets[[#This Row],[VNETID]],VNETS[#All],2, FALSE)</f>
        <v>sub03</v>
      </c>
    </row>
    <row r="59" spans="1:22" x14ac:dyDescent="0.45">
      <c r="A59" t="s">
        <v>453</v>
      </c>
      <c r="B59">
        <v>160</v>
      </c>
      <c r="C59" t="s">
        <v>310</v>
      </c>
      <c r="D59" t="str">
        <f>I59&amp;"_"&amp;Subnets[[#This Row],[SubNetNumber]]&amp;"_"&amp;Subnets[[#This Row],[Dept. (Computed)]]&amp;"_"&amp;E59&amp;"_"&amp;Subnets[[#This Row],[Location (Computed)]]</f>
        <v>User_Tier0_160_SLG_prod_va</v>
      </c>
      <c r="E59" t="s">
        <v>267</v>
      </c>
      <c r="F59" t="str">
        <f>VLOOKUP(Subnets[[#This Row],[VNETID]],VNETS[#All], 8, FALSE)</f>
        <v>SLG</v>
      </c>
      <c r="G59" t="str">
        <f>VLOOKUP(Subnets[[#This Row],[VNETID]],VNETS[#All], 9, FALSE)</f>
        <v>Managed</v>
      </c>
      <c r="H59" t="str">
        <f>VLOOKUP(Subnets[[#This Row],[VNETID]],VNETS[#All],13, FALSE)</f>
        <v>va</v>
      </c>
      <c r="I59" t="s">
        <v>982</v>
      </c>
      <c r="K59" t="s">
        <v>985</v>
      </c>
      <c r="L59" t="str">
        <f t="shared" si="1"/>
        <v>10.130.10.0</v>
      </c>
      <c r="M59" s="9" t="s">
        <v>389</v>
      </c>
      <c r="N59" t="str">
        <f>VLOOKUP(Subnets[[#This Row],[VNETID]],VNETS[#All],7, FALSE)</f>
        <v>mag_slg_managed_prod</v>
      </c>
      <c r="O59">
        <f>VLOOKUP(Subnets[[#This Row],[VNETID]], VNETS[#All], 14, FALSE)</f>
        <v>10</v>
      </c>
      <c r="P59">
        <f>VLOOKUP(Subnets[[#This Row],[VNETID]], VNETS[#All], 15, FALSE)</f>
        <v>130</v>
      </c>
      <c r="Q59">
        <v>10</v>
      </c>
      <c r="R59">
        <v>0</v>
      </c>
      <c r="U59" s="53" t="str">
        <f>VLOOKUP(Subnets[[#This Row],[VNETID]],VNETS[#All],11, FALSE)</f>
        <v>PROD</v>
      </c>
      <c r="V59" s="53" t="str">
        <f>VLOOKUP(Subnets[[#This Row],[VNETID]],VNETS[#All],2, FALSE)</f>
        <v>sub03</v>
      </c>
    </row>
    <row r="60" spans="1:22" x14ac:dyDescent="0.45">
      <c r="A60" t="s">
        <v>454</v>
      </c>
      <c r="B60">
        <v>161</v>
      </c>
      <c r="C60" t="s">
        <v>310</v>
      </c>
      <c r="D60" t="str">
        <f>I60&amp;"_"&amp;Subnets[[#This Row],[SubNetNumber]]&amp;"_"&amp;Subnets[[#This Row],[Dept. (Computed)]]&amp;"_"&amp;E60&amp;"_"&amp;Subnets[[#This Row],[Location (Computed)]]</f>
        <v>Users_Tier1_161_SLG_prod_va</v>
      </c>
      <c r="E60" t="s">
        <v>267</v>
      </c>
      <c r="F60" t="str">
        <f>VLOOKUP(Subnets[[#This Row],[VNETID]],VNETS[#All], 8, FALSE)</f>
        <v>SLG</v>
      </c>
      <c r="G60" t="str">
        <f>VLOOKUP(Subnets[[#This Row],[VNETID]],VNETS[#All], 9, FALSE)</f>
        <v>Managed</v>
      </c>
      <c r="H60" t="str">
        <f>VLOOKUP(Subnets[[#This Row],[VNETID]],VNETS[#All],13, FALSE)</f>
        <v>va</v>
      </c>
      <c r="I60" t="s">
        <v>980</v>
      </c>
      <c r="K60" t="s">
        <v>983</v>
      </c>
      <c r="L60" t="str">
        <f t="shared" si="1"/>
        <v>10.130.10.128</v>
      </c>
      <c r="M60" s="9" t="s">
        <v>389</v>
      </c>
      <c r="N60" t="str">
        <f>VLOOKUP(Subnets[[#This Row],[VNETID]],VNETS[#All],7, FALSE)</f>
        <v>mag_slg_managed_prod</v>
      </c>
      <c r="O60">
        <f>VLOOKUP(Subnets[[#This Row],[VNETID]], VNETS[#All], 14, FALSE)</f>
        <v>10</v>
      </c>
      <c r="P60">
        <f>VLOOKUP(Subnets[[#This Row],[VNETID]], VNETS[#All], 15, FALSE)</f>
        <v>130</v>
      </c>
      <c r="Q60">
        <v>10</v>
      </c>
      <c r="R60">
        <v>128</v>
      </c>
      <c r="U60" s="53" t="str">
        <f>VLOOKUP(Subnets[[#This Row],[VNETID]],VNETS[#All],11, FALSE)</f>
        <v>PROD</v>
      </c>
      <c r="V60" s="53" t="str">
        <f>VLOOKUP(Subnets[[#This Row],[VNETID]],VNETS[#All],2, FALSE)</f>
        <v>sub03</v>
      </c>
    </row>
    <row r="61" spans="1:22" x14ac:dyDescent="0.45">
      <c r="A61" t="s">
        <v>455</v>
      </c>
      <c r="B61">
        <v>162</v>
      </c>
      <c r="C61" t="s">
        <v>310</v>
      </c>
      <c r="D61" t="str">
        <f>I61&amp;"_"&amp;Subnets[[#This Row],[SubNetNumber]]&amp;"_"&amp;Subnets[[#This Row],[Dept. (Computed)]]&amp;"_"&amp;E61&amp;"_"&amp;Subnets[[#This Row],[Location (Computed)]]</f>
        <v>Users_Tier2_162_SLG_prod_va</v>
      </c>
      <c r="E61" t="s">
        <v>267</v>
      </c>
      <c r="F61" t="str">
        <f>VLOOKUP(Subnets[[#This Row],[VNETID]],VNETS[#All], 8, FALSE)</f>
        <v>SLG</v>
      </c>
      <c r="G61" t="str">
        <f>VLOOKUP(Subnets[[#This Row],[VNETID]],VNETS[#All], 9, FALSE)</f>
        <v>Managed</v>
      </c>
      <c r="H61" t="str">
        <f>VLOOKUP(Subnets[[#This Row],[VNETID]],VNETS[#All],13, FALSE)</f>
        <v>va</v>
      </c>
      <c r="I61" t="s">
        <v>981</v>
      </c>
      <c r="K61" t="s">
        <v>984</v>
      </c>
      <c r="L61" t="str">
        <f t="shared" si="1"/>
        <v>10.130.11.0</v>
      </c>
      <c r="M61" s="9" t="s">
        <v>389</v>
      </c>
      <c r="N61" t="str">
        <f>VLOOKUP(Subnets[[#This Row],[VNETID]],VNETS[#All],7, FALSE)</f>
        <v>mag_slg_managed_prod</v>
      </c>
      <c r="O61">
        <f>VLOOKUP(Subnets[[#This Row],[VNETID]], VNETS[#All], 14, FALSE)</f>
        <v>10</v>
      </c>
      <c r="P61">
        <f>VLOOKUP(Subnets[[#This Row],[VNETID]], VNETS[#All], 15, FALSE)</f>
        <v>130</v>
      </c>
      <c r="Q61">
        <v>11</v>
      </c>
      <c r="R61">
        <v>0</v>
      </c>
      <c r="U61" s="53" t="str">
        <f>VLOOKUP(Subnets[[#This Row],[VNETID]],VNETS[#All],11, FALSE)</f>
        <v>PROD</v>
      </c>
      <c r="V61" s="53" t="str">
        <f>VLOOKUP(Subnets[[#This Row],[VNETID]],VNETS[#All],2, FALSE)</f>
        <v>sub03</v>
      </c>
    </row>
    <row r="62" spans="1:22" x14ac:dyDescent="0.45">
      <c r="A62" t="s">
        <v>1021</v>
      </c>
      <c r="B62">
        <v>163</v>
      </c>
      <c r="C62" t="s">
        <v>310</v>
      </c>
      <c r="D62" t="str">
        <f>I62&amp;"_"&amp;Subnets[[#This Row],[SubNetNumber]]&amp;"_"&amp;Subnets[[#This Row],[Dept. (Computed)]]&amp;"_"&amp;E62&amp;"_"&amp;Subnets[[#This Row],[Location (Computed)]]</f>
        <v>Deprecated_163_SLG_prod_va</v>
      </c>
      <c r="E62" t="s">
        <v>267</v>
      </c>
      <c r="F62" t="str">
        <f>VLOOKUP(Subnets[[#This Row],[VNETID]],VNETS[#All], 8, FALSE)</f>
        <v>SLG</v>
      </c>
      <c r="G62" t="str">
        <f>VLOOKUP(Subnets[[#This Row],[VNETID]],VNETS[#All], 9, FALSE)</f>
        <v>Managed</v>
      </c>
      <c r="H62" t="str">
        <f>VLOOKUP(Subnets[[#This Row],[VNETID]],VNETS[#All],13, FALSE)</f>
        <v>va</v>
      </c>
      <c r="I62" t="s">
        <v>989</v>
      </c>
      <c r="K62" t="s">
        <v>986</v>
      </c>
      <c r="L62" t="str">
        <f t="shared" si="1"/>
        <v>10.130.11.128</v>
      </c>
      <c r="M62" s="9" t="s">
        <v>389</v>
      </c>
      <c r="N62" t="str">
        <f>VLOOKUP(Subnets[[#This Row],[VNETID]],VNETS[#All],7, FALSE)</f>
        <v>mag_slg_managed_prod</v>
      </c>
      <c r="O62">
        <f>VLOOKUP(Subnets[[#This Row],[VNETID]], VNETS[#All], 14, FALSE)</f>
        <v>10</v>
      </c>
      <c r="P62">
        <f>VLOOKUP(Subnets[[#This Row],[VNETID]], VNETS[#All], 15, FALSE)</f>
        <v>130</v>
      </c>
      <c r="Q62">
        <v>11</v>
      </c>
      <c r="R62">
        <v>128</v>
      </c>
      <c r="U62" s="53" t="str">
        <f>VLOOKUP(Subnets[[#This Row],[VNETID]],VNETS[#All],11, FALSE)</f>
        <v>PROD</v>
      </c>
      <c r="V62" s="53" t="str">
        <f>VLOOKUP(Subnets[[#This Row],[VNETID]],VNETS[#All],2, FALSE)</f>
        <v>sub03</v>
      </c>
    </row>
    <row r="63" spans="1:22" x14ac:dyDescent="0.45">
      <c r="A63" t="s">
        <v>1022</v>
      </c>
      <c r="B63">
        <v>164</v>
      </c>
      <c r="C63" t="s">
        <v>310</v>
      </c>
      <c r="D63" t="str">
        <f>I63&amp;"_"&amp;Subnets[[#This Row],[SubNetNumber]]&amp;"_"&amp;Subnets[[#This Row],[Dept. (Computed)]]&amp;"_"&amp;E63&amp;"_"&amp;Subnets[[#This Row],[Location (Computed)]]</f>
        <v>Deprecated_164_SLG_prod_va</v>
      </c>
      <c r="E63" t="s">
        <v>267</v>
      </c>
      <c r="F63" t="str">
        <f>VLOOKUP(Subnets[[#This Row],[VNETID]],VNETS[#All], 8, FALSE)</f>
        <v>SLG</v>
      </c>
      <c r="G63" t="str">
        <f>VLOOKUP(Subnets[[#This Row],[VNETID]],VNETS[#All], 9, FALSE)</f>
        <v>Managed</v>
      </c>
      <c r="H63" t="str">
        <f>VLOOKUP(Subnets[[#This Row],[VNETID]],VNETS[#All],13, FALSE)</f>
        <v>va</v>
      </c>
      <c r="I63" t="s">
        <v>989</v>
      </c>
      <c r="K63" t="s">
        <v>987</v>
      </c>
      <c r="L63" t="str">
        <f t="shared" si="1"/>
        <v>10.130.12.0</v>
      </c>
      <c r="M63" s="9" t="s">
        <v>389</v>
      </c>
      <c r="N63" t="str">
        <f>VLOOKUP(Subnets[[#This Row],[VNETID]],VNETS[#All],7, FALSE)</f>
        <v>mag_slg_managed_prod</v>
      </c>
      <c r="O63">
        <f>VLOOKUP(Subnets[[#This Row],[VNETID]], VNETS[#All], 14, FALSE)</f>
        <v>10</v>
      </c>
      <c r="P63">
        <f>VLOOKUP(Subnets[[#This Row],[VNETID]], VNETS[#All], 15, FALSE)</f>
        <v>130</v>
      </c>
      <c r="Q63">
        <v>12</v>
      </c>
      <c r="R63">
        <v>0</v>
      </c>
      <c r="U63" s="53" t="str">
        <f>VLOOKUP(Subnets[[#This Row],[VNETID]],VNETS[#All],11, FALSE)</f>
        <v>PROD</v>
      </c>
      <c r="V63" s="53" t="str">
        <f>VLOOKUP(Subnets[[#This Row],[VNETID]],VNETS[#All],2, FALSE)</f>
        <v>sub03</v>
      </c>
    </row>
    <row r="64" spans="1:22" x14ac:dyDescent="0.45">
      <c r="A64" t="s">
        <v>456</v>
      </c>
      <c r="B64">
        <v>170</v>
      </c>
      <c r="C64" t="s">
        <v>310</v>
      </c>
      <c r="D64" t="str">
        <f>I64&amp;"_"&amp;Subnets[[#This Row],[SubNetNumber]]&amp;"_"&amp;Subnets[[#This Row],[Dept. (Computed)]]&amp;"_"&amp;E64&amp;"_"&amp;Subnets[[#This Row],[Location (Computed)]]</f>
        <v>Future_170_SLG_prod_va</v>
      </c>
      <c r="E64" t="s">
        <v>267</v>
      </c>
      <c r="F64" t="str">
        <f>VLOOKUP(Subnets[[#This Row],[VNETID]],VNETS[#All], 8, FALSE)</f>
        <v>SLG</v>
      </c>
      <c r="G64" t="str">
        <f>VLOOKUP(Subnets[[#This Row],[VNETID]],VNETS[#All], 9, FALSE)</f>
        <v>Managed</v>
      </c>
      <c r="H64" t="str">
        <f>VLOOKUP(Subnets[[#This Row],[VNETID]],VNETS[#All],13, FALSE)</f>
        <v>va</v>
      </c>
      <c r="I64" t="s">
        <v>299</v>
      </c>
      <c r="K64" t="s">
        <v>300</v>
      </c>
      <c r="L64" t="str">
        <f t="shared" si="1"/>
        <v>10.130.13.0</v>
      </c>
      <c r="M64" s="9" t="s">
        <v>77</v>
      </c>
      <c r="N64" t="str">
        <f>VLOOKUP(Subnets[[#This Row],[VNETID]],VNETS[#All],7, FALSE)</f>
        <v>mag_slg_managed_prod</v>
      </c>
      <c r="O64">
        <f>VLOOKUP(Subnets[[#This Row],[VNETID]], VNETS[#All], 14, FALSE)</f>
        <v>10</v>
      </c>
      <c r="P64">
        <f>VLOOKUP(Subnets[[#This Row],[VNETID]], VNETS[#All], 15, FALSE)</f>
        <v>130</v>
      </c>
      <c r="Q64">
        <v>13</v>
      </c>
      <c r="R64">
        <v>0</v>
      </c>
      <c r="U64" s="53" t="str">
        <f>VLOOKUP(Subnets[[#This Row],[VNETID]],VNETS[#All],11, FALSE)</f>
        <v>PROD</v>
      </c>
      <c r="V64" s="53" t="str">
        <f>VLOOKUP(Subnets[[#This Row],[VNETID]],VNETS[#All],2, FALSE)</f>
        <v>sub03</v>
      </c>
    </row>
    <row r="65" spans="1:22" x14ac:dyDescent="0.45">
      <c r="A65" t="s">
        <v>457</v>
      </c>
      <c r="B65">
        <v>170</v>
      </c>
      <c r="C65" t="s">
        <v>310</v>
      </c>
      <c r="D65" t="str">
        <f>I65&amp;"_"&amp;Subnets[[#This Row],[SubNetNumber]]&amp;"_"&amp;Subnets[[#This Row],[Dept. (Computed)]]&amp;"_"&amp;E65&amp;"_"&amp;Subnets[[#This Row],[Location (Computed)]]</f>
        <v>Future_170_SLG_prod_va</v>
      </c>
      <c r="E65" t="s">
        <v>267</v>
      </c>
      <c r="F65" t="str">
        <f>VLOOKUP(Subnets[[#This Row],[VNETID]],VNETS[#All], 8, FALSE)</f>
        <v>SLG</v>
      </c>
      <c r="G65" t="str">
        <f>VLOOKUP(Subnets[[#This Row],[VNETID]],VNETS[#All], 9, FALSE)</f>
        <v>Managed</v>
      </c>
      <c r="H65" t="str">
        <f>VLOOKUP(Subnets[[#This Row],[VNETID]],VNETS[#All],13, FALSE)</f>
        <v>va</v>
      </c>
      <c r="I65" t="s">
        <v>299</v>
      </c>
      <c r="K65" t="s">
        <v>300</v>
      </c>
      <c r="L65" t="str">
        <f t="shared" si="1"/>
        <v>10.130.14.0</v>
      </c>
      <c r="M65" s="9" t="s">
        <v>77</v>
      </c>
      <c r="N65" t="str">
        <f>VLOOKUP(Subnets[[#This Row],[VNETID]],VNETS[#All],7, FALSE)</f>
        <v>mag_slg_managed_prod</v>
      </c>
      <c r="O65">
        <f>VLOOKUP(Subnets[[#This Row],[VNETID]], VNETS[#All], 14, FALSE)</f>
        <v>10</v>
      </c>
      <c r="P65">
        <f>VLOOKUP(Subnets[[#This Row],[VNETID]], VNETS[#All], 15, FALSE)</f>
        <v>130</v>
      </c>
      <c r="Q65">
        <v>14</v>
      </c>
      <c r="R65">
        <v>0</v>
      </c>
      <c r="U65" s="53" t="str">
        <f>VLOOKUP(Subnets[[#This Row],[VNETID]],VNETS[#All],11, FALSE)</f>
        <v>PROD</v>
      </c>
      <c r="V65" s="53" t="str">
        <f>VLOOKUP(Subnets[[#This Row],[VNETID]],VNETS[#All],2, FALSE)</f>
        <v>sub03</v>
      </c>
    </row>
    <row r="66" spans="1:22" x14ac:dyDescent="0.45">
      <c r="A66" t="s">
        <v>458</v>
      </c>
      <c r="B66">
        <v>199</v>
      </c>
      <c r="C66" t="s">
        <v>310</v>
      </c>
      <c r="D66" t="str">
        <f>I66&amp;"_"&amp;Subnets[[#This Row],[SubNetNumber]]&amp;"_"&amp;Subnets[[#This Row],[Dept. (Computed)]]&amp;"_"&amp;E66&amp;"_"&amp;Subnets[[#This Row],[Location (Computed)]]</f>
        <v>Gateway_199_SLG_prod_va</v>
      </c>
      <c r="E66" t="s">
        <v>267</v>
      </c>
      <c r="F66" t="str">
        <f>VLOOKUP(Subnets[[#This Row],[VNETID]],VNETS[#All], 8, FALSE)</f>
        <v>SLG</v>
      </c>
      <c r="G66" t="str">
        <f>VLOOKUP(Subnets[[#This Row],[VNETID]],VNETS[#All], 9, FALSE)</f>
        <v>Managed</v>
      </c>
      <c r="H66" t="str">
        <f>VLOOKUP(Subnets[[#This Row],[VNETID]],VNETS[#All],13, FALSE)</f>
        <v>va</v>
      </c>
      <c r="I66" t="s">
        <v>500</v>
      </c>
      <c r="K66" t="s">
        <v>553</v>
      </c>
      <c r="L66" t="str">
        <f t="shared" si="1"/>
        <v>10.130.15.248</v>
      </c>
      <c r="M66" s="9" t="s">
        <v>398</v>
      </c>
      <c r="N66" t="str">
        <f>VLOOKUP(Subnets[[#This Row],[VNETID]],VNETS[#All],7, FALSE)</f>
        <v>mag_slg_managed_prod</v>
      </c>
      <c r="O66">
        <f>VLOOKUP(Subnets[[#This Row],[VNETID]], VNETS[#All], 14, FALSE)</f>
        <v>10</v>
      </c>
      <c r="P66">
        <f>VLOOKUP(Subnets[[#This Row],[VNETID]], VNETS[#All], 15, FALSE)</f>
        <v>130</v>
      </c>
      <c r="Q66">
        <v>15</v>
      </c>
      <c r="R66">
        <v>248</v>
      </c>
      <c r="S66" t="str">
        <f>O66&amp;"."&amp;P66&amp;"."&amp;Q66&amp;"."&amp;R66</f>
        <v>10.130.15.248</v>
      </c>
      <c r="T66" s="9" t="s">
        <v>398</v>
      </c>
      <c r="U66" s="53" t="str">
        <f>VLOOKUP(Subnets[[#This Row],[VNETID]],VNETS[#All],11, FALSE)</f>
        <v>PROD</v>
      </c>
      <c r="V66" s="53" t="str">
        <f>VLOOKUP(Subnets[[#This Row],[VNETID]],VNETS[#All],2, FALSE)</f>
        <v>sub03</v>
      </c>
    </row>
    <row r="67" spans="1:22" x14ac:dyDescent="0.45">
      <c r="A67" t="s">
        <v>459</v>
      </c>
      <c r="B67">
        <v>110</v>
      </c>
      <c r="C67" t="s">
        <v>315</v>
      </c>
      <c r="D67" t="str">
        <f>I67&amp;"_"&amp;Subnets[[#This Row],[SubNetNumber]]&amp;"_"&amp;Subnets[[#This Row],[Dept. (Computed)]]&amp;"_"&amp;E67&amp;"_"&amp;Subnets[[#This Row],[Location (Computed)]]</f>
        <v>Web_110_SLG_prod_ia</v>
      </c>
      <c r="E67" t="s">
        <v>267</v>
      </c>
      <c r="F67" t="str">
        <f>VLOOKUP(Subnets[[#This Row],[VNETID]],VNETS[#All], 8, FALSE)</f>
        <v>SLG</v>
      </c>
      <c r="G67" t="str">
        <f>VLOOKUP(Subnets[[#This Row],[VNETID]],VNETS[#All], 9, FALSE)</f>
        <v>Managed</v>
      </c>
      <c r="H67" t="str">
        <f>VLOOKUP(Subnets[[#This Row],[VNETID]],VNETS[#All],13, FALSE)</f>
        <v>ia</v>
      </c>
      <c r="I67" t="s">
        <v>72</v>
      </c>
      <c r="K67" t="s">
        <v>76</v>
      </c>
      <c r="L67" t="str">
        <f t="shared" si="1"/>
        <v>10.130.64.0</v>
      </c>
      <c r="M67" s="9" t="s">
        <v>77</v>
      </c>
      <c r="N67" t="str">
        <f>VLOOKUP(Subnets[[#This Row],[VNETID]],VNETS[#All],7, FALSE)</f>
        <v>mag_slg_managed_prod</v>
      </c>
      <c r="O67">
        <f>VLOOKUP(Subnets[[#This Row],[VNETID]], VNETS[#All], 14, FALSE)</f>
        <v>10</v>
      </c>
      <c r="P67">
        <f>VLOOKUP(Subnets[[#This Row],[VNETID]], VNETS[#All], 15, FALSE)</f>
        <v>130</v>
      </c>
      <c r="Q67">
        <v>64</v>
      </c>
      <c r="R67">
        <v>0</v>
      </c>
      <c r="S67" t="str">
        <f>O67&amp;"."&amp;P67&amp;"."&amp;Q67&amp;"."&amp;R67</f>
        <v>10.130.64.0</v>
      </c>
      <c r="T67" s="9" t="s">
        <v>382</v>
      </c>
      <c r="U67" s="53" t="str">
        <f>VLOOKUP(Subnets[[#This Row],[VNETID]],VNETS[#All],11, FALSE)</f>
        <v>PROD</v>
      </c>
      <c r="V67" s="53" t="str">
        <f>VLOOKUP(Subnets[[#This Row],[VNETID]],VNETS[#All],2, FALSE)</f>
        <v>sub03</v>
      </c>
    </row>
    <row r="68" spans="1:22" x14ac:dyDescent="0.45">
      <c r="A68" t="s">
        <v>460</v>
      </c>
      <c r="B68">
        <v>120</v>
      </c>
      <c r="C68" t="s">
        <v>315</v>
      </c>
      <c r="D68" t="str">
        <f>I68&amp;"_"&amp;Subnets[[#This Row],[SubNetNumber]]&amp;"_"&amp;Subnets[[#This Row],[Dept. (Computed)]]&amp;"_"&amp;E68&amp;"_"&amp;Subnets[[#This Row],[Location (Computed)]]</f>
        <v>App_120_SLG_prod_ia</v>
      </c>
      <c r="E68" t="s">
        <v>267</v>
      </c>
      <c r="F68" t="str">
        <f>VLOOKUP(Subnets[[#This Row],[VNETID]],VNETS[#All], 8, FALSE)</f>
        <v>SLG</v>
      </c>
      <c r="G68" t="str">
        <f>VLOOKUP(Subnets[[#This Row],[VNETID]],VNETS[#All], 9, FALSE)</f>
        <v>Managed</v>
      </c>
      <c r="H68" t="str">
        <f>VLOOKUP(Subnets[[#This Row],[VNETID]],VNETS[#All],13, FALSE)</f>
        <v>ia</v>
      </c>
      <c r="I68" t="s">
        <v>73</v>
      </c>
      <c r="J68">
        <v>2</v>
      </c>
      <c r="K68" t="s">
        <v>78</v>
      </c>
      <c r="L68" t="str">
        <f t="shared" ref="L68:L131" si="2">O68&amp;"."&amp;P68&amp;"."&amp;Q68&amp;"."&amp;R68</f>
        <v>10.130.66.0</v>
      </c>
      <c r="M68" s="9" t="s">
        <v>77</v>
      </c>
      <c r="N68" t="str">
        <f>VLOOKUP(Subnets[[#This Row],[VNETID]],VNETS[#All],7, FALSE)</f>
        <v>mag_slg_managed_prod</v>
      </c>
      <c r="O68">
        <f>VLOOKUP(Subnets[[#This Row],[VNETID]], VNETS[#All], 14, FALSE)</f>
        <v>10</v>
      </c>
      <c r="P68">
        <f>VLOOKUP(Subnets[[#This Row],[VNETID]], VNETS[#All], 15, FALSE)</f>
        <v>130</v>
      </c>
      <c r="Q68">
        <v>66</v>
      </c>
      <c r="R68">
        <v>0</v>
      </c>
      <c r="U68" s="53" t="str">
        <f>VLOOKUP(Subnets[[#This Row],[VNETID]],VNETS[#All],11, FALSE)</f>
        <v>PROD</v>
      </c>
      <c r="V68" s="53" t="str">
        <f>VLOOKUP(Subnets[[#This Row],[VNETID]],VNETS[#All],2, FALSE)</f>
        <v>sub03</v>
      </c>
    </row>
    <row r="69" spans="1:22" x14ac:dyDescent="0.45">
      <c r="A69" t="s">
        <v>461</v>
      </c>
      <c r="B69">
        <v>130</v>
      </c>
      <c r="C69" t="s">
        <v>315</v>
      </c>
      <c r="D69" t="str">
        <f>I69&amp;"_"&amp;Subnets[[#This Row],[SubNetNumber]]&amp;"_"&amp;Subnets[[#This Row],[Dept. (Computed)]]&amp;"_"&amp;E69&amp;"_"&amp;Subnets[[#This Row],[Location (Computed)]]</f>
        <v>Database_130_SLG_prod_ia</v>
      </c>
      <c r="E69" t="s">
        <v>267</v>
      </c>
      <c r="F69" t="str">
        <f>VLOOKUP(Subnets[[#This Row],[VNETID]],VNETS[#All], 8, FALSE)</f>
        <v>SLG</v>
      </c>
      <c r="G69" t="str">
        <f>VLOOKUP(Subnets[[#This Row],[VNETID]],VNETS[#All], 9, FALSE)</f>
        <v>Managed</v>
      </c>
      <c r="H69" t="str">
        <f>VLOOKUP(Subnets[[#This Row],[VNETID]],VNETS[#All],13, FALSE)</f>
        <v>ia</v>
      </c>
      <c r="I69" t="s">
        <v>74</v>
      </c>
      <c r="J69">
        <v>1</v>
      </c>
      <c r="K69" t="s">
        <v>79</v>
      </c>
      <c r="L69" t="str">
        <f t="shared" si="2"/>
        <v>10.130.68.0</v>
      </c>
      <c r="M69" s="9" t="s">
        <v>77</v>
      </c>
      <c r="N69" t="str">
        <f>VLOOKUP(Subnets[[#This Row],[VNETID]],VNETS[#All],7, FALSE)</f>
        <v>mag_slg_managed_prod</v>
      </c>
      <c r="O69">
        <f>VLOOKUP(Subnets[[#This Row],[VNETID]], VNETS[#All], 14, FALSE)</f>
        <v>10</v>
      </c>
      <c r="P69">
        <f>VLOOKUP(Subnets[[#This Row],[VNETID]], VNETS[#All], 15, FALSE)</f>
        <v>130</v>
      </c>
      <c r="Q69">
        <v>68</v>
      </c>
      <c r="R69">
        <v>0</v>
      </c>
      <c r="U69" s="53" t="str">
        <f>VLOOKUP(Subnets[[#This Row],[VNETID]],VNETS[#All],11, FALSE)</f>
        <v>PROD</v>
      </c>
      <c r="V69" s="53" t="str">
        <f>VLOOKUP(Subnets[[#This Row],[VNETID]],VNETS[#All],2, FALSE)</f>
        <v>sub03</v>
      </c>
    </row>
    <row r="70" spans="1:22" x14ac:dyDescent="0.45">
      <c r="A70" t="s">
        <v>462</v>
      </c>
      <c r="B70">
        <v>150</v>
      </c>
      <c r="C70" t="s">
        <v>315</v>
      </c>
      <c r="D70" t="str">
        <f>I70&amp;"_"&amp;Subnets[[#This Row],[SubNetNumber]]&amp;"_"&amp;Subnets[[#This Row],[Dept. (Computed)]]&amp;"_"&amp;E70&amp;"_"&amp;Subnets[[#This Row],[Location (Computed)]]</f>
        <v>DMZ_150_SLG_prod_ia</v>
      </c>
      <c r="E70" t="s">
        <v>267</v>
      </c>
      <c r="F70" t="str">
        <f>VLOOKUP(Subnets[[#This Row],[VNETID]],VNETS[#All], 8, FALSE)</f>
        <v>SLG</v>
      </c>
      <c r="G70" t="str">
        <f>VLOOKUP(Subnets[[#This Row],[VNETID]],VNETS[#All], 9, FALSE)</f>
        <v>Managed</v>
      </c>
      <c r="H70" t="str">
        <f>VLOOKUP(Subnets[[#This Row],[VNETID]],VNETS[#All],13, FALSE)</f>
        <v>ia</v>
      </c>
      <c r="I70" t="s">
        <v>75</v>
      </c>
      <c r="K70" t="s">
        <v>90</v>
      </c>
      <c r="L70" t="str">
        <f t="shared" si="2"/>
        <v>10.130.70.0</v>
      </c>
      <c r="M70" s="9" t="s">
        <v>77</v>
      </c>
      <c r="N70" t="str">
        <f>VLOOKUP(Subnets[[#This Row],[VNETID]],VNETS[#All],7, FALSE)</f>
        <v>mag_slg_managed_prod</v>
      </c>
      <c r="O70">
        <f>VLOOKUP(Subnets[[#This Row],[VNETID]], VNETS[#All], 14, FALSE)</f>
        <v>10</v>
      </c>
      <c r="P70">
        <f>VLOOKUP(Subnets[[#This Row],[VNETID]], VNETS[#All], 15, FALSE)</f>
        <v>130</v>
      </c>
      <c r="Q70">
        <v>70</v>
      </c>
      <c r="R70">
        <v>0</v>
      </c>
      <c r="U70" s="53" t="str">
        <f>VLOOKUP(Subnets[[#This Row],[VNETID]],VNETS[#All],11, FALSE)</f>
        <v>PROD</v>
      </c>
      <c r="V70" s="53" t="str">
        <f>VLOOKUP(Subnets[[#This Row],[VNETID]],VNETS[#All],2, FALSE)</f>
        <v>sub03</v>
      </c>
    </row>
    <row r="71" spans="1:22" x14ac:dyDescent="0.45">
      <c r="A71" t="s">
        <v>463</v>
      </c>
      <c r="B71">
        <v>160</v>
      </c>
      <c r="C71" t="s">
        <v>315</v>
      </c>
      <c r="D71" t="str">
        <f>I71&amp;"_"&amp;Subnets[[#This Row],[SubNetNumber]]&amp;"_"&amp;Subnets[[#This Row],[Dept. (Computed)]]&amp;"_"&amp;E71&amp;"_"&amp;Subnets[[#This Row],[Location (Computed)]]</f>
        <v>User_Tier0_160_SLG_prod_ia</v>
      </c>
      <c r="E71" t="s">
        <v>267</v>
      </c>
      <c r="F71" t="str">
        <f>VLOOKUP(Subnets[[#This Row],[VNETID]],VNETS[#All], 8, FALSE)</f>
        <v>SLG</v>
      </c>
      <c r="G71" t="str">
        <f>VLOOKUP(Subnets[[#This Row],[VNETID]],VNETS[#All], 9, FALSE)</f>
        <v>Managed</v>
      </c>
      <c r="H71" t="str">
        <f>VLOOKUP(Subnets[[#This Row],[VNETID]],VNETS[#All],13, FALSE)</f>
        <v>ia</v>
      </c>
      <c r="I71" t="s">
        <v>982</v>
      </c>
      <c r="K71" t="s">
        <v>985</v>
      </c>
      <c r="L71" t="str">
        <f t="shared" si="2"/>
        <v>10.130.72.0</v>
      </c>
      <c r="M71" s="9" t="s">
        <v>389</v>
      </c>
      <c r="N71" t="str">
        <f>VLOOKUP(Subnets[[#This Row],[VNETID]],VNETS[#All],7, FALSE)</f>
        <v>mag_slg_managed_prod</v>
      </c>
      <c r="O71">
        <f>VLOOKUP(Subnets[[#This Row],[VNETID]], VNETS[#All], 14, FALSE)</f>
        <v>10</v>
      </c>
      <c r="P71">
        <f>VLOOKUP(Subnets[[#This Row],[VNETID]], VNETS[#All], 15, FALSE)</f>
        <v>130</v>
      </c>
      <c r="Q71">
        <v>72</v>
      </c>
      <c r="R71">
        <v>0</v>
      </c>
      <c r="U71" s="53" t="str">
        <f>VLOOKUP(Subnets[[#This Row],[VNETID]],VNETS[#All],11, FALSE)</f>
        <v>PROD</v>
      </c>
      <c r="V71" s="53" t="str">
        <f>VLOOKUP(Subnets[[#This Row],[VNETID]],VNETS[#All],2, FALSE)</f>
        <v>sub03</v>
      </c>
    </row>
    <row r="72" spans="1:22" x14ac:dyDescent="0.45">
      <c r="A72" t="s">
        <v>464</v>
      </c>
      <c r="B72">
        <v>161</v>
      </c>
      <c r="C72" t="s">
        <v>315</v>
      </c>
      <c r="D72" t="str">
        <f>I72&amp;"_"&amp;Subnets[[#This Row],[SubNetNumber]]&amp;"_"&amp;Subnets[[#This Row],[Dept. (Computed)]]&amp;"_"&amp;E72&amp;"_"&amp;Subnets[[#This Row],[Location (Computed)]]</f>
        <v>Users_Tier1_161_SLG_prod_ia</v>
      </c>
      <c r="E72" t="s">
        <v>267</v>
      </c>
      <c r="F72" t="str">
        <f>VLOOKUP(Subnets[[#This Row],[VNETID]],VNETS[#All], 8, FALSE)</f>
        <v>SLG</v>
      </c>
      <c r="G72" t="str">
        <f>VLOOKUP(Subnets[[#This Row],[VNETID]],VNETS[#All], 9, FALSE)</f>
        <v>Managed</v>
      </c>
      <c r="H72" t="str">
        <f>VLOOKUP(Subnets[[#This Row],[VNETID]],VNETS[#All],13, FALSE)</f>
        <v>ia</v>
      </c>
      <c r="I72" t="s">
        <v>980</v>
      </c>
      <c r="K72" t="s">
        <v>983</v>
      </c>
      <c r="L72" t="str">
        <f t="shared" si="2"/>
        <v>10.130.72.128</v>
      </c>
      <c r="M72" s="9" t="s">
        <v>389</v>
      </c>
      <c r="N72" t="str">
        <f>VLOOKUP(Subnets[[#This Row],[VNETID]],VNETS[#All],7, FALSE)</f>
        <v>mag_slg_managed_prod</v>
      </c>
      <c r="O72">
        <f>VLOOKUP(Subnets[[#This Row],[VNETID]], VNETS[#All], 14, FALSE)</f>
        <v>10</v>
      </c>
      <c r="P72">
        <f>VLOOKUP(Subnets[[#This Row],[VNETID]], VNETS[#All], 15, FALSE)</f>
        <v>130</v>
      </c>
      <c r="Q72">
        <v>72</v>
      </c>
      <c r="R72">
        <v>128</v>
      </c>
      <c r="U72" s="53" t="str">
        <f>VLOOKUP(Subnets[[#This Row],[VNETID]],VNETS[#All],11, FALSE)</f>
        <v>PROD</v>
      </c>
      <c r="V72" s="53" t="str">
        <f>VLOOKUP(Subnets[[#This Row],[VNETID]],VNETS[#All],2, FALSE)</f>
        <v>sub03</v>
      </c>
    </row>
    <row r="73" spans="1:22" x14ac:dyDescent="0.45">
      <c r="A73" t="s">
        <v>465</v>
      </c>
      <c r="B73">
        <v>162</v>
      </c>
      <c r="C73" t="s">
        <v>315</v>
      </c>
      <c r="D73" t="str">
        <f>I73&amp;"_"&amp;Subnets[[#This Row],[SubNetNumber]]&amp;"_"&amp;Subnets[[#This Row],[Dept. (Computed)]]&amp;"_"&amp;E73&amp;"_"&amp;Subnets[[#This Row],[Location (Computed)]]</f>
        <v>Users_Tier2_162_SLG_prod_ia</v>
      </c>
      <c r="E73" t="s">
        <v>267</v>
      </c>
      <c r="F73" t="str">
        <f>VLOOKUP(Subnets[[#This Row],[VNETID]],VNETS[#All], 8, FALSE)</f>
        <v>SLG</v>
      </c>
      <c r="G73" t="str">
        <f>VLOOKUP(Subnets[[#This Row],[VNETID]],VNETS[#All], 9, FALSE)</f>
        <v>Managed</v>
      </c>
      <c r="H73" t="str">
        <f>VLOOKUP(Subnets[[#This Row],[VNETID]],VNETS[#All],13, FALSE)</f>
        <v>ia</v>
      </c>
      <c r="I73" t="s">
        <v>981</v>
      </c>
      <c r="K73" t="s">
        <v>984</v>
      </c>
      <c r="L73" t="str">
        <f t="shared" si="2"/>
        <v>10.130.73.0</v>
      </c>
      <c r="M73" s="9" t="s">
        <v>389</v>
      </c>
      <c r="N73" t="str">
        <f>VLOOKUP(Subnets[[#This Row],[VNETID]],VNETS[#All],7, FALSE)</f>
        <v>mag_slg_managed_prod</v>
      </c>
      <c r="O73">
        <f>VLOOKUP(Subnets[[#This Row],[VNETID]], VNETS[#All], 14, FALSE)</f>
        <v>10</v>
      </c>
      <c r="P73">
        <f>VLOOKUP(Subnets[[#This Row],[VNETID]], VNETS[#All], 15, FALSE)</f>
        <v>130</v>
      </c>
      <c r="Q73">
        <v>73</v>
      </c>
      <c r="R73">
        <v>0</v>
      </c>
      <c r="U73" s="53" t="str">
        <f>VLOOKUP(Subnets[[#This Row],[VNETID]],VNETS[#All],11, FALSE)</f>
        <v>PROD</v>
      </c>
      <c r="V73" s="53" t="str">
        <f>VLOOKUP(Subnets[[#This Row],[VNETID]],VNETS[#All],2, FALSE)</f>
        <v>sub03</v>
      </c>
    </row>
    <row r="74" spans="1:22" x14ac:dyDescent="0.45">
      <c r="A74" t="s">
        <v>1023</v>
      </c>
      <c r="B74">
        <v>163</v>
      </c>
      <c r="C74" t="s">
        <v>315</v>
      </c>
      <c r="D74" t="str">
        <f>I74&amp;"_"&amp;Subnets[[#This Row],[SubNetNumber]]&amp;"_"&amp;Subnets[[#This Row],[Dept. (Computed)]]&amp;"_"&amp;E74&amp;"_"&amp;Subnets[[#This Row],[Location (Computed)]]</f>
        <v>Future_163_SLG_prod_ia</v>
      </c>
      <c r="E74" t="s">
        <v>267</v>
      </c>
      <c r="F74" t="str">
        <f>VLOOKUP(Subnets[[#This Row],[VNETID]],VNETS[#All], 8, FALSE)</f>
        <v>SLG</v>
      </c>
      <c r="G74" t="str">
        <f>VLOOKUP(Subnets[[#This Row],[VNETID]],VNETS[#All], 9, FALSE)</f>
        <v>Managed</v>
      </c>
      <c r="H74" t="str">
        <f>VLOOKUP(Subnets[[#This Row],[VNETID]],VNETS[#All],13, FALSE)</f>
        <v>ia</v>
      </c>
      <c r="I74" t="s">
        <v>299</v>
      </c>
      <c r="K74" t="s">
        <v>986</v>
      </c>
      <c r="L74" t="str">
        <f t="shared" si="2"/>
        <v>10.130.73.128</v>
      </c>
      <c r="M74" s="9" t="s">
        <v>389</v>
      </c>
      <c r="N74" t="str">
        <f>VLOOKUP(Subnets[[#This Row],[VNETID]],VNETS[#All],7, FALSE)</f>
        <v>mag_slg_managed_prod</v>
      </c>
      <c r="O74">
        <f>VLOOKUP(Subnets[[#This Row],[VNETID]], VNETS[#All], 14, FALSE)</f>
        <v>10</v>
      </c>
      <c r="P74">
        <f>VLOOKUP(Subnets[[#This Row],[VNETID]], VNETS[#All], 15, FALSE)</f>
        <v>130</v>
      </c>
      <c r="Q74">
        <v>73</v>
      </c>
      <c r="R74">
        <v>128</v>
      </c>
      <c r="U74" s="53" t="str">
        <f>VLOOKUP(Subnets[[#This Row],[VNETID]],VNETS[#All],11, FALSE)</f>
        <v>PROD</v>
      </c>
      <c r="V74" s="53" t="str">
        <f>VLOOKUP(Subnets[[#This Row],[VNETID]],VNETS[#All],2, FALSE)</f>
        <v>sub03</v>
      </c>
    </row>
    <row r="75" spans="1:22" x14ac:dyDescent="0.45">
      <c r="A75" t="s">
        <v>1024</v>
      </c>
      <c r="B75">
        <v>164</v>
      </c>
      <c r="C75" t="s">
        <v>315</v>
      </c>
      <c r="D75" t="str">
        <f>I75&amp;"_"&amp;Subnets[[#This Row],[SubNetNumber]]&amp;"_"&amp;Subnets[[#This Row],[Dept. (Computed)]]&amp;"_"&amp;E75&amp;"_"&amp;Subnets[[#This Row],[Location (Computed)]]</f>
        <v>Future_164_SLG_prod_ia</v>
      </c>
      <c r="E75" t="s">
        <v>267</v>
      </c>
      <c r="F75" t="str">
        <f>VLOOKUP(Subnets[[#This Row],[VNETID]],VNETS[#All], 8, FALSE)</f>
        <v>SLG</v>
      </c>
      <c r="G75" t="str">
        <f>VLOOKUP(Subnets[[#This Row],[VNETID]],VNETS[#All], 9, FALSE)</f>
        <v>Managed</v>
      </c>
      <c r="H75" t="str">
        <f>VLOOKUP(Subnets[[#This Row],[VNETID]],VNETS[#All],13, FALSE)</f>
        <v>ia</v>
      </c>
      <c r="I75" t="s">
        <v>299</v>
      </c>
      <c r="K75" t="s">
        <v>987</v>
      </c>
      <c r="L75" t="str">
        <f t="shared" si="2"/>
        <v>10.130.74.0</v>
      </c>
      <c r="M75" s="9" t="s">
        <v>389</v>
      </c>
      <c r="N75" t="str">
        <f>VLOOKUP(Subnets[[#This Row],[VNETID]],VNETS[#All],7, FALSE)</f>
        <v>mag_slg_managed_prod</v>
      </c>
      <c r="O75">
        <f>VLOOKUP(Subnets[[#This Row],[VNETID]], VNETS[#All], 14, FALSE)</f>
        <v>10</v>
      </c>
      <c r="P75">
        <f>VLOOKUP(Subnets[[#This Row],[VNETID]], VNETS[#All], 15, FALSE)</f>
        <v>130</v>
      </c>
      <c r="Q75">
        <v>74</v>
      </c>
      <c r="R75">
        <v>0</v>
      </c>
      <c r="U75" s="53" t="str">
        <f>VLOOKUP(Subnets[[#This Row],[VNETID]],VNETS[#All],11, FALSE)</f>
        <v>PROD</v>
      </c>
      <c r="V75" s="53" t="str">
        <f>VLOOKUP(Subnets[[#This Row],[VNETID]],VNETS[#All],2, FALSE)</f>
        <v>sub03</v>
      </c>
    </row>
    <row r="76" spans="1:22" x14ac:dyDescent="0.45">
      <c r="A76" t="s">
        <v>466</v>
      </c>
      <c r="B76">
        <v>170</v>
      </c>
      <c r="C76" t="s">
        <v>315</v>
      </c>
      <c r="D76" t="str">
        <f>I76&amp;"_"&amp;Subnets[[#This Row],[SubNetNumber]]&amp;"_"&amp;Subnets[[#This Row],[Dept. (Computed)]]&amp;"_"&amp;E76&amp;"_"&amp;Subnets[[#This Row],[Location (Computed)]]</f>
        <v>Future_170_SLG_prod_ia</v>
      </c>
      <c r="E76" t="s">
        <v>267</v>
      </c>
      <c r="F76" t="str">
        <f>VLOOKUP(Subnets[[#This Row],[VNETID]],VNETS[#All], 8, FALSE)</f>
        <v>SLG</v>
      </c>
      <c r="G76" t="str">
        <f>VLOOKUP(Subnets[[#This Row],[VNETID]],VNETS[#All], 9, FALSE)</f>
        <v>Managed</v>
      </c>
      <c r="H76" t="str">
        <f>VLOOKUP(Subnets[[#This Row],[VNETID]],VNETS[#All],13, FALSE)</f>
        <v>ia</v>
      </c>
      <c r="I76" t="s">
        <v>299</v>
      </c>
      <c r="K76" t="s">
        <v>300</v>
      </c>
      <c r="L76" t="str">
        <f t="shared" si="2"/>
        <v>10.130.76.0</v>
      </c>
      <c r="M76" s="9" t="s">
        <v>488</v>
      </c>
      <c r="N76" t="str">
        <f>VLOOKUP(Subnets[[#This Row],[VNETID]],VNETS[#All],7, FALSE)</f>
        <v>mag_slg_managed_prod</v>
      </c>
      <c r="O76">
        <f>VLOOKUP(Subnets[[#This Row],[VNETID]], VNETS[#All], 14, FALSE)</f>
        <v>10</v>
      </c>
      <c r="P76">
        <f>VLOOKUP(Subnets[[#This Row],[VNETID]], VNETS[#All], 15, FALSE)</f>
        <v>130</v>
      </c>
      <c r="Q76">
        <v>76</v>
      </c>
      <c r="R76">
        <v>0</v>
      </c>
      <c r="U76" s="53" t="str">
        <f>VLOOKUP(Subnets[[#This Row],[VNETID]],VNETS[#All],11, FALSE)</f>
        <v>PROD</v>
      </c>
      <c r="V76" s="53" t="str">
        <f>VLOOKUP(Subnets[[#This Row],[VNETID]],VNETS[#All],2, FALSE)</f>
        <v>sub03</v>
      </c>
    </row>
    <row r="77" spans="1:22" x14ac:dyDescent="0.45">
      <c r="A77" t="s">
        <v>467</v>
      </c>
      <c r="B77">
        <v>170</v>
      </c>
      <c r="C77" t="s">
        <v>315</v>
      </c>
      <c r="D77" t="str">
        <f>I77&amp;"_"&amp;Subnets[[#This Row],[SubNetNumber]]&amp;"_"&amp;Subnets[[#This Row],[Dept. (Computed)]]&amp;"_"&amp;E77&amp;"_"&amp;Subnets[[#This Row],[Location (Computed)]]</f>
        <v>Future_170_SLG_prod_ia</v>
      </c>
      <c r="E77" t="s">
        <v>267</v>
      </c>
      <c r="F77" t="str">
        <f>VLOOKUP(Subnets[[#This Row],[VNETID]],VNETS[#All], 8, FALSE)</f>
        <v>SLG</v>
      </c>
      <c r="G77" t="str">
        <f>VLOOKUP(Subnets[[#This Row],[VNETID]],VNETS[#All], 9, FALSE)</f>
        <v>Managed</v>
      </c>
      <c r="H77" t="str">
        <f>VLOOKUP(Subnets[[#This Row],[VNETID]],VNETS[#All],13, FALSE)</f>
        <v>ia</v>
      </c>
      <c r="I77" t="s">
        <v>299</v>
      </c>
      <c r="K77" t="s">
        <v>300</v>
      </c>
      <c r="L77" t="str">
        <f t="shared" si="2"/>
        <v>10.130.78.0</v>
      </c>
      <c r="M77" s="9" t="s">
        <v>77</v>
      </c>
      <c r="N77" t="str">
        <f>VLOOKUP(Subnets[[#This Row],[VNETID]],VNETS[#All],7, FALSE)</f>
        <v>mag_slg_managed_prod</v>
      </c>
      <c r="O77">
        <f>VLOOKUP(Subnets[[#This Row],[VNETID]], VNETS[#All], 14, FALSE)</f>
        <v>10</v>
      </c>
      <c r="P77">
        <f>VLOOKUP(Subnets[[#This Row],[VNETID]], VNETS[#All], 15, FALSE)</f>
        <v>130</v>
      </c>
      <c r="Q77">
        <v>78</v>
      </c>
      <c r="R77">
        <v>0</v>
      </c>
      <c r="U77" s="53" t="str">
        <f>VLOOKUP(Subnets[[#This Row],[VNETID]],VNETS[#All],11, FALSE)</f>
        <v>PROD</v>
      </c>
      <c r="V77" s="53" t="str">
        <f>VLOOKUP(Subnets[[#This Row],[VNETID]],VNETS[#All],2, FALSE)</f>
        <v>sub03</v>
      </c>
    </row>
    <row r="78" spans="1:22" x14ac:dyDescent="0.45">
      <c r="A78" t="s">
        <v>468</v>
      </c>
      <c r="B78">
        <v>199</v>
      </c>
      <c r="C78" t="s">
        <v>315</v>
      </c>
      <c r="D78" t="str">
        <f>I78&amp;"_"&amp;Subnets[[#This Row],[SubNetNumber]]&amp;"_"&amp;Subnets[[#This Row],[Dept. (Computed)]]&amp;"_"&amp;E78&amp;"_"&amp;Subnets[[#This Row],[Location (Computed)]]</f>
        <v>Gateway_199_SLG_prod_ia</v>
      </c>
      <c r="E78" t="s">
        <v>267</v>
      </c>
      <c r="F78" t="str">
        <f>VLOOKUP(Subnets[[#This Row],[VNETID]],VNETS[#All], 8, FALSE)</f>
        <v>SLG</v>
      </c>
      <c r="G78" t="str">
        <f>VLOOKUP(Subnets[[#This Row],[VNETID]],VNETS[#All], 9, FALSE)</f>
        <v>Managed</v>
      </c>
      <c r="H78" t="str">
        <f>VLOOKUP(Subnets[[#This Row],[VNETID]],VNETS[#All],13, FALSE)</f>
        <v>ia</v>
      </c>
      <c r="I78" t="s">
        <v>500</v>
      </c>
      <c r="K78" t="s">
        <v>553</v>
      </c>
      <c r="L78" t="str">
        <f t="shared" si="2"/>
        <v>10.130.79.248</v>
      </c>
      <c r="M78" s="9" t="s">
        <v>398</v>
      </c>
      <c r="N78" t="str">
        <f>VLOOKUP(Subnets[[#This Row],[VNETID]],VNETS[#All],7, FALSE)</f>
        <v>mag_slg_managed_prod</v>
      </c>
      <c r="O78">
        <f>VLOOKUP(Subnets[[#This Row],[VNETID]], VNETS[#All], 14, FALSE)</f>
        <v>10</v>
      </c>
      <c r="P78">
        <f>VLOOKUP(Subnets[[#This Row],[VNETID]], VNETS[#All], 15, FALSE)</f>
        <v>130</v>
      </c>
      <c r="Q78">
        <v>79</v>
      </c>
      <c r="R78">
        <v>248</v>
      </c>
      <c r="S78" t="str">
        <f>O78&amp;"."&amp;P78&amp;"."&amp;Q78&amp;"."&amp;R78</f>
        <v>10.130.79.248</v>
      </c>
      <c r="T78" s="9" t="s">
        <v>398</v>
      </c>
      <c r="U78" s="53" t="str">
        <f>VLOOKUP(Subnets[[#This Row],[VNETID]],VNETS[#All],11, FALSE)</f>
        <v>PROD</v>
      </c>
      <c r="V78" s="53" t="str">
        <f>VLOOKUP(Subnets[[#This Row],[VNETID]],VNETS[#All],2, FALSE)</f>
        <v>sub03</v>
      </c>
    </row>
    <row r="79" spans="1:22" x14ac:dyDescent="0.45">
      <c r="A79" t="s">
        <v>469</v>
      </c>
      <c r="B79">
        <v>600</v>
      </c>
      <c r="C79" t="s">
        <v>311</v>
      </c>
      <c r="D79" t="str">
        <f>I79&amp;"_"&amp;Subnets[[#This Row],[SubNetNumber]]&amp;"_"&amp;Subnets[[#This Row],[Dept. (Computed)]]&amp;"_"&amp;E79&amp;"_"&amp;Subnets[[#This Row],[Location (Computed)]]</f>
        <v>Services_600_SLG_Srvcs_va</v>
      </c>
      <c r="E79" t="s">
        <v>373</v>
      </c>
      <c r="F79" t="str">
        <f>VLOOKUP(Subnets[[#This Row],[VNETID]],VNETS[#All], 8, FALSE)</f>
        <v>SLG</v>
      </c>
      <c r="G79" t="str">
        <f>VLOOKUP(Subnets[[#This Row],[VNETID]],VNETS[#All], 9, FALSE)</f>
        <v>Managed</v>
      </c>
      <c r="H79" t="str">
        <f>VLOOKUP(Subnets[[#This Row],[VNETID]],VNETS[#All],13, FALSE)</f>
        <v>va</v>
      </c>
      <c r="I79" t="s">
        <v>71</v>
      </c>
      <c r="K79" t="s">
        <v>268</v>
      </c>
      <c r="L79" t="str">
        <f t="shared" si="2"/>
        <v>10.130.56.0</v>
      </c>
      <c r="M79" s="9" t="s">
        <v>77</v>
      </c>
      <c r="N79" t="str">
        <f>VLOOKUP(Subnets[[#This Row],[VNETID]],VNETS[#All],7, FALSE)</f>
        <v>mag_slg_managed_services</v>
      </c>
      <c r="O79">
        <f>VLOOKUP(Subnets[[#This Row],[VNETID]], VNETS[#All], 14, FALSE)</f>
        <v>10</v>
      </c>
      <c r="P79">
        <f>VLOOKUP(Subnets[[#This Row],[VNETID]], VNETS[#All], 15, FALSE)</f>
        <v>130</v>
      </c>
      <c r="Q79">
        <v>56</v>
      </c>
      <c r="R79">
        <v>0</v>
      </c>
      <c r="S79" t="str">
        <f>O79&amp;"."&amp;P79&amp;"."&amp;Q79&amp;"."&amp;R79</f>
        <v>10.130.56.0</v>
      </c>
      <c r="T79" s="9" t="s">
        <v>301</v>
      </c>
      <c r="U79" s="53" t="str">
        <f>VLOOKUP(Subnets[[#This Row],[VNETID]],VNETS[#All],11, FALSE)</f>
        <v>SERVICES</v>
      </c>
      <c r="V79" s="53" t="str">
        <f>VLOOKUP(Subnets[[#This Row],[VNETID]],VNETS[#All],2, FALSE)</f>
        <v>sub04</v>
      </c>
    </row>
    <row r="80" spans="1:22" x14ac:dyDescent="0.45">
      <c r="A80" t="s">
        <v>470</v>
      </c>
      <c r="B80">
        <v>650</v>
      </c>
      <c r="C80" t="s">
        <v>311</v>
      </c>
      <c r="D80" t="str">
        <f>I80&amp;"_"&amp;Subnets[[#This Row],[SubNetNumber]]&amp;"_"&amp;Subnets[[#This Row],[Dept. (Computed)]]&amp;"_"&amp;E80&amp;"_"&amp;Subnets[[#This Row],[Location (Computed)]]</f>
        <v>DMZ_650_SLG_Srvcs_va</v>
      </c>
      <c r="E80" t="s">
        <v>373</v>
      </c>
      <c r="F80" t="str">
        <f>VLOOKUP(Subnets[[#This Row],[VNETID]],VNETS[#All], 8, FALSE)</f>
        <v>SLG</v>
      </c>
      <c r="G80" t="str">
        <f>VLOOKUP(Subnets[[#This Row],[VNETID]],VNETS[#All], 9, FALSE)</f>
        <v>Managed</v>
      </c>
      <c r="H80" t="str">
        <f>VLOOKUP(Subnets[[#This Row],[VNETID]],VNETS[#All],13, FALSE)</f>
        <v>va</v>
      </c>
      <c r="I80" t="s">
        <v>75</v>
      </c>
      <c r="K80" t="s">
        <v>269</v>
      </c>
      <c r="L80" t="str">
        <f t="shared" si="2"/>
        <v>10.130.58.0</v>
      </c>
      <c r="M80" s="9" t="s">
        <v>77</v>
      </c>
      <c r="N80" t="str">
        <f>VLOOKUP(Subnets[[#This Row],[VNETID]],VNETS[#All],7, FALSE)</f>
        <v>mag_slg_managed_services</v>
      </c>
      <c r="O80">
        <f>VLOOKUP(Subnets[[#This Row],[VNETID]], VNETS[#All], 14, FALSE)</f>
        <v>10</v>
      </c>
      <c r="P80">
        <f>VLOOKUP(Subnets[[#This Row],[VNETID]], VNETS[#All], 15, FALSE)</f>
        <v>130</v>
      </c>
      <c r="Q80">
        <v>58</v>
      </c>
      <c r="R80">
        <v>0</v>
      </c>
      <c r="U80" s="53" t="str">
        <f>VLOOKUP(Subnets[[#This Row],[VNETID]],VNETS[#All],11, FALSE)</f>
        <v>SERVICES</v>
      </c>
      <c r="V80" s="53" t="str">
        <f>VLOOKUP(Subnets[[#This Row],[VNETID]],VNETS[#All],2, FALSE)</f>
        <v>sub04</v>
      </c>
    </row>
    <row r="81" spans="1:22" x14ac:dyDescent="0.45">
      <c r="A81" t="s">
        <v>1177</v>
      </c>
      <c r="B81" s="53">
        <v>660</v>
      </c>
      <c r="C81" t="s">
        <v>311</v>
      </c>
      <c r="D81" s="53" t="str">
        <f>I81&amp;"_"&amp;Subnets[[#This Row],[SubNetNumber]]&amp;"_"&amp;Subnets[[#This Row],[Dept. (Computed)]]&amp;"_"&amp;E81&amp;"_"&amp;Subnets[[#This Row],[Location (Computed)]]</f>
        <v>User_Tier0_660_SLG_Srvcs_va</v>
      </c>
      <c r="E81" t="s">
        <v>373</v>
      </c>
      <c r="F81" s="53" t="str">
        <f>VLOOKUP(Subnets[[#This Row],[VNETID]],VNETS[#All], 8, FALSE)</f>
        <v>SLG</v>
      </c>
      <c r="G81" s="29" t="str">
        <f>VLOOKUP(Subnets[[#This Row],[VNETID]],VNETS[#All], 9, FALSE)</f>
        <v>Managed</v>
      </c>
      <c r="H81" t="str">
        <f>VLOOKUP(Subnets[[#This Row],[VNETID]],VNETS[#All],13, FALSE)</f>
        <v>va</v>
      </c>
      <c r="I81" t="s">
        <v>982</v>
      </c>
      <c r="J81">
        <v>0</v>
      </c>
      <c r="K81" t="s">
        <v>985</v>
      </c>
      <c r="L81" t="str">
        <f>O81&amp;"."&amp;P81&amp;"."&amp;Q81&amp;"."&amp;R81</f>
        <v>10.130.59.0</v>
      </c>
      <c r="M81" s="67" t="s">
        <v>389</v>
      </c>
      <c r="N81" t="str">
        <f>VLOOKUP(Subnets[[#This Row],[VNETID]],VNETS[#All],7, FALSE)</f>
        <v>mag_slg_managed_services</v>
      </c>
      <c r="O81">
        <f>VLOOKUP(Subnets[[#This Row],[VNETID]], VNETS[#All], 14, FALSE)</f>
        <v>10</v>
      </c>
      <c r="P81">
        <f>VLOOKUP(Subnets[[#This Row],[VNETID]], VNETS[#All], 15, FALSE)</f>
        <v>130</v>
      </c>
      <c r="Q81" s="53">
        <v>59</v>
      </c>
      <c r="R81" s="53">
        <v>0</v>
      </c>
      <c r="S81" s="53"/>
      <c r="T81" s="67"/>
      <c r="U81" s="53" t="str">
        <f>VLOOKUP(Subnets[[#This Row],[VNETID]],VNETS[#All],11, FALSE)</f>
        <v>SERVICES</v>
      </c>
      <c r="V81" s="53" t="str">
        <f>VLOOKUP(Subnets[[#This Row],[VNETID]],VNETS[#All],2, FALSE)</f>
        <v>sub04</v>
      </c>
    </row>
    <row r="82" spans="1:22" x14ac:dyDescent="0.45">
      <c r="A82" t="s">
        <v>1176</v>
      </c>
      <c r="B82" s="53">
        <v>661</v>
      </c>
      <c r="C82" t="s">
        <v>311</v>
      </c>
      <c r="D82" s="53" t="str">
        <f>I82&amp;"_"&amp;Subnets[[#This Row],[SubNetNumber]]&amp;"_"&amp;Subnets[[#This Row],[Dept. (Computed)]]&amp;"_"&amp;E82&amp;"_"&amp;Subnets[[#This Row],[Location (Computed)]]</f>
        <v>Users_Tier1_661_SLG_Srvcs_va</v>
      </c>
      <c r="E82" t="s">
        <v>373</v>
      </c>
      <c r="F82" s="53" t="str">
        <f>VLOOKUP(Subnets[[#This Row],[VNETID]],VNETS[#All], 8, FALSE)</f>
        <v>SLG</v>
      </c>
      <c r="G82" s="29" t="str">
        <f>VLOOKUP(Subnets[[#This Row],[VNETID]],VNETS[#All], 9, FALSE)</f>
        <v>Managed</v>
      </c>
      <c r="H82" t="str">
        <f>VLOOKUP(Subnets[[#This Row],[VNETID]],VNETS[#All],13, FALSE)</f>
        <v>va</v>
      </c>
      <c r="I82" t="s">
        <v>980</v>
      </c>
      <c r="J82">
        <v>1</v>
      </c>
      <c r="K82" t="s">
        <v>983</v>
      </c>
      <c r="L82" t="str">
        <f>O82&amp;"."&amp;P82&amp;"."&amp;Q82&amp;"."&amp;R82</f>
        <v>10.130.59.128</v>
      </c>
      <c r="M82" s="67" t="s">
        <v>389</v>
      </c>
      <c r="N82" t="str">
        <f>VLOOKUP(Subnets[[#This Row],[VNETID]],VNETS[#All],7, FALSE)</f>
        <v>mag_slg_managed_services</v>
      </c>
      <c r="O82">
        <f>VLOOKUP(Subnets[[#This Row],[VNETID]], VNETS[#All], 14, FALSE)</f>
        <v>10</v>
      </c>
      <c r="P82">
        <f>VLOOKUP(Subnets[[#This Row],[VNETID]], VNETS[#All], 15, FALSE)</f>
        <v>130</v>
      </c>
      <c r="Q82" s="53">
        <v>59</v>
      </c>
      <c r="R82" s="53">
        <v>128</v>
      </c>
      <c r="S82" s="53"/>
      <c r="T82" s="67"/>
      <c r="U82" s="53" t="str">
        <f>VLOOKUP(Subnets[[#This Row],[VNETID]],VNETS[#All],11, FALSE)</f>
        <v>SERVICES</v>
      </c>
      <c r="V82" s="53" t="str">
        <f>VLOOKUP(Subnets[[#This Row],[VNETID]],VNETS[#All],2, FALSE)</f>
        <v>sub04</v>
      </c>
    </row>
    <row r="83" spans="1:22" x14ac:dyDescent="0.45">
      <c r="A83" t="s">
        <v>471</v>
      </c>
      <c r="B83">
        <v>670</v>
      </c>
      <c r="C83" t="s">
        <v>311</v>
      </c>
      <c r="D83" t="str">
        <f>I83&amp;"_"&amp;Subnets[[#This Row],[SubNetNumber]]&amp;"_"&amp;Subnets[[#This Row],[Dept. (Computed)]]&amp;"_"&amp;E83&amp;"_"&amp;Subnets[[#This Row],[Location (Computed)]]</f>
        <v>Future_670_SLG_Srvcs_va</v>
      </c>
      <c r="E83" t="s">
        <v>373</v>
      </c>
      <c r="F83" t="str">
        <f>VLOOKUP(Subnets[[#This Row],[VNETID]],VNETS[#All], 8, FALSE)</f>
        <v>SLG</v>
      </c>
      <c r="G83" t="str">
        <f>VLOOKUP(Subnets[[#This Row],[VNETID]],VNETS[#All], 9, FALSE)</f>
        <v>Managed</v>
      </c>
      <c r="H83" t="str">
        <f>VLOOKUP(Subnets[[#This Row],[VNETID]],VNETS[#All],13, FALSE)</f>
        <v>va</v>
      </c>
      <c r="I83" t="s">
        <v>299</v>
      </c>
      <c r="K83" t="s">
        <v>300</v>
      </c>
      <c r="L83" t="str">
        <f t="shared" si="2"/>
        <v>10.130.60.0</v>
      </c>
      <c r="M83" s="9" t="s">
        <v>372</v>
      </c>
      <c r="N83" t="str">
        <f>VLOOKUP(Subnets[[#This Row],[VNETID]],VNETS[#All],7, FALSE)</f>
        <v>mag_slg_managed_services</v>
      </c>
      <c r="O83">
        <f>VLOOKUP(Subnets[[#This Row],[VNETID]], VNETS[#All], 14, FALSE)</f>
        <v>10</v>
      </c>
      <c r="P83">
        <f>VLOOKUP(Subnets[[#This Row],[VNETID]], VNETS[#All], 15, FALSE)</f>
        <v>130</v>
      </c>
      <c r="Q83">
        <v>60</v>
      </c>
      <c r="R83">
        <v>0</v>
      </c>
      <c r="U83" s="53" t="str">
        <f>VLOOKUP(Subnets[[#This Row],[VNETID]],VNETS[#All],11, FALSE)</f>
        <v>SERVICES</v>
      </c>
      <c r="V83" s="53" t="str">
        <f>VLOOKUP(Subnets[[#This Row],[VNETID]],VNETS[#All],2, FALSE)</f>
        <v>sub04</v>
      </c>
    </row>
    <row r="84" spans="1:22" x14ac:dyDescent="0.45">
      <c r="A84" t="s">
        <v>472</v>
      </c>
      <c r="B84">
        <v>699</v>
      </c>
      <c r="C84" t="s">
        <v>311</v>
      </c>
      <c r="D84" t="str">
        <f>I84&amp;"_"&amp;Subnets[[#This Row],[SubNetNumber]]&amp;"_"&amp;Subnets[[#This Row],[Dept. (Computed)]]&amp;"_"&amp;E84&amp;"_"&amp;Subnets[[#This Row],[Location (Computed)]]</f>
        <v>Gateway_699_SLG_Srvcs_va</v>
      </c>
      <c r="E84" t="s">
        <v>373</v>
      </c>
      <c r="F84" t="str">
        <f>VLOOKUP(Subnets[[#This Row],[VNETID]],VNETS[#All], 8, FALSE)</f>
        <v>SLG</v>
      </c>
      <c r="G84" t="str">
        <f>VLOOKUP(Subnets[[#This Row],[VNETID]],VNETS[#All], 9, FALSE)</f>
        <v>Managed</v>
      </c>
      <c r="H84" t="str">
        <f>VLOOKUP(Subnets[[#This Row],[VNETID]],VNETS[#All],13, FALSE)</f>
        <v>va</v>
      </c>
      <c r="I84" t="s">
        <v>500</v>
      </c>
      <c r="K84" t="s">
        <v>553</v>
      </c>
      <c r="L84" t="str">
        <f t="shared" si="2"/>
        <v>10.130.63.248</v>
      </c>
      <c r="M84" s="9" t="s">
        <v>398</v>
      </c>
      <c r="N84" t="str">
        <f>VLOOKUP(Subnets[[#This Row],[VNETID]],VNETS[#All],7, FALSE)</f>
        <v>mag_slg_managed_services</v>
      </c>
      <c r="O84">
        <f>VLOOKUP(Subnets[[#This Row],[VNETID]], VNETS[#All], 14, FALSE)</f>
        <v>10</v>
      </c>
      <c r="P84">
        <f>VLOOKUP(Subnets[[#This Row],[VNETID]], VNETS[#All], 15, FALSE)</f>
        <v>130</v>
      </c>
      <c r="Q84">
        <v>63</v>
      </c>
      <c r="R84">
        <v>248</v>
      </c>
      <c r="S84" t="str">
        <f>O84&amp;"."&amp;P84&amp;"."&amp;Q84&amp;"."&amp;R84</f>
        <v>10.130.63.248</v>
      </c>
      <c r="T84" s="9" t="s">
        <v>398</v>
      </c>
      <c r="U84" s="53" t="str">
        <f>VLOOKUP(Subnets[[#This Row],[VNETID]],VNETS[#All],11, FALSE)</f>
        <v>SERVICES</v>
      </c>
      <c r="V84" s="53" t="str">
        <f>VLOOKUP(Subnets[[#This Row],[VNETID]],VNETS[#All],2, FALSE)</f>
        <v>sub04</v>
      </c>
    </row>
    <row r="85" spans="1:22" x14ac:dyDescent="0.45">
      <c r="A85" t="s">
        <v>473</v>
      </c>
      <c r="B85">
        <v>600</v>
      </c>
      <c r="C85" t="s">
        <v>316</v>
      </c>
      <c r="D85" t="str">
        <f>I85&amp;"_"&amp;Subnets[[#This Row],[SubNetNumber]]&amp;"_"&amp;Subnets[[#This Row],[Dept. (Computed)]]&amp;"_"&amp;E85&amp;"_"&amp;Subnets[[#This Row],[Location (Computed)]]</f>
        <v>Services_600_SLG_Srvcs_ia</v>
      </c>
      <c r="E85" t="s">
        <v>373</v>
      </c>
      <c r="F85" t="str">
        <f>VLOOKUP(Subnets[[#This Row],[VNETID]],VNETS[#All], 8, FALSE)</f>
        <v>SLG</v>
      </c>
      <c r="G85" t="str">
        <f>VLOOKUP(Subnets[[#This Row],[VNETID]],VNETS[#All], 9, FALSE)</f>
        <v>Managed</v>
      </c>
      <c r="H85" t="str">
        <f>VLOOKUP(Subnets[[#This Row],[VNETID]],VNETS[#All],13, FALSE)</f>
        <v>ia</v>
      </c>
      <c r="I85" t="s">
        <v>71</v>
      </c>
      <c r="K85" t="s">
        <v>268</v>
      </c>
      <c r="L85" t="str">
        <f t="shared" si="2"/>
        <v>10.130.120.0</v>
      </c>
      <c r="M85" s="9" t="s">
        <v>77</v>
      </c>
      <c r="N85" t="str">
        <f>VLOOKUP(Subnets[[#This Row],[VNETID]],VNETS[#All],7, FALSE)</f>
        <v>mag_slg_managed_services</v>
      </c>
      <c r="O85">
        <f>VLOOKUP(Subnets[[#This Row],[VNETID]], VNETS[#All], 14, FALSE)</f>
        <v>10</v>
      </c>
      <c r="P85">
        <f>VLOOKUP(Subnets[[#This Row],[VNETID]], VNETS[#All], 15, FALSE)</f>
        <v>130</v>
      </c>
      <c r="Q85">
        <v>120</v>
      </c>
      <c r="R85">
        <v>0</v>
      </c>
      <c r="S85" t="str">
        <f>O85&amp;"."&amp;P85&amp;"."&amp;Q85&amp;"."&amp;R85</f>
        <v>10.130.120.0</v>
      </c>
      <c r="T85" s="9" t="s">
        <v>301</v>
      </c>
      <c r="U85" s="53" t="str">
        <f>VLOOKUP(Subnets[[#This Row],[VNETID]],VNETS[#All],11, FALSE)</f>
        <v>SERVICES</v>
      </c>
      <c r="V85" s="53" t="str">
        <f>VLOOKUP(Subnets[[#This Row],[VNETID]],VNETS[#All],2, FALSE)</f>
        <v>sub04</v>
      </c>
    </row>
    <row r="86" spans="1:22" x14ac:dyDescent="0.45">
      <c r="A86" t="s">
        <v>474</v>
      </c>
      <c r="B86">
        <v>650</v>
      </c>
      <c r="C86" t="s">
        <v>316</v>
      </c>
      <c r="D86" t="str">
        <f>I86&amp;"_"&amp;Subnets[[#This Row],[SubNetNumber]]&amp;"_"&amp;Subnets[[#This Row],[Dept. (Computed)]]&amp;"_"&amp;E86&amp;"_"&amp;Subnets[[#This Row],[Location (Computed)]]</f>
        <v>DMZ_650_SLG_Srvcs_ia</v>
      </c>
      <c r="E86" t="s">
        <v>373</v>
      </c>
      <c r="F86" t="str">
        <f>VLOOKUP(Subnets[[#This Row],[VNETID]],VNETS[#All], 8, FALSE)</f>
        <v>SLG</v>
      </c>
      <c r="G86" t="str">
        <f>VLOOKUP(Subnets[[#This Row],[VNETID]],VNETS[#All], 9, FALSE)</f>
        <v>Managed</v>
      </c>
      <c r="H86" t="str">
        <f>VLOOKUP(Subnets[[#This Row],[VNETID]],VNETS[#All],13, FALSE)</f>
        <v>ia</v>
      </c>
      <c r="I86" t="s">
        <v>75</v>
      </c>
      <c r="K86" t="s">
        <v>269</v>
      </c>
      <c r="L86" t="str">
        <f t="shared" si="2"/>
        <v>10.130.122.0</v>
      </c>
      <c r="M86" s="9" t="s">
        <v>77</v>
      </c>
      <c r="N86" t="str">
        <f>VLOOKUP(Subnets[[#This Row],[VNETID]],VNETS[#All],7, FALSE)</f>
        <v>mag_slg_managed_services</v>
      </c>
      <c r="O86">
        <f>VLOOKUP(Subnets[[#This Row],[VNETID]], VNETS[#All], 14, FALSE)</f>
        <v>10</v>
      </c>
      <c r="P86">
        <f>VLOOKUP(Subnets[[#This Row],[VNETID]], VNETS[#All], 15, FALSE)</f>
        <v>130</v>
      </c>
      <c r="Q86">
        <v>122</v>
      </c>
      <c r="R86">
        <v>0</v>
      </c>
      <c r="U86" s="53" t="str">
        <f>VLOOKUP(Subnets[[#This Row],[VNETID]],VNETS[#All],11, FALSE)</f>
        <v>SERVICES</v>
      </c>
      <c r="V86" s="53" t="str">
        <f>VLOOKUP(Subnets[[#This Row],[VNETID]],VNETS[#All],2, FALSE)</f>
        <v>sub04</v>
      </c>
    </row>
    <row r="87" spans="1:22" x14ac:dyDescent="0.45">
      <c r="A87" t="s">
        <v>1025</v>
      </c>
      <c r="B87" s="53">
        <v>660</v>
      </c>
      <c r="C87" t="s">
        <v>316</v>
      </c>
      <c r="D87" s="53" t="str">
        <f>I87&amp;"_"&amp;Subnets[[#This Row],[SubNetNumber]]&amp;"_"&amp;Subnets[[#This Row],[Dept. (Computed)]]&amp;"_"&amp;E87&amp;"_"&amp;Subnets[[#This Row],[Location (Computed)]]</f>
        <v>User_Tier0_660_SLG_Srvcs_ia</v>
      </c>
      <c r="E87" t="s">
        <v>373</v>
      </c>
      <c r="F87" s="53" t="str">
        <f>VLOOKUP(Subnets[[#This Row],[VNETID]],VNETS[#All], 8, FALSE)</f>
        <v>SLG</v>
      </c>
      <c r="G87" s="29" t="str">
        <f>VLOOKUP(Subnets[[#This Row],[VNETID]],VNETS[#All], 9, FALSE)</f>
        <v>Managed</v>
      </c>
      <c r="H87" t="str">
        <f>VLOOKUP(Subnets[[#This Row],[VNETID]],VNETS[#All],13, FALSE)</f>
        <v>ia</v>
      </c>
      <c r="I87" t="s">
        <v>982</v>
      </c>
      <c r="J87">
        <v>0</v>
      </c>
      <c r="K87" t="s">
        <v>985</v>
      </c>
      <c r="L87" t="str">
        <f t="shared" si="2"/>
        <v>10.130.123.0</v>
      </c>
      <c r="M87" s="67" t="s">
        <v>389</v>
      </c>
      <c r="N87" t="str">
        <f>VLOOKUP(Subnets[[#This Row],[VNETID]],VNETS[#All],7, FALSE)</f>
        <v>mag_slg_managed_services</v>
      </c>
      <c r="O87">
        <f>VLOOKUP(Subnets[[#This Row],[VNETID]], VNETS[#All], 14, FALSE)</f>
        <v>10</v>
      </c>
      <c r="P87">
        <f>VLOOKUP(Subnets[[#This Row],[VNETID]], VNETS[#All], 15, FALSE)</f>
        <v>130</v>
      </c>
      <c r="Q87" s="53">
        <v>123</v>
      </c>
      <c r="R87" s="53">
        <v>0</v>
      </c>
      <c r="S87" s="53"/>
      <c r="T87" s="67"/>
      <c r="U87" s="53" t="str">
        <f>VLOOKUP(Subnets[[#This Row],[VNETID]],VNETS[#All],11, FALSE)</f>
        <v>SERVICES</v>
      </c>
      <c r="V87" s="53" t="str">
        <f>VLOOKUP(Subnets[[#This Row],[VNETID]],VNETS[#All],2, FALSE)</f>
        <v>sub04</v>
      </c>
    </row>
    <row r="88" spans="1:22" x14ac:dyDescent="0.45">
      <c r="A88" t="s">
        <v>1026</v>
      </c>
      <c r="B88" s="53">
        <v>661</v>
      </c>
      <c r="C88" t="s">
        <v>316</v>
      </c>
      <c r="D88" s="53" t="str">
        <f>I88&amp;"_"&amp;Subnets[[#This Row],[SubNetNumber]]&amp;"_"&amp;Subnets[[#This Row],[Dept. (Computed)]]&amp;"_"&amp;E88&amp;"_"&amp;Subnets[[#This Row],[Location (Computed)]]</f>
        <v>Users_Tier1_661_SLG_Srvcs_ia</v>
      </c>
      <c r="E88" t="s">
        <v>373</v>
      </c>
      <c r="F88" s="53" t="str">
        <f>VLOOKUP(Subnets[[#This Row],[VNETID]],VNETS[#All], 8, FALSE)</f>
        <v>SLG</v>
      </c>
      <c r="G88" s="29" t="str">
        <f>VLOOKUP(Subnets[[#This Row],[VNETID]],VNETS[#All], 9, FALSE)</f>
        <v>Managed</v>
      </c>
      <c r="H88" t="str">
        <f>VLOOKUP(Subnets[[#This Row],[VNETID]],VNETS[#All],13, FALSE)</f>
        <v>ia</v>
      </c>
      <c r="I88" t="s">
        <v>980</v>
      </c>
      <c r="J88">
        <v>1</v>
      </c>
      <c r="K88" t="s">
        <v>983</v>
      </c>
      <c r="L88" t="str">
        <f t="shared" si="2"/>
        <v>10.130.123.128</v>
      </c>
      <c r="M88" s="67" t="s">
        <v>389</v>
      </c>
      <c r="N88" t="str">
        <f>VLOOKUP(Subnets[[#This Row],[VNETID]],VNETS[#All],7, FALSE)</f>
        <v>mag_slg_managed_services</v>
      </c>
      <c r="O88">
        <f>VLOOKUP(Subnets[[#This Row],[VNETID]], VNETS[#All], 14, FALSE)</f>
        <v>10</v>
      </c>
      <c r="P88">
        <f>VLOOKUP(Subnets[[#This Row],[VNETID]], VNETS[#All], 15, FALSE)</f>
        <v>130</v>
      </c>
      <c r="Q88" s="53">
        <v>123</v>
      </c>
      <c r="R88" s="53">
        <v>128</v>
      </c>
      <c r="S88" s="53"/>
      <c r="T88" s="67"/>
      <c r="U88" s="53" t="str">
        <f>VLOOKUP(Subnets[[#This Row],[VNETID]],VNETS[#All],11, FALSE)</f>
        <v>SERVICES</v>
      </c>
      <c r="V88" s="53" t="str">
        <f>VLOOKUP(Subnets[[#This Row],[VNETID]],VNETS[#All],2, FALSE)</f>
        <v>sub04</v>
      </c>
    </row>
    <row r="89" spans="1:22" x14ac:dyDescent="0.45">
      <c r="A89" t="s">
        <v>475</v>
      </c>
      <c r="B89">
        <v>670</v>
      </c>
      <c r="C89" t="s">
        <v>316</v>
      </c>
      <c r="D89" t="str">
        <f>I89&amp;"_"&amp;Subnets[[#This Row],[SubNetNumber]]&amp;"_"&amp;Subnets[[#This Row],[Dept. (Computed)]]&amp;"_"&amp;E89&amp;"_"&amp;Subnets[[#This Row],[Location (Computed)]]</f>
        <v>Future_670_SLG_Srvcs_ia</v>
      </c>
      <c r="E89" t="s">
        <v>373</v>
      </c>
      <c r="F89" t="str">
        <f>VLOOKUP(Subnets[[#This Row],[VNETID]],VNETS[#All], 8, FALSE)</f>
        <v>SLG</v>
      </c>
      <c r="G89" t="str">
        <f>VLOOKUP(Subnets[[#This Row],[VNETID]],VNETS[#All], 9, FALSE)</f>
        <v>Managed</v>
      </c>
      <c r="H89" t="str">
        <f>VLOOKUP(Subnets[[#This Row],[VNETID]],VNETS[#All],13, FALSE)</f>
        <v>ia</v>
      </c>
      <c r="I89" t="s">
        <v>299</v>
      </c>
      <c r="K89" t="s">
        <v>300</v>
      </c>
      <c r="L89" t="str">
        <f t="shared" si="2"/>
        <v>10.130.124.0</v>
      </c>
      <c r="M89" s="9" t="s">
        <v>372</v>
      </c>
      <c r="N89" t="str">
        <f>VLOOKUP(Subnets[[#This Row],[VNETID]],VNETS[#All],7, FALSE)</f>
        <v>mag_slg_managed_services</v>
      </c>
      <c r="O89">
        <f>VLOOKUP(Subnets[[#This Row],[VNETID]], VNETS[#All], 14, FALSE)</f>
        <v>10</v>
      </c>
      <c r="P89">
        <f>VLOOKUP(Subnets[[#This Row],[VNETID]], VNETS[#All], 15, FALSE)</f>
        <v>130</v>
      </c>
      <c r="Q89">
        <v>124</v>
      </c>
      <c r="R89">
        <v>0</v>
      </c>
      <c r="U89" s="53" t="str">
        <f>VLOOKUP(Subnets[[#This Row],[VNETID]],VNETS[#All],11, FALSE)</f>
        <v>SERVICES</v>
      </c>
      <c r="V89" s="53" t="str">
        <f>VLOOKUP(Subnets[[#This Row],[VNETID]],VNETS[#All],2, FALSE)</f>
        <v>sub04</v>
      </c>
    </row>
    <row r="90" spans="1:22" x14ac:dyDescent="0.45">
      <c r="A90" t="s">
        <v>476</v>
      </c>
      <c r="B90">
        <v>699</v>
      </c>
      <c r="C90" t="s">
        <v>316</v>
      </c>
      <c r="D90" t="str">
        <f>I90&amp;"_"&amp;Subnets[[#This Row],[SubNetNumber]]&amp;"_"&amp;Subnets[[#This Row],[Dept. (Computed)]]&amp;"_"&amp;E90&amp;"_"&amp;Subnets[[#This Row],[Location (Computed)]]</f>
        <v>Gateway_699_SLG_Srvcs_ia</v>
      </c>
      <c r="E90" t="s">
        <v>373</v>
      </c>
      <c r="F90" t="str">
        <f>VLOOKUP(Subnets[[#This Row],[VNETID]],VNETS[#All], 8, FALSE)</f>
        <v>SLG</v>
      </c>
      <c r="G90" t="str">
        <f>VLOOKUP(Subnets[[#This Row],[VNETID]],VNETS[#All], 9, FALSE)</f>
        <v>Managed</v>
      </c>
      <c r="H90" t="str">
        <f>VLOOKUP(Subnets[[#This Row],[VNETID]],VNETS[#All],13, FALSE)</f>
        <v>ia</v>
      </c>
      <c r="I90" t="s">
        <v>500</v>
      </c>
      <c r="K90" t="s">
        <v>553</v>
      </c>
      <c r="L90" t="str">
        <f t="shared" si="2"/>
        <v>10.130.127.248</v>
      </c>
      <c r="M90" s="9" t="s">
        <v>398</v>
      </c>
      <c r="N90" t="str">
        <f>VLOOKUP(Subnets[[#This Row],[VNETID]],VNETS[#All],7, FALSE)</f>
        <v>mag_slg_managed_services</v>
      </c>
      <c r="O90">
        <f>VLOOKUP(Subnets[[#This Row],[VNETID]], VNETS[#All], 14, FALSE)</f>
        <v>10</v>
      </c>
      <c r="P90">
        <f>VLOOKUP(Subnets[[#This Row],[VNETID]], VNETS[#All], 15, FALSE)</f>
        <v>130</v>
      </c>
      <c r="Q90">
        <v>127</v>
      </c>
      <c r="R90">
        <v>248</v>
      </c>
      <c r="S90" t="str">
        <f>O90&amp;"."&amp;P90&amp;"."&amp;Q90&amp;"."&amp;R90</f>
        <v>10.130.127.248</v>
      </c>
      <c r="T90" s="9" t="s">
        <v>398</v>
      </c>
      <c r="U90" s="53" t="str">
        <f>VLOOKUP(Subnets[[#This Row],[VNETID]],VNETS[#All],11, FALSE)</f>
        <v>SERVICES</v>
      </c>
      <c r="V90" s="53" t="str">
        <f>VLOOKUP(Subnets[[#This Row],[VNETID]],VNETS[#All],2, FALSE)</f>
        <v>sub04</v>
      </c>
    </row>
    <row r="91" spans="1:22" x14ac:dyDescent="0.45">
      <c r="A91" t="s">
        <v>477</v>
      </c>
      <c r="B91">
        <v>500</v>
      </c>
      <c r="C91" t="s">
        <v>312</v>
      </c>
      <c r="D91" t="str">
        <f>I91&amp;"_"&amp;Subnets[[#This Row],[SubNetNumber]]&amp;"_"&amp;Subnets[[#This Row],[Dept. (Computed)]]&amp;"_"&amp;E91&amp;"_"&amp;Subnets[[#This Row],[Location (Computed)]]</f>
        <v>Storage_500_SLG_Storage_va</v>
      </c>
      <c r="E91" t="s">
        <v>210</v>
      </c>
      <c r="F91" t="str">
        <f>VLOOKUP(Subnets[[#This Row],[VNETID]],VNETS[#All], 8, FALSE)</f>
        <v>SLG</v>
      </c>
      <c r="G91" t="str">
        <f>VLOOKUP(Subnets[[#This Row],[VNETID]],VNETS[#All], 9, FALSE)</f>
        <v>Managed</v>
      </c>
      <c r="H91" t="str">
        <f>VLOOKUP(Subnets[[#This Row],[VNETID]],VNETS[#All],13, FALSE)</f>
        <v>va</v>
      </c>
      <c r="I91" t="s">
        <v>210</v>
      </c>
      <c r="K91" t="s">
        <v>489</v>
      </c>
      <c r="L91" t="str">
        <f t="shared" si="2"/>
        <v>10.130.48.0</v>
      </c>
      <c r="M91" s="9" t="s">
        <v>77</v>
      </c>
      <c r="N91" t="str">
        <f>VLOOKUP(Subnets[[#This Row],[VNETID]],VNETS[#All],7, FALSE)</f>
        <v>mag_slg_managed_storage</v>
      </c>
      <c r="O91">
        <f>VLOOKUP(Subnets[[#This Row],[VNETID]], VNETS[#All], 14, FALSE)</f>
        <v>10</v>
      </c>
      <c r="P91">
        <f>VLOOKUP(Subnets[[#This Row],[VNETID]], VNETS[#All], 15, FALSE)</f>
        <v>130</v>
      </c>
      <c r="Q91">
        <v>48</v>
      </c>
      <c r="R91">
        <v>0</v>
      </c>
      <c r="S91" t="str">
        <f>O91&amp;"."&amp;P91&amp;"."&amp;Q91&amp;"."&amp;R91</f>
        <v>10.130.48.0</v>
      </c>
      <c r="T91" s="9" t="s">
        <v>301</v>
      </c>
      <c r="U91" s="53" t="str">
        <f>VLOOKUP(Subnets[[#This Row],[VNETID]],VNETS[#All],11, FALSE)</f>
        <v>STORAGE</v>
      </c>
      <c r="V91" s="53" t="str">
        <f>VLOOKUP(Subnets[[#This Row],[VNETID]],VNETS[#All],2, FALSE)</f>
        <v>sub05</v>
      </c>
    </row>
    <row r="92" spans="1:22" x14ac:dyDescent="0.45">
      <c r="A92" t="s">
        <v>1027</v>
      </c>
      <c r="B92" s="53">
        <v>560</v>
      </c>
      <c r="C92" t="s">
        <v>312</v>
      </c>
      <c r="D92" s="53" t="str">
        <f>I92&amp;"_"&amp;Subnets[[#This Row],[SubNetNumber]]&amp;"_"&amp;Subnets[[#This Row],[Dept. (Computed)]]&amp;"_"&amp;E92&amp;"_"&amp;Subnets[[#This Row],[Location (Computed)]]</f>
        <v>User_Tier0_560_SLG_Storage_va</v>
      </c>
      <c r="E92" t="s">
        <v>210</v>
      </c>
      <c r="F92" s="53" t="str">
        <f>VLOOKUP(Subnets[[#This Row],[VNETID]],VNETS[#All], 8, FALSE)</f>
        <v>SLG</v>
      </c>
      <c r="G92" s="29" t="str">
        <f>VLOOKUP(Subnets[[#This Row],[VNETID]],VNETS[#All], 9, FALSE)</f>
        <v>Managed</v>
      </c>
      <c r="H92" t="str">
        <f>VLOOKUP(Subnets[[#This Row],[VNETID]],VNETS[#All],13, FALSE)</f>
        <v>va</v>
      </c>
      <c r="I92" t="s">
        <v>982</v>
      </c>
      <c r="K92" t="s">
        <v>985</v>
      </c>
      <c r="L92" t="str">
        <f t="shared" si="2"/>
        <v>10.130.49.0</v>
      </c>
      <c r="M92" s="67" t="s">
        <v>389</v>
      </c>
      <c r="N92" t="str">
        <f>VLOOKUP(Subnets[[#This Row],[VNETID]],VNETS[#All],7, FALSE)</f>
        <v>mag_slg_managed_storage</v>
      </c>
      <c r="O92">
        <f>VLOOKUP(Subnets[[#This Row],[VNETID]], VNETS[#All], 14, FALSE)</f>
        <v>10</v>
      </c>
      <c r="P92">
        <f>VLOOKUP(Subnets[[#This Row],[VNETID]], VNETS[#All], 15, FALSE)</f>
        <v>130</v>
      </c>
      <c r="Q92" s="53">
        <v>49</v>
      </c>
      <c r="R92" s="53">
        <v>0</v>
      </c>
      <c r="S92" s="53"/>
      <c r="T92" s="67"/>
      <c r="U92" s="53" t="str">
        <f>VLOOKUP(Subnets[[#This Row],[VNETID]],VNETS[#All],11, FALSE)</f>
        <v>STORAGE</v>
      </c>
      <c r="V92" s="53" t="str">
        <f>VLOOKUP(Subnets[[#This Row],[VNETID]],VNETS[#All],2, FALSE)</f>
        <v>sub05</v>
      </c>
    </row>
    <row r="93" spans="1:22" x14ac:dyDescent="0.45">
      <c r="A93" t="s">
        <v>1028</v>
      </c>
      <c r="B93" s="53">
        <v>561</v>
      </c>
      <c r="C93" t="s">
        <v>312</v>
      </c>
      <c r="D93" s="53" t="str">
        <f>I93&amp;"_"&amp;Subnets[[#This Row],[SubNetNumber]]&amp;"_"&amp;Subnets[[#This Row],[Dept. (Computed)]]&amp;"_"&amp;E93&amp;"_"&amp;Subnets[[#This Row],[Location (Computed)]]</f>
        <v>Users_Tier1_561_SLG_Storage_va</v>
      </c>
      <c r="E93" t="s">
        <v>210</v>
      </c>
      <c r="F93" s="53" t="str">
        <f>VLOOKUP(Subnets[[#This Row],[VNETID]],VNETS[#All], 8, FALSE)</f>
        <v>SLG</v>
      </c>
      <c r="G93" s="29" t="str">
        <f>VLOOKUP(Subnets[[#This Row],[VNETID]],VNETS[#All], 9, FALSE)</f>
        <v>Managed</v>
      </c>
      <c r="H93" t="str">
        <f>VLOOKUP(Subnets[[#This Row],[VNETID]],VNETS[#All],13, FALSE)</f>
        <v>va</v>
      </c>
      <c r="I93" t="s">
        <v>980</v>
      </c>
      <c r="K93" t="s">
        <v>983</v>
      </c>
      <c r="L93" t="str">
        <f t="shared" si="2"/>
        <v>10.130.49.128</v>
      </c>
      <c r="M93" s="67" t="s">
        <v>389</v>
      </c>
      <c r="N93" t="str">
        <f>VLOOKUP(Subnets[[#This Row],[VNETID]],VNETS[#All],7, FALSE)</f>
        <v>mag_slg_managed_storage</v>
      </c>
      <c r="O93">
        <f>VLOOKUP(Subnets[[#This Row],[VNETID]], VNETS[#All], 14, FALSE)</f>
        <v>10</v>
      </c>
      <c r="P93">
        <f>VLOOKUP(Subnets[[#This Row],[VNETID]], VNETS[#All], 15, FALSE)</f>
        <v>130</v>
      </c>
      <c r="Q93" s="53">
        <v>49</v>
      </c>
      <c r="R93" s="53">
        <v>128</v>
      </c>
      <c r="S93" s="53"/>
      <c r="T93" s="67"/>
      <c r="U93" s="53" t="str">
        <f>VLOOKUP(Subnets[[#This Row],[VNETID]],VNETS[#All],11, FALSE)</f>
        <v>STORAGE</v>
      </c>
      <c r="V93" s="53" t="str">
        <f>VLOOKUP(Subnets[[#This Row],[VNETID]],VNETS[#All],2, FALSE)</f>
        <v>sub05</v>
      </c>
    </row>
    <row r="94" spans="1:22" x14ac:dyDescent="0.45">
      <c r="A94" t="s">
        <v>478</v>
      </c>
      <c r="B94">
        <v>570</v>
      </c>
      <c r="C94" t="s">
        <v>312</v>
      </c>
      <c r="D94" t="str">
        <f>I94&amp;"_"&amp;Subnets[[#This Row],[SubNetNumber]]&amp;"_"&amp;Subnets[[#This Row],[Dept. (Computed)]]&amp;"_"&amp;E94&amp;"_"&amp;Subnets[[#This Row],[Location (Computed)]]</f>
        <v>Future_570_SLG_Storage_va</v>
      </c>
      <c r="E94" t="s">
        <v>210</v>
      </c>
      <c r="F94" t="str">
        <f>VLOOKUP(Subnets[[#This Row],[VNETID]],VNETS[#All], 8, FALSE)</f>
        <v>SLG</v>
      </c>
      <c r="G94" t="str">
        <f>VLOOKUP(Subnets[[#This Row],[VNETID]],VNETS[#All], 9, FALSE)</f>
        <v>Managed</v>
      </c>
      <c r="H94" t="str">
        <f>VLOOKUP(Subnets[[#This Row],[VNETID]],VNETS[#All],13, FALSE)</f>
        <v>va</v>
      </c>
      <c r="I94" t="s">
        <v>299</v>
      </c>
      <c r="K94" t="s">
        <v>300</v>
      </c>
      <c r="L94" t="str">
        <f t="shared" si="2"/>
        <v>10.130.50.0</v>
      </c>
      <c r="M94" s="9" t="s">
        <v>488</v>
      </c>
      <c r="N94" t="str">
        <f>VLOOKUP(Subnets[[#This Row],[VNETID]],VNETS[#All],7, FALSE)</f>
        <v>mag_slg_managed_storage</v>
      </c>
      <c r="O94">
        <f>VLOOKUP(Subnets[[#This Row],[VNETID]], VNETS[#All], 14, FALSE)</f>
        <v>10</v>
      </c>
      <c r="P94">
        <f>VLOOKUP(Subnets[[#This Row],[VNETID]], VNETS[#All], 15, FALSE)</f>
        <v>130</v>
      </c>
      <c r="Q94">
        <v>50</v>
      </c>
      <c r="R94">
        <v>0</v>
      </c>
      <c r="U94" s="53" t="str">
        <f>VLOOKUP(Subnets[[#This Row],[VNETID]],VNETS[#All],11, FALSE)</f>
        <v>STORAGE</v>
      </c>
      <c r="V94" s="53" t="str">
        <f>VLOOKUP(Subnets[[#This Row],[VNETID]],VNETS[#All],2, FALSE)</f>
        <v>sub05</v>
      </c>
    </row>
    <row r="95" spans="1:22" x14ac:dyDescent="0.45">
      <c r="A95" t="s">
        <v>479</v>
      </c>
      <c r="B95">
        <v>570</v>
      </c>
      <c r="C95" t="s">
        <v>312</v>
      </c>
      <c r="D95" t="str">
        <f>I95&amp;"_"&amp;Subnets[[#This Row],[SubNetNumber]]&amp;"_"&amp;Subnets[[#This Row],[Dept. (Computed)]]&amp;"_"&amp;E95&amp;"_"&amp;Subnets[[#This Row],[Location (Computed)]]</f>
        <v>Future_570_SLG_Storage_va</v>
      </c>
      <c r="E95" t="s">
        <v>210</v>
      </c>
      <c r="F95" t="str">
        <f>VLOOKUP(Subnets[[#This Row],[VNETID]],VNETS[#All], 8, FALSE)</f>
        <v>SLG</v>
      </c>
      <c r="G95" t="str">
        <f>VLOOKUP(Subnets[[#This Row],[VNETID]],VNETS[#All], 9, FALSE)</f>
        <v>Managed</v>
      </c>
      <c r="H95" t="str">
        <f>VLOOKUP(Subnets[[#This Row],[VNETID]],VNETS[#All],13, FALSE)</f>
        <v>va</v>
      </c>
      <c r="I95" t="s">
        <v>299</v>
      </c>
      <c r="K95" t="s">
        <v>300</v>
      </c>
      <c r="L95" t="str">
        <f t="shared" si="2"/>
        <v>10.130.52.0</v>
      </c>
      <c r="M95" s="9" t="s">
        <v>488</v>
      </c>
      <c r="N95" t="str">
        <f>VLOOKUP(Subnets[[#This Row],[VNETID]],VNETS[#All],7, FALSE)</f>
        <v>mag_slg_managed_storage</v>
      </c>
      <c r="O95">
        <f>VLOOKUP(Subnets[[#This Row],[VNETID]], VNETS[#All], 14, FALSE)</f>
        <v>10</v>
      </c>
      <c r="P95">
        <f>VLOOKUP(Subnets[[#This Row],[VNETID]], VNETS[#All], 15, FALSE)</f>
        <v>130</v>
      </c>
      <c r="Q95">
        <v>52</v>
      </c>
      <c r="R95">
        <v>0</v>
      </c>
      <c r="U95" s="53" t="str">
        <f>VLOOKUP(Subnets[[#This Row],[VNETID]],VNETS[#All],11, FALSE)</f>
        <v>STORAGE</v>
      </c>
      <c r="V95" s="53" t="str">
        <f>VLOOKUP(Subnets[[#This Row],[VNETID]],VNETS[#All],2, FALSE)</f>
        <v>sub05</v>
      </c>
    </row>
    <row r="96" spans="1:22" x14ac:dyDescent="0.45">
      <c r="A96" t="s">
        <v>480</v>
      </c>
      <c r="B96">
        <v>570</v>
      </c>
      <c r="C96" t="s">
        <v>312</v>
      </c>
      <c r="D96" t="str">
        <f>I96&amp;"_"&amp;Subnets[[#This Row],[SubNetNumber]]&amp;"_"&amp;Subnets[[#This Row],[Dept. (Computed)]]&amp;"_"&amp;E96&amp;"_"&amp;Subnets[[#This Row],[Location (Computed)]]</f>
        <v>Future_570_SLG_Storage_va</v>
      </c>
      <c r="E96" t="s">
        <v>210</v>
      </c>
      <c r="F96" t="str">
        <f>VLOOKUP(Subnets[[#This Row],[VNETID]],VNETS[#All], 8, FALSE)</f>
        <v>SLG</v>
      </c>
      <c r="G96" t="str">
        <f>VLOOKUP(Subnets[[#This Row],[VNETID]],VNETS[#All], 9, FALSE)</f>
        <v>Managed</v>
      </c>
      <c r="H96" t="str">
        <f>VLOOKUP(Subnets[[#This Row],[VNETID]],VNETS[#All],13, FALSE)</f>
        <v>va</v>
      </c>
      <c r="I96" t="s">
        <v>299</v>
      </c>
      <c r="K96" t="s">
        <v>300</v>
      </c>
      <c r="L96" t="str">
        <f t="shared" si="2"/>
        <v>10.130.54.0</v>
      </c>
      <c r="M96" s="9" t="s">
        <v>77</v>
      </c>
      <c r="N96" t="str">
        <f>VLOOKUP(Subnets[[#This Row],[VNETID]],VNETS[#All],7, FALSE)</f>
        <v>mag_slg_managed_storage</v>
      </c>
      <c r="O96">
        <f>VLOOKUP(Subnets[[#This Row],[VNETID]], VNETS[#All], 14, FALSE)</f>
        <v>10</v>
      </c>
      <c r="P96">
        <f>VLOOKUP(Subnets[[#This Row],[VNETID]], VNETS[#All], 15, FALSE)</f>
        <v>130</v>
      </c>
      <c r="Q96">
        <v>54</v>
      </c>
      <c r="R96">
        <v>0</v>
      </c>
      <c r="U96" s="53" t="str">
        <f>VLOOKUP(Subnets[[#This Row],[VNETID]],VNETS[#All],11, FALSE)</f>
        <v>STORAGE</v>
      </c>
      <c r="V96" s="53" t="str">
        <f>VLOOKUP(Subnets[[#This Row],[VNETID]],VNETS[#All],2, FALSE)</f>
        <v>sub05</v>
      </c>
    </row>
    <row r="97" spans="1:22" x14ac:dyDescent="0.45">
      <c r="A97" t="s">
        <v>481</v>
      </c>
      <c r="B97">
        <v>599</v>
      </c>
      <c r="C97" t="s">
        <v>312</v>
      </c>
      <c r="D97" t="str">
        <f>I97&amp;"_"&amp;Subnets[[#This Row],[SubNetNumber]]&amp;"_"&amp;Subnets[[#This Row],[Dept. (Computed)]]&amp;"_"&amp;E97&amp;"_"&amp;Subnets[[#This Row],[Location (Computed)]]</f>
        <v>Gateway_599_SLG_Storage_va</v>
      </c>
      <c r="E97" t="s">
        <v>210</v>
      </c>
      <c r="F97" t="str">
        <f>VLOOKUP(Subnets[[#This Row],[VNETID]],VNETS[#All], 8, FALSE)</f>
        <v>SLG</v>
      </c>
      <c r="G97" t="str">
        <f>VLOOKUP(Subnets[[#This Row],[VNETID]],VNETS[#All], 9, FALSE)</f>
        <v>Managed</v>
      </c>
      <c r="H97" t="str">
        <f>VLOOKUP(Subnets[[#This Row],[VNETID]],VNETS[#All],13, FALSE)</f>
        <v>va</v>
      </c>
      <c r="I97" t="s">
        <v>500</v>
      </c>
      <c r="K97" t="s">
        <v>553</v>
      </c>
      <c r="L97" t="str">
        <f t="shared" si="2"/>
        <v>10.130.55.248</v>
      </c>
      <c r="M97" s="9" t="s">
        <v>398</v>
      </c>
      <c r="N97" t="str">
        <f>VLOOKUP(Subnets[[#This Row],[VNETID]],VNETS[#All],7, FALSE)</f>
        <v>mag_slg_managed_storage</v>
      </c>
      <c r="O97">
        <f>VLOOKUP(Subnets[[#This Row],[VNETID]], VNETS[#All], 14, FALSE)</f>
        <v>10</v>
      </c>
      <c r="P97">
        <f>VLOOKUP(Subnets[[#This Row],[VNETID]], VNETS[#All], 15, FALSE)</f>
        <v>130</v>
      </c>
      <c r="Q97">
        <v>55</v>
      </c>
      <c r="R97">
        <v>248</v>
      </c>
      <c r="S97" t="str">
        <f>O97&amp;"."&amp;P97&amp;"."&amp;Q97&amp;"."&amp;R97</f>
        <v>10.130.55.248</v>
      </c>
      <c r="T97" s="9" t="s">
        <v>398</v>
      </c>
      <c r="U97" s="53" t="str">
        <f>VLOOKUP(Subnets[[#This Row],[VNETID]],VNETS[#All],11, FALSE)</f>
        <v>STORAGE</v>
      </c>
      <c r="V97" s="53" t="str">
        <f>VLOOKUP(Subnets[[#This Row],[VNETID]],VNETS[#All],2, FALSE)</f>
        <v>sub05</v>
      </c>
    </row>
    <row r="98" spans="1:22" x14ac:dyDescent="0.45">
      <c r="A98" t="s">
        <v>482</v>
      </c>
      <c r="B98">
        <v>500</v>
      </c>
      <c r="C98" t="s">
        <v>317</v>
      </c>
      <c r="D98" t="str">
        <f>I98&amp;"_"&amp;Subnets[[#This Row],[SubNetNumber]]&amp;"_"&amp;Subnets[[#This Row],[Dept. (Computed)]]&amp;"_"&amp;E98&amp;"_"&amp;Subnets[[#This Row],[Location (Computed)]]</f>
        <v>Storage_500_SLG_Storage_ia</v>
      </c>
      <c r="E98" t="s">
        <v>210</v>
      </c>
      <c r="F98" t="str">
        <f>VLOOKUP(Subnets[[#This Row],[VNETID]],VNETS[#All], 8, FALSE)</f>
        <v>SLG</v>
      </c>
      <c r="G98" t="str">
        <f>VLOOKUP(Subnets[[#This Row],[VNETID]],VNETS[#All], 9, FALSE)</f>
        <v>Managed</v>
      </c>
      <c r="H98" t="str">
        <f>VLOOKUP(Subnets[[#This Row],[VNETID]],VNETS[#All],13, FALSE)</f>
        <v>ia</v>
      </c>
      <c r="I98" t="s">
        <v>210</v>
      </c>
      <c r="K98" t="s">
        <v>300</v>
      </c>
      <c r="L98" t="str">
        <f t="shared" si="2"/>
        <v>10.130.112.0</v>
      </c>
      <c r="M98" s="9" t="s">
        <v>77</v>
      </c>
      <c r="N98" t="str">
        <f>VLOOKUP(Subnets[[#This Row],[VNETID]],VNETS[#All],7, FALSE)</f>
        <v>mag_slg_managed_storage</v>
      </c>
      <c r="O98">
        <f>VLOOKUP(Subnets[[#This Row],[VNETID]], VNETS[#All], 14, FALSE)</f>
        <v>10</v>
      </c>
      <c r="P98">
        <f>VLOOKUP(Subnets[[#This Row],[VNETID]], VNETS[#All], 15, FALSE)</f>
        <v>130</v>
      </c>
      <c r="Q98">
        <v>112</v>
      </c>
      <c r="R98">
        <v>0</v>
      </c>
      <c r="S98" t="str">
        <f>O98&amp;"."&amp;P98&amp;"."&amp;Q98&amp;"."&amp;R98</f>
        <v>10.130.112.0</v>
      </c>
      <c r="T98" s="9" t="s">
        <v>301</v>
      </c>
      <c r="U98" s="53" t="str">
        <f>VLOOKUP(Subnets[[#This Row],[VNETID]],VNETS[#All],11, FALSE)</f>
        <v>STORAGE</v>
      </c>
      <c r="V98" s="53" t="str">
        <f>VLOOKUP(Subnets[[#This Row],[VNETID]],VNETS[#All],2, FALSE)</f>
        <v>sub05</v>
      </c>
    </row>
    <row r="99" spans="1:22" x14ac:dyDescent="0.45">
      <c r="A99" t="s">
        <v>1029</v>
      </c>
      <c r="B99" s="53">
        <v>560</v>
      </c>
      <c r="C99" t="s">
        <v>317</v>
      </c>
      <c r="D99" s="53" t="str">
        <f>I99&amp;"_"&amp;Subnets[[#This Row],[SubNetNumber]]&amp;"_"&amp;Subnets[[#This Row],[Dept. (Computed)]]&amp;"_"&amp;E99&amp;"_"&amp;Subnets[[#This Row],[Location (Computed)]]</f>
        <v>User_Tier0_560_SLG_Storage_ia</v>
      </c>
      <c r="E99" t="s">
        <v>210</v>
      </c>
      <c r="F99" s="53" t="str">
        <f>VLOOKUP(Subnets[[#This Row],[VNETID]],VNETS[#All], 8, FALSE)</f>
        <v>SLG</v>
      </c>
      <c r="G99" s="29" t="str">
        <f>VLOOKUP(Subnets[[#This Row],[VNETID]],VNETS[#All], 9, FALSE)</f>
        <v>Managed</v>
      </c>
      <c r="H99" t="str">
        <f>VLOOKUP(Subnets[[#This Row],[VNETID]],VNETS[#All],13, FALSE)</f>
        <v>ia</v>
      </c>
      <c r="I99" t="s">
        <v>982</v>
      </c>
      <c r="K99" t="s">
        <v>985</v>
      </c>
      <c r="L99" t="str">
        <f>O99&amp;"."&amp;P99&amp;"."&amp;Q99&amp;"."&amp;R99</f>
        <v>10.130.113.0</v>
      </c>
      <c r="M99" s="67" t="s">
        <v>389</v>
      </c>
      <c r="N99" t="str">
        <f>VLOOKUP(Subnets[[#This Row],[VNETID]],VNETS[#All],7, FALSE)</f>
        <v>mag_slg_managed_storage</v>
      </c>
      <c r="O99">
        <f>VLOOKUP(Subnets[[#This Row],[VNETID]], VNETS[#All], 14, FALSE)</f>
        <v>10</v>
      </c>
      <c r="P99">
        <f>VLOOKUP(Subnets[[#This Row],[VNETID]], VNETS[#All], 15, FALSE)</f>
        <v>130</v>
      </c>
      <c r="Q99" s="53">
        <v>113</v>
      </c>
      <c r="R99" s="53">
        <v>0</v>
      </c>
      <c r="S99" s="53"/>
      <c r="T99" s="67"/>
      <c r="U99" s="53" t="str">
        <f>VLOOKUP(Subnets[[#This Row],[VNETID]],VNETS[#All],11, FALSE)</f>
        <v>STORAGE</v>
      </c>
      <c r="V99" s="53" t="str">
        <f>VLOOKUP(Subnets[[#This Row],[VNETID]],VNETS[#All],2, FALSE)</f>
        <v>sub05</v>
      </c>
    </row>
    <row r="100" spans="1:22" x14ac:dyDescent="0.45">
      <c r="A100" t="s">
        <v>1030</v>
      </c>
      <c r="B100" s="53">
        <v>561</v>
      </c>
      <c r="C100" t="s">
        <v>317</v>
      </c>
      <c r="D100" s="53" t="str">
        <f>I100&amp;"_"&amp;Subnets[[#This Row],[SubNetNumber]]&amp;"_"&amp;Subnets[[#This Row],[Dept. (Computed)]]&amp;"_"&amp;E100&amp;"_"&amp;Subnets[[#This Row],[Location (Computed)]]</f>
        <v>Users_Tier1_561_SLG_Storage_ia</v>
      </c>
      <c r="E100" t="s">
        <v>210</v>
      </c>
      <c r="F100" s="53" t="str">
        <f>VLOOKUP(Subnets[[#This Row],[VNETID]],VNETS[#All], 8, FALSE)</f>
        <v>SLG</v>
      </c>
      <c r="G100" s="29" t="str">
        <f>VLOOKUP(Subnets[[#This Row],[VNETID]],VNETS[#All], 9, FALSE)</f>
        <v>Managed</v>
      </c>
      <c r="H100" t="str">
        <f>VLOOKUP(Subnets[[#This Row],[VNETID]],VNETS[#All],13, FALSE)</f>
        <v>ia</v>
      </c>
      <c r="I100" t="s">
        <v>980</v>
      </c>
      <c r="K100" t="s">
        <v>983</v>
      </c>
      <c r="L100" t="str">
        <f>O100&amp;"."&amp;P100&amp;"."&amp;Q100&amp;"."&amp;R100</f>
        <v>10.130.113.128</v>
      </c>
      <c r="M100" s="67" t="s">
        <v>389</v>
      </c>
      <c r="N100" t="str">
        <f>VLOOKUP(Subnets[[#This Row],[VNETID]],VNETS[#All],7, FALSE)</f>
        <v>mag_slg_managed_storage</v>
      </c>
      <c r="O100">
        <f>VLOOKUP(Subnets[[#This Row],[VNETID]], VNETS[#All], 14, FALSE)</f>
        <v>10</v>
      </c>
      <c r="P100">
        <f>VLOOKUP(Subnets[[#This Row],[VNETID]], VNETS[#All], 15, FALSE)</f>
        <v>130</v>
      </c>
      <c r="Q100" s="53">
        <v>113</v>
      </c>
      <c r="R100" s="53">
        <v>128</v>
      </c>
      <c r="S100" s="53"/>
      <c r="T100" s="67"/>
      <c r="U100" s="53" t="str">
        <f>VLOOKUP(Subnets[[#This Row],[VNETID]],VNETS[#All],11, FALSE)</f>
        <v>STORAGE</v>
      </c>
      <c r="V100" s="53" t="str">
        <f>VLOOKUP(Subnets[[#This Row],[VNETID]],VNETS[#All],2, FALSE)</f>
        <v>sub05</v>
      </c>
    </row>
    <row r="101" spans="1:22" x14ac:dyDescent="0.45">
      <c r="A101" t="s">
        <v>483</v>
      </c>
      <c r="B101">
        <v>570</v>
      </c>
      <c r="C101" t="s">
        <v>317</v>
      </c>
      <c r="D101" t="str">
        <f>I101&amp;"_"&amp;Subnets[[#This Row],[SubNetNumber]]&amp;"_"&amp;Subnets[[#This Row],[Dept. (Computed)]]&amp;"_"&amp;E101&amp;"_"&amp;Subnets[[#This Row],[Location (Computed)]]</f>
        <v>Future_570_SLG_Storage_ia</v>
      </c>
      <c r="E101" t="s">
        <v>210</v>
      </c>
      <c r="F101" t="str">
        <f>VLOOKUP(Subnets[[#This Row],[VNETID]],VNETS[#All], 8, FALSE)</f>
        <v>SLG</v>
      </c>
      <c r="G101" t="str">
        <f>VLOOKUP(Subnets[[#This Row],[VNETID]],VNETS[#All], 9, FALSE)</f>
        <v>Managed</v>
      </c>
      <c r="H101" t="str">
        <f>VLOOKUP(Subnets[[#This Row],[VNETID]],VNETS[#All],13, FALSE)</f>
        <v>ia</v>
      </c>
      <c r="I101" t="s">
        <v>299</v>
      </c>
      <c r="K101" t="s">
        <v>300</v>
      </c>
      <c r="L101" t="str">
        <f t="shared" si="2"/>
        <v>10.130.114.0</v>
      </c>
      <c r="M101" s="9" t="s">
        <v>372</v>
      </c>
      <c r="N101" t="str">
        <f>VLOOKUP(Subnets[[#This Row],[VNETID]],VNETS[#All],7, FALSE)</f>
        <v>mag_slg_managed_storage</v>
      </c>
      <c r="O101">
        <f>VLOOKUP(Subnets[[#This Row],[VNETID]], VNETS[#All], 14, FALSE)</f>
        <v>10</v>
      </c>
      <c r="P101">
        <f>VLOOKUP(Subnets[[#This Row],[VNETID]], VNETS[#All], 15, FALSE)</f>
        <v>130</v>
      </c>
      <c r="Q101">
        <v>114</v>
      </c>
      <c r="R101">
        <v>0</v>
      </c>
      <c r="U101" s="53" t="str">
        <f>VLOOKUP(Subnets[[#This Row],[VNETID]],VNETS[#All],11, FALSE)</f>
        <v>STORAGE</v>
      </c>
      <c r="V101" s="53" t="str">
        <f>VLOOKUP(Subnets[[#This Row],[VNETID]],VNETS[#All],2, FALSE)</f>
        <v>sub05</v>
      </c>
    </row>
    <row r="102" spans="1:22" x14ac:dyDescent="0.45">
      <c r="A102" t="s">
        <v>484</v>
      </c>
      <c r="B102">
        <v>570</v>
      </c>
      <c r="C102" t="s">
        <v>317</v>
      </c>
      <c r="D102" t="str">
        <f>I102&amp;"_"&amp;Subnets[[#This Row],[SubNetNumber]]&amp;"_"&amp;Subnets[[#This Row],[Dept. (Computed)]]&amp;"_"&amp;E102&amp;"_"&amp;Subnets[[#This Row],[Location (Computed)]]</f>
        <v>Future_570_SLG_Storage_ia</v>
      </c>
      <c r="E102" t="s">
        <v>210</v>
      </c>
      <c r="F102" t="str">
        <f>VLOOKUP(Subnets[[#This Row],[VNETID]],VNETS[#All], 8, FALSE)</f>
        <v>SLG</v>
      </c>
      <c r="G102" t="str">
        <f>VLOOKUP(Subnets[[#This Row],[VNETID]],VNETS[#All], 9, FALSE)</f>
        <v>Managed</v>
      </c>
      <c r="H102" t="str">
        <f>VLOOKUP(Subnets[[#This Row],[VNETID]],VNETS[#All],13, FALSE)</f>
        <v>ia</v>
      </c>
      <c r="I102" t="s">
        <v>299</v>
      </c>
      <c r="K102" t="s">
        <v>300</v>
      </c>
      <c r="L102" t="str">
        <f t="shared" si="2"/>
        <v>10.130.116.0</v>
      </c>
      <c r="M102" s="9" t="s">
        <v>372</v>
      </c>
      <c r="N102" t="str">
        <f>VLOOKUP(Subnets[[#This Row],[VNETID]],VNETS[#All],7, FALSE)</f>
        <v>mag_slg_managed_storage</v>
      </c>
      <c r="O102">
        <f>VLOOKUP(Subnets[[#This Row],[VNETID]], VNETS[#All], 14, FALSE)</f>
        <v>10</v>
      </c>
      <c r="P102">
        <f>VLOOKUP(Subnets[[#This Row],[VNETID]], VNETS[#All], 15, FALSE)</f>
        <v>130</v>
      </c>
      <c r="Q102">
        <v>116</v>
      </c>
      <c r="R102">
        <v>0</v>
      </c>
      <c r="U102" s="53" t="str">
        <f>VLOOKUP(Subnets[[#This Row],[VNETID]],VNETS[#All],11, FALSE)</f>
        <v>STORAGE</v>
      </c>
      <c r="V102" s="53" t="str">
        <f>VLOOKUP(Subnets[[#This Row],[VNETID]],VNETS[#All],2, FALSE)</f>
        <v>sub05</v>
      </c>
    </row>
    <row r="103" spans="1:22" x14ac:dyDescent="0.45">
      <c r="A103" t="s">
        <v>485</v>
      </c>
      <c r="B103">
        <v>570</v>
      </c>
      <c r="C103" t="s">
        <v>317</v>
      </c>
      <c r="D103" t="str">
        <f>I103&amp;"_"&amp;Subnets[[#This Row],[SubNetNumber]]&amp;"_"&amp;Subnets[[#This Row],[Dept. (Computed)]]&amp;"_"&amp;E103&amp;"_"&amp;Subnets[[#This Row],[Location (Computed)]]</f>
        <v>Future_570_SLG_Storage_ia</v>
      </c>
      <c r="E103" t="s">
        <v>210</v>
      </c>
      <c r="F103" t="str">
        <f>VLOOKUP(Subnets[[#This Row],[VNETID]],VNETS[#All], 8, FALSE)</f>
        <v>SLG</v>
      </c>
      <c r="G103" t="str">
        <f>VLOOKUP(Subnets[[#This Row],[VNETID]],VNETS[#All], 9, FALSE)</f>
        <v>Managed</v>
      </c>
      <c r="H103" t="str">
        <f>VLOOKUP(Subnets[[#This Row],[VNETID]],VNETS[#All],13, FALSE)</f>
        <v>ia</v>
      </c>
      <c r="I103" t="s">
        <v>299</v>
      </c>
      <c r="K103" t="s">
        <v>300</v>
      </c>
      <c r="L103" t="str">
        <f t="shared" si="2"/>
        <v>10.130.118.0</v>
      </c>
      <c r="M103" s="9" t="s">
        <v>77</v>
      </c>
      <c r="N103" t="str">
        <f>VLOOKUP(Subnets[[#This Row],[VNETID]],VNETS[#All],7, FALSE)</f>
        <v>mag_slg_managed_storage</v>
      </c>
      <c r="O103">
        <f>VLOOKUP(Subnets[[#This Row],[VNETID]], VNETS[#All], 14, FALSE)</f>
        <v>10</v>
      </c>
      <c r="P103">
        <f>VLOOKUP(Subnets[[#This Row],[VNETID]], VNETS[#All], 15, FALSE)</f>
        <v>130</v>
      </c>
      <c r="Q103">
        <v>118</v>
      </c>
      <c r="R103">
        <v>0</v>
      </c>
      <c r="U103" s="53" t="str">
        <f>VLOOKUP(Subnets[[#This Row],[VNETID]],VNETS[#All],11, FALSE)</f>
        <v>STORAGE</v>
      </c>
      <c r="V103" s="53" t="str">
        <f>VLOOKUP(Subnets[[#This Row],[VNETID]],VNETS[#All],2, FALSE)</f>
        <v>sub05</v>
      </c>
    </row>
    <row r="104" spans="1:22" x14ac:dyDescent="0.45">
      <c r="A104" t="s">
        <v>486</v>
      </c>
      <c r="B104">
        <v>599</v>
      </c>
      <c r="C104" t="s">
        <v>317</v>
      </c>
      <c r="D104" t="str">
        <f>I104&amp;"_"&amp;Subnets[[#This Row],[SubNetNumber]]&amp;"_"&amp;Subnets[[#This Row],[Dept. (Computed)]]&amp;"_"&amp;E104&amp;"_"&amp;Subnets[[#This Row],[Location (Computed)]]</f>
        <v>Gateway_599_SLG_Storage_ia</v>
      </c>
      <c r="E104" t="s">
        <v>210</v>
      </c>
      <c r="F104" t="str">
        <f>VLOOKUP(Subnets[[#This Row],[VNETID]],VNETS[#All], 8, FALSE)</f>
        <v>SLG</v>
      </c>
      <c r="G104" t="str">
        <f>VLOOKUP(Subnets[[#This Row],[VNETID]],VNETS[#All], 9, FALSE)</f>
        <v>Managed</v>
      </c>
      <c r="H104" t="str">
        <f>VLOOKUP(Subnets[[#This Row],[VNETID]],VNETS[#All],13, FALSE)</f>
        <v>ia</v>
      </c>
      <c r="I104" t="s">
        <v>500</v>
      </c>
      <c r="K104" t="s">
        <v>553</v>
      </c>
      <c r="L104" t="str">
        <f t="shared" si="2"/>
        <v>10.130.119.248</v>
      </c>
      <c r="M104" s="9" t="s">
        <v>398</v>
      </c>
      <c r="N104" t="str">
        <f>VLOOKUP(Subnets[[#This Row],[VNETID]],VNETS[#All],7, FALSE)</f>
        <v>mag_slg_managed_storage</v>
      </c>
      <c r="O104">
        <f>VLOOKUP(Subnets[[#This Row],[VNETID]], VNETS[#All], 14, FALSE)</f>
        <v>10</v>
      </c>
      <c r="P104">
        <f>VLOOKUP(Subnets[[#This Row],[VNETID]], VNETS[#All], 15, FALSE)</f>
        <v>130</v>
      </c>
      <c r="Q104">
        <v>119</v>
      </c>
      <c r="R104">
        <v>248</v>
      </c>
      <c r="S104" t="str">
        <f>O104&amp;"."&amp;P104&amp;"."&amp;Q104&amp;"."&amp;R104</f>
        <v>10.130.119.248</v>
      </c>
      <c r="T104" s="9" t="s">
        <v>398</v>
      </c>
      <c r="U104" s="53" t="str">
        <f>VLOOKUP(Subnets[[#This Row],[VNETID]],VNETS[#All],11, FALSE)</f>
        <v>STORAGE</v>
      </c>
      <c r="V104" s="53" t="str">
        <f>VLOOKUP(Subnets[[#This Row],[VNETID]],VNETS[#All],2, FALSE)</f>
        <v>sub05</v>
      </c>
    </row>
    <row r="105" spans="1:22" x14ac:dyDescent="0.45">
      <c r="A105" t="s">
        <v>1217</v>
      </c>
      <c r="B105">
        <v>210</v>
      </c>
      <c r="C105" t="s">
        <v>1207</v>
      </c>
      <c r="D105" t="str">
        <f>I105&amp;"_"&amp;Subnets[[#This Row],[SubNetNumber]]&amp;"_"&amp;Subnets[[#This Row],[Dept. (Computed)]]&amp;"_"&amp;E105&amp;"_"&amp;Subnets[[#This Row],[Location (Computed)]]</f>
        <v>Web_210_SLG_CJIS_w2</v>
      </c>
      <c r="E105" t="str">
        <f>VLOOKUP(Subnets[[#This Row],[VNETID]], VNETS[], 11, FALSE)</f>
        <v>CJIS</v>
      </c>
      <c r="F105" t="str">
        <f>VLOOKUP(Subnets[[#This Row],[VNETID]],VNETS[#All], 8, FALSE)</f>
        <v>SLG</v>
      </c>
      <c r="G105" t="str">
        <f>VLOOKUP(Subnets[[#This Row],[VNETID]],VNETS[#All], 9, FALSE)</f>
        <v>Managed</v>
      </c>
      <c r="H105" t="str">
        <f>VLOOKUP(Subnets[[#This Row],[VNETID]],VNETS[#All],13, FALSE)</f>
        <v>w2</v>
      </c>
      <c r="I105" t="s">
        <v>72</v>
      </c>
      <c r="K105" t="s">
        <v>76</v>
      </c>
      <c r="L105" t="str">
        <f t="shared" si="2"/>
        <v>10.131.16.0</v>
      </c>
      <c r="M105" s="9" t="s">
        <v>77</v>
      </c>
      <c r="N105" t="str">
        <f>VLOOKUP(Subnets[[#This Row],[VNETID]],VNETS[#All],7, FALSE)</f>
        <v>mac_slg_managed_preprod</v>
      </c>
      <c r="O105">
        <f>VLOOKUP(Subnets[[#This Row],[VNETID]], VNETS[#All], 14, FALSE)</f>
        <v>10</v>
      </c>
      <c r="P105">
        <f>VLOOKUP(Subnets[[#This Row],[VNETID]], VNETS[#All], 15, FALSE)</f>
        <v>131</v>
      </c>
      <c r="Q105">
        <v>16</v>
      </c>
      <c r="R105">
        <v>0</v>
      </c>
      <c r="S105" t="str">
        <f>O105&amp;"."&amp;P105&amp;"."&amp;Q105&amp;"."&amp;R105</f>
        <v>10.131.16.0</v>
      </c>
      <c r="T105" s="9" t="s">
        <v>382</v>
      </c>
      <c r="U105" s="53" t="str">
        <f>VLOOKUP(Subnets[[#This Row],[VNETID]],VNETS[#All],11, FALSE)</f>
        <v>CJIS</v>
      </c>
      <c r="V105" s="53" t="str">
        <f>VLOOKUP(Subnets[[#This Row],[VNETID]],VNETS[#All],2, FALSE)</f>
        <v>sub11</v>
      </c>
    </row>
    <row r="106" spans="1:22" x14ac:dyDescent="0.45">
      <c r="A106" t="s">
        <v>1218</v>
      </c>
      <c r="B106">
        <v>220</v>
      </c>
      <c r="C106" t="s">
        <v>1207</v>
      </c>
      <c r="D106" t="str">
        <f>I106&amp;"_"&amp;Subnets[[#This Row],[SubNetNumber]]&amp;"_"&amp;Subnets[[#This Row],[Dept. (Computed)]]&amp;"_"&amp;E106&amp;"_"&amp;Subnets[[#This Row],[Location (Computed)]]</f>
        <v>App_220_SLG_CJIS_w2</v>
      </c>
      <c r="E106" t="str">
        <f>VLOOKUP(Subnets[[#This Row],[VNETID]], VNETS[], 11, FALSE)</f>
        <v>CJIS</v>
      </c>
      <c r="F106" t="str">
        <f>VLOOKUP(Subnets[[#This Row],[VNETID]],VNETS[#All], 8, FALSE)</f>
        <v>SLG</v>
      </c>
      <c r="G106" t="str">
        <f>VLOOKUP(Subnets[[#This Row],[VNETID]],VNETS[#All], 9, FALSE)</f>
        <v>Managed</v>
      </c>
      <c r="H106" t="str">
        <f>VLOOKUP(Subnets[[#This Row],[VNETID]],VNETS[#All],13, FALSE)</f>
        <v>w2</v>
      </c>
      <c r="I106" t="s">
        <v>73</v>
      </c>
      <c r="K106" t="s">
        <v>78</v>
      </c>
      <c r="L106" t="str">
        <f t="shared" si="2"/>
        <v>10.131.18.0</v>
      </c>
      <c r="M106" s="9" t="s">
        <v>77</v>
      </c>
      <c r="N106" t="str">
        <f>VLOOKUP(Subnets[[#This Row],[VNETID]],VNETS[#All],7, FALSE)</f>
        <v>mac_slg_managed_preprod</v>
      </c>
      <c r="O106">
        <f>VLOOKUP(Subnets[[#This Row],[VNETID]], VNETS[#All], 14, FALSE)</f>
        <v>10</v>
      </c>
      <c r="P106">
        <f>VLOOKUP(Subnets[[#This Row],[VNETID]], VNETS[#All], 15, FALSE)</f>
        <v>131</v>
      </c>
      <c r="Q106">
        <v>18</v>
      </c>
      <c r="R106">
        <v>0</v>
      </c>
      <c r="U106" s="53" t="str">
        <f>VLOOKUP(Subnets[[#This Row],[VNETID]],VNETS[#All],11, FALSE)</f>
        <v>CJIS</v>
      </c>
      <c r="V106" s="53" t="str">
        <f>VLOOKUP(Subnets[[#This Row],[VNETID]],VNETS[#All],2, FALSE)</f>
        <v>sub11</v>
      </c>
    </row>
    <row r="107" spans="1:22" x14ac:dyDescent="0.45">
      <c r="A107" t="s">
        <v>1219</v>
      </c>
      <c r="B107">
        <v>230</v>
      </c>
      <c r="C107" t="s">
        <v>1207</v>
      </c>
      <c r="D107" t="str">
        <f>I107&amp;"_"&amp;Subnets[[#This Row],[SubNetNumber]]&amp;"_"&amp;Subnets[[#This Row],[Dept. (Computed)]]&amp;"_"&amp;E107&amp;"_"&amp;Subnets[[#This Row],[Location (Computed)]]</f>
        <v>DB_230_SLG_CJIS_w2</v>
      </c>
      <c r="E107" t="str">
        <f>VLOOKUP(Subnets[[#This Row],[VNETID]], VNETS[], 11, FALSE)</f>
        <v>CJIS</v>
      </c>
      <c r="F107" t="str">
        <f>VLOOKUP(Subnets[[#This Row],[VNETID]],VNETS[#All], 8, FALSE)</f>
        <v>SLG</v>
      </c>
      <c r="G107" t="str">
        <f>VLOOKUP(Subnets[[#This Row],[VNETID]],VNETS[#All], 9, FALSE)</f>
        <v>Managed</v>
      </c>
      <c r="H107" t="str">
        <f>VLOOKUP(Subnets[[#This Row],[VNETID]],VNETS[#All],13, FALSE)</f>
        <v>w2</v>
      </c>
      <c r="I107" t="s">
        <v>487</v>
      </c>
      <c r="K107" t="s">
        <v>79</v>
      </c>
      <c r="L107" t="str">
        <f t="shared" si="2"/>
        <v>10.131.20.0</v>
      </c>
      <c r="M107" s="9" t="s">
        <v>77</v>
      </c>
      <c r="N107" t="str">
        <f>VLOOKUP(Subnets[[#This Row],[VNETID]],VNETS[#All],7, FALSE)</f>
        <v>mac_slg_managed_preprod</v>
      </c>
      <c r="O107">
        <f>VLOOKUP(Subnets[[#This Row],[VNETID]], VNETS[#All], 14, FALSE)</f>
        <v>10</v>
      </c>
      <c r="P107">
        <f>VLOOKUP(Subnets[[#This Row],[VNETID]], VNETS[#All], 15, FALSE)</f>
        <v>131</v>
      </c>
      <c r="Q107">
        <v>20</v>
      </c>
      <c r="R107">
        <v>0</v>
      </c>
      <c r="U107" s="53" t="str">
        <f>VLOOKUP(Subnets[[#This Row],[VNETID]],VNETS[#All],11, FALSE)</f>
        <v>CJIS</v>
      </c>
      <c r="V107" s="53" t="str">
        <f>VLOOKUP(Subnets[[#This Row],[VNETID]],VNETS[#All],2, FALSE)</f>
        <v>sub11</v>
      </c>
    </row>
    <row r="108" spans="1:22" x14ac:dyDescent="0.45">
      <c r="A108" t="s">
        <v>1220</v>
      </c>
      <c r="B108">
        <v>250</v>
      </c>
      <c r="C108" t="s">
        <v>1207</v>
      </c>
      <c r="D108" t="str">
        <f>I108&amp;"_"&amp;Subnets[[#This Row],[SubNetNumber]]&amp;"_"&amp;Subnets[[#This Row],[Dept. (Computed)]]&amp;"_"&amp;E108&amp;"_"&amp;Subnets[[#This Row],[Location (Computed)]]</f>
        <v>DMZ_250_SLG_CJIS_w2</v>
      </c>
      <c r="E108" t="str">
        <f>VLOOKUP(Subnets[[#This Row],[VNETID]], VNETS[], 11, FALSE)</f>
        <v>CJIS</v>
      </c>
      <c r="F108" t="str">
        <f>VLOOKUP(Subnets[[#This Row],[VNETID]],VNETS[#All], 8, FALSE)</f>
        <v>SLG</v>
      </c>
      <c r="G108" t="str">
        <f>VLOOKUP(Subnets[[#This Row],[VNETID]],VNETS[#All], 9, FALSE)</f>
        <v>Managed</v>
      </c>
      <c r="H108" t="str">
        <f>VLOOKUP(Subnets[[#This Row],[VNETID]],VNETS[#All],13, FALSE)</f>
        <v>w2</v>
      </c>
      <c r="I108" t="s">
        <v>75</v>
      </c>
      <c r="K108" t="s">
        <v>90</v>
      </c>
      <c r="L108" t="str">
        <f t="shared" si="2"/>
        <v>10.131.22.0</v>
      </c>
      <c r="M108" s="9" t="s">
        <v>77</v>
      </c>
      <c r="N108" t="str">
        <f>VLOOKUP(Subnets[[#This Row],[VNETID]],VNETS[#All],7, FALSE)</f>
        <v>mac_slg_managed_preprod</v>
      </c>
      <c r="O108">
        <f>VLOOKUP(Subnets[[#This Row],[VNETID]], VNETS[#All], 14, FALSE)</f>
        <v>10</v>
      </c>
      <c r="P108">
        <f>VLOOKUP(Subnets[[#This Row],[VNETID]], VNETS[#All], 15, FALSE)</f>
        <v>131</v>
      </c>
      <c r="Q108">
        <v>22</v>
      </c>
      <c r="R108">
        <v>0</v>
      </c>
      <c r="U108" s="53" t="str">
        <f>VLOOKUP(Subnets[[#This Row],[VNETID]],VNETS[#All],11, FALSE)</f>
        <v>CJIS</v>
      </c>
      <c r="V108" s="53" t="str">
        <f>VLOOKUP(Subnets[[#This Row],[VNETID]],VNETS[#All],2, FALSE)</f>
        <v>sub11</v>
      </c>
    </row>
    <row r="109" spans="1:22" x14ac:dyDescent="0.45">
      <c r="A109" t="s">
        <v>1221</v>
      </c>
      <c r="B109">
        <v>260</v>
      </c>
      <c r="C109" t="s">
        <v>1207</v>
      </c>
      <c r="D109" t="str">
        <f>I109&amp;"_"&amp;Subnets[[#This Row],[SubNetNumber]]&amp;"_"&amp;Subnets[[#This Row],[Dept. (Computed)]]&amp;"_"&amp;E109&amp;"_"&amp;Subnets[[#This Row],[Location (Computed)]]</f>
        <v>User_Tier0_260_SLG_CJIS_w2</v>
      </c>
      <c r="E109" t="str">
        <f>VLOOKUP(Subnets[[#This Row],[VNETID]], VNETS[], 11, FALSE)</f>
        <v>CJIS</v>
      </c>
      <c r="F109" t="str">
        <f>VLOOKUP(Subnets[[#This Row],[VNETID]],VNETS[#All], 8, FALSE)</f>
        <v>SLG</v>
      </c>
      <c r="G109" t="str">
        <f>VLOOKUP(Subnets[[#This Row],[VNETID]],VNETS[#All], 9, FALSE)</f>
        <v>Managed</v>
      </c>
      <c r="H109" t="str">
        <f>VLOOKUP(Subnets[[#This Row],[VNETID]],VNETS[#All],13, FALSE)</f>
        <v>w2</v>
      </c>
      <c r="I109" t="s">
        <v>982</v>
      </c>
      <c r="K109" t="s">
        <v>985</v>
      </c>
      <c r="L109" t="str">
        <f t="shared" si="2"/>
        <v>10.131.26.0</v>
      </c>
      <c r="M109" s="9" t="s">
        <v>389</v>
      </c>
      <c r="N109" t="str">
        <f>VLOOKUP(Subnets[[#This Row],[VNETID]],VNETS[#All],7, FALSE)</f>
        <v>mac_slg_managed_preprod</v>
      </c>
      <c r="O109">
        <f>VLOOKUP(Subnets[[#This Row],[VNETID]], VNETS[#All], 14, FALSE)</f>
        <v>10</v>
      </c>
      <c r="P109">
        <f>VLOOKUP(Subnets[[#This Row],[VNETID]], VNETS[#All], 15, FALSE)</f>
        <v>131</v>
      </c>
      <c r="Q109">
        <v>26</v>
      </c>
      <c r="R109">
        <v>0</v>
      </c>
      <c r="U109" s="53" t="str">
        <f>VLOOKUP(Subnets[[#This Row],[VNETID]],VNETS[#All],11, FALSE)</f>
        <v>CJIS</v>
      </c>
      <c r="V109" s="53" t="str">
        <f>VLOOKUP(Subnets[[#This Row],[VNETID]],VNETS[#All],2, FALSE)</f>
        <v>sub11</v>
      </c>
    </row>
    <row r="110" spans="1:22" x14ac:dyDescent="0.45">
      <c r="A110" t="s">
        <v>1222</v>
      </c>
      <c r="B110">
        <v>261</v>
      </c>
      <c r="C110" t="s">
        <v>1207</v>
      </c>
      <c r="D110" t="str">
        <f>I110&amp;"_"&amp;Subnets[[#This Row],[SubNetNumber]]&amp;"_"&amp;Subnets[[#This Row],[Dept. (Computed)]]&amp;"_"&amp;E110&amp;"_"&amp;Subnets[[#This Row],[Location (Computed)]]</f>
        <v>Users_Tier1_261_SLG_CJIS_w2</v>
      </c>
      <c r="E110" t="str">
        <f>VLOOKUP(Subnets[[#This Row],[VNETID]], VNETS[], 11, FALSE)</f>
        <v>CJIS</v>
      </c>
      <c r="F110" t="str">
        <f>VLOOKUP(Subnets[[#This Row],[VNETID]],VNETS[#All], 8, FALSE)</f>
        <v>SLG</v>
      </c>
      <c r="G110" t="str">
        <f>VLOOKUP(Subnets[[#This Row],[VNETID]],VNETS[#All], 9, FALSE)</f>
        <v>Managed</v>
      </c>
      <c r="H110" t="str">
        <f>VLOOKUP(Subnets[[#This Row],[VNETID]],VNETS[#All],13, FALSE)</f>
        <v>w2</v>
      </c>
      <c r="I110" t="s">
        <v>980</v>
      </c>
      <c r="K110" t="s">
        <v>983</v>
      </c>
      <c r="L110" t="str">
        <f t="shared" si="2"/>
        <v>10.131.26.128</v>
      </c>
      <c r="M110" s="9" t="s">
        <v>389</v>
      </c>
      <c r="N110" t="str">
        <f>VLOOKUP(Subnets[[#This Row],[VNETID]],VNETS[#All],7, FALSE)</f>
        <v>mac_slg_managed_preprod</v>
      </c>
      <c r="O110">
        <f>VLOOKUP(Subnets[[#This Row],[VNETID]], VNETS[#All], 14, FALSE)</f>
        <v>10</v>
      </c>
      <c r="P110">
        <f>VLOOKUP(Subnets[[#This Row],[VNETID]], VNETS[#All], 15, FALSE)</f>
        <v>131</v>
      </c>
      <c r="Q110">
        <v>26</v>
      </c>
      <c r="R110">
        <v>128</v>
      </c>
      <c r="U110" s="53" t="str">
        <f>VLOOKUP(Subnets[[#This Row],[VNETID]],VNETS[#All],11, FALSE)</f>
        <v>CJIS</v>
      </c>
      <c r="V110" s="53" t="str">
        <f>VLOOKUP(Subnets[[#This Row],[VNETID]],VNETS[#All],2, FALSE)</f>
        <v>sub11</v>
      </c>
    </row>
    <row r="111" spans="1:22" x14ac:dyDescent="0.45">
      <c r="A111" t="s">
        <v>1223</v>
      </c>
      <c r="B111">
        <v>270</v>
      </c>
      <c r="C111" t="s">
        <v>1207</v>
      </c>
      <c r="D111" t="str">
        <f>I111&amp;"_"&amp;Subnets[[#This Row],[SubNetNumber]]&amp;"_"&amp;Subnets[[#This Row],[Dept. (Computed)]]&amp;"_"&amp;E111&amp;"_"&amp;Subnets[[#This Row],[Location (Computed)]]</f>
        <v>Future_270_SLG_CJIS_w2</v>
      </c>
      <c r="E111" t="str">
        <f>VLOOKUP(Subnets[[#This Row],[VNETID]], VNETS[], 11, FALSE)</f>
        <v>CJIS</v>
      </c>
      <c r="F111" t="str">
        <f>VLOOKUP(Subnets[[#This Row],[VNETID]],VNETS[#All], 8, FALSE)</f>
        <v>SLG</v>
      </c>
      <c r="G111" t="str">
        <f>VLOOKUP(Subnets[[#This Row],[VNETID]],VNETS[#All], 9, FALSE)</f>
        <v>Managed</v>
      </c>
      <c r="H111" t="str">
        <f>VLOOKUP(Subnets[[#This Row],[VNETID]],VNETS[#All],13, FALSE)</f>
        <v>w2</v>
      </c>
      <c r="I111" t="s">
        <v>299</v>
      </c>
      <c r="K111" t="s">
        <v>300</v>
      </c>
      <c r="L111" t="str">
        <f t="shared" si="2"/>
        <v>10.131.26.0</v>
      </c>
      <c r="M111" s="9" t="s">
        <v>488</v>
      </c>
      <c r="N111" t="str">
        <f>VLOOKUP(Subnets[[#This Row],[VNETID]],VNETS[#All],7, FALSE)</f>
        <v>mac_slg_managed_preprod</v>
      </c>
      <c r="O111">
        <f>VLOOKUP(Subnets[[#This Row],[VNETID]], VNETS[#All], 14, FALSE)</f>
        <v>10</v>
      </c>
      <c r="P111">
        <f>VLOOKUP(Subnets[[#This Row],[VNETID]], VNETS[#All], 15, FALSE)</f>
        <v>131</v>
      </c>
      <c r="Q111">
        <v>26</v>
      </c>
      <c r="R111">
        <v>0</v>
      </c>
      <c r="U111" s="53" t="str">
        <f>VLOOKUP(Subnets[[#This Row],[VNETID]],VNETS[#All],11, FALSE)</f>
        <v>CJIS</v>
      </c>
      <c r="V111" s="53" t="str">
        <f>VLOOKUP(Subnets[[#This Row],[VNETID]],VNETS[#All],2, FALSE)</f>
        <v>sub11</v>
      </c>
    </row>
    <row r="112" spans="1:22" x14ac:dyDescent="0.45">
      <c r="A112" t="s">
        <v>1224</v>
      </c>
      <c r="B112">
        <v>270</v>
      </c>
      <c r="C112" t="s">
        <v>1207</v>
      </c>
      <c r="D112" t="str">
        <f>I112&amp;"_"&amp;Subnets[[#This Row],[SubNetNumber]]&amp;"_"&amp;Subnets[[#This Row],[Dept. (Computed)]]&amp;"_"&amp;E112&amp;"_"&amp;Subnets[[#This Row],[Location (Computed)]]</f>
        <v>Future_270_SLG_CJIS_w2</v>
      </c>
      <c r="E112" t="str">
        <f>VLOOKUP(Subnets[[#This Row],[VNETID]], VNETS[], 11, FALSE)</f>
        <v>CJIS</v>
      </c>
      <c r="F112" t="str">
        <f>VLOOKUP(Subnets[[#This Row],[VNETID]],VNETS[#All], 8, FALSE)</f>
        <v>SLG</v>
      </c>
      <c r="G112" t="str">
        <f>VLOOKUP(Subnets[[#This Row],[VNETID]],VNETS[#All], 9, FALSE)</f>
        <v>Managed</v>
      </c>
      <c r="H112" t="str">
        <f>VLOOKUP(Subnets[[#This Row],[VNETID]],VNETS[#All],13, FALSE)</f>
        <v>w2</v>
      </c>
      <c r="I112" t="s">
        <v>299</v>
      </c>
      <c r="K112" t="s">
        <v>300</v>
      </c>
      <c r="L112" t="str">
        <f t="shared" si="2"/>
        <v>10.131.28.0</v>
      </c>
      <c r="M112" s="9" t="s">
        <v>488</v>
      </c>
      <c r="N112" t="str">
        <f>VLOOKUP(Subnets[[#This Row],[VNETID]],VNETS[#All],7, FALSE)</f>
        <v>mac_slg_managed_preprod</v>
      </c>
      <c r="O112">
        <f>VLOOKUP(Subnets[[#This Row],[VNETID]], VNETS[#All], 14, FALSE)</f>
        <v>10</v>
      </c>
      <c r="P112">
        <f>VLOOKUP(Subnets[[#This Row],[VNETID]], VNETS[#All], 15, FALSE)</f>
        <v>131</v>
      </c>
      <c r="Q112">
        <v>28</v>
      </c>
      <c r="R112">
        <v>0</v>
      </c>
      <c r="U112" s="53" t="str">
        <f>VLOOKUP(Subnets[[#This Row],[VNETID]],VNETS[#All],11, FALSE)</f>
        <v>CJIS</v>
      </c>
      <c r="V112" s="53" t="str">
        <f>VLOOKUP(Subnets[[#This Row],[VNETID]],VNETS[#All],2, FALSE)</f>
        <v>sub11</v>
      </c>
    </row>
    <row r="113" spans="1:22" x14ac:dyDescent="0.45">
      <c r="A113" t="s">
        <v>1225</v>
      </c>
      <c r="B113">
        <v>270</v>
      </c>
      <c r="C113" t="s">
        <v>1207</v>
      </c>
      <c r="D113" t="str">
        <f>I113&amp;"_"&amp;Subnets[[#This Row],[SubNetNumber]]&amp;"_"&amp;Subnets[[#This Row],[Dept. (Computed)]]&amp;"_"&amp;E113&amp;"_"&amp;Subnets[[#This Row],[Location (Computed)]]</f>
        <v>Future_270_SLG_CJIS_w2</v>
      </c>
      <c r="E113" t="str">
        <f>VLOOKUP(Subnets[[#This Row],[VNETID]], VNETS[], 11, FALSE)</f>
        <v>CJIS</v>
      </c>
      <c r="F113" t="str">
        <f>VLOOKUP(Subnets[[#This Row],[VNETID]],VNETS[#All], 8, FALSE)</f>
        <v>SLG</v>
      </c>
      <c r="G113" t="str">
        <f>VLOOKUP(Subnets[[#This Row],[VNETID]],VNETS[#All], 9, FALSE)</f>
        <v>Managed</v>
      </c>
      <c r="H113" t="str">
        <f>VLOOKUP(Subnets[[#This Row],[VNETID]],VNETS[#All],13, FALSE)</f>
        <v>w2</v>
      </c>
      <c r="I113" t="s">
        <v>299</v>
      </c>
      <c r="K113" t="s">
        <v>300</v>
      </c>
      <c r="L113" t="str">
        <f t="shared" si="2"/>
        <v>10.131.30.0</v>
      </c>
      <c r="M113" s="9" t="s">
        <v>77</v>
      </c>
      <c r="N113" t="str">
        <f>VLOOKUP(Subnets[[#This Row],[VNETID]],VNETS[#All],7, FALSE)</f>
        <v>mac_slg_managed_preprod</v>
      </c>
      <c r="O113">
        <f>VLOOKUP(Subnets[[#This Row],[VNETID]], VNETS[#All], 14, FALSE)</f>
        <v>10</v>
      </c>
      <c r="P113">
        <f>VLOOKUP(Subnets[[#This Row],[VNETID]], VNETS[#All], 15, FALSE)</f>
        <v>131</v>
      </c>
      <c r="Q113">
        <v>30</v>
      </c>
      <c r="R113">
        <v>0</v>
      </c>
      <c r="U113" s="53" t="str">
        <f>VLOOKUP(Subnets[[#This Row],[VNETID]],VNETS[#All],11, FALSE)</f>
        <v>CJIS</v>
      </c>
      <c r="V113" s="53" t="str">
        <f>VLOOKUP(Subnets[[#This Row],[VNETID]],VNETS[#All],2, FALSE)</f>
        <v>sub11</v>
      </c>
    </row>
    <row r="114" spans="1:22" x14ac:dyDescent="0.45">
      <c r="A114" t="s">
        <v>1226</v>
      </c>
      <c r="B114">
        <v>299</v>
      </c>
      <c r="C114" t="s">
        <v>1207</v>
      </c>
      <c r="D114" t="str">
        <f>I114&amp;"_"&amp;Subnets[[#This Row],[SubNetNumber]]&amp;"_"&amp;Subnets[[#This Row],[Dept. (Computed)]]&amp;"_"&amp;E114&amp;"_"&amp;Subnets[[#This Row],[Location (Computed)]]</f>
        <v>Gateway_299_SLG_CJIS_w2</v>
      </c>
      <c r="E114" t="str">
        <f>VLOOKUP(Subnets[[#This Row],[VNETID]], VNETS[], 11, FALSE)</f>
        <v>CJIS</v>
      </c>
      <c r="F114" t="str">
        <f>VLOOKUP(Subnets[[#This Row],[VNETID]],VNETS[#All], 8, FALSE)</f>
        <v>SLG</v>
      </c>
      <c r="G114" t="str">
        <f>VLOOKUP(Subnets[[#This Row],[VNETID]],VNETS[#All], 9, FALSE)</f>
        <v>Managed</v>
      </c>
      <c r="H114" t="str">
        <f>VLOOKUP(Subnets[[#This Row],[VNETID]],VNETS[#All],13, FALSE)</f>
        <v>w2</v>
      </c>
      <c r="I114" t="s">
        <v>500</v>
      </c>
      <c r="K114" t="s">
        <v>553</v>
      </c>
      <c r="L114" t="str">
        <f t="shared" si="2"/>
        <v>10.131.31.248</v>
      </c>
      <c r="M114" s="9" t="s">
        <v>398</v>
      </c>
      <c r="N114" t="str">
        <f>VLOOKUP(Subnets[[#This Row],[VNETID]],VNETS[#All],7, FALSE)</f>
        <v>mac_slg_managed_preprod</v>
      </c>
      <c r="O114">
        <f>VLOOKUP(Subnets[[#This Row],[VNETID]], VNETS[#All], 14, FALSE)</f>
        <v>10</v>
      </c>
      <c r="P114">
        <f>VLOOKUP(Subnets[[#This Row],[VNETID]], VNETS[#All], 15, FALSE)</f>
        <v>131</v>
      </c>
      <c r="Q114">
        <v>31</v>
      </c>
      <c r="R114">
        <v>248</v>
      </c>
      <c r="S114" t="str">
        <f>O114&amp;"."&amp;P114&amp;"."&amp;Q114&amp;"."&amp;R114</f>
        <v>10.131.31.248</v>
      </c>
      <c r="T114" s="9" t="s">
        <v>398</v>
      </c>
      <c r="U114" s="53" t="str">
        <f>VLOOKUP(Subnets[[#This Row],[VNETID]],VNETS[#All],11, FALSE)</f>
        <v>CJIS</v>
      </c>
      <c r="V114" s="53" t="str">
        <f>VLOOKUP(Subnets[[#This Row],[VNETID]],VNETS[#All],2, FALSE)</f>
        <v>sub11</v>
      </c>
    </row>
    <row r="115" spans="1:22" x14ac:dyDescent="0.45">
      <c r="A115" t="s">
        <v>1227</v>
      </c>
      <c r="B115">
        <v>210</v>
      </c>
      <c r="C115" t="s">
        <v>1212</v>
      </c>
      <c r="D115" t="str">
        <f>I115&amp;"_"&amp;Subnets[[#This Row],[SubNetNumber]]&amp;"_"&amp;Subnets[[#This Row],[Dept. (Computed)]]&amp;"_"&amp;E115&amp;"_"&amp;Subnets[[#This Row],[Location (Computed)]]</f>
        <v>Web_210_SLG_CJIS_w1</v>
      </c>
      <c r="E115" t="str">
        <f>VLOOKUP(Subnets[[#This Row],[VNETID]], VNETS[], 11, FALSE)</f>
        <v>CJIS</v>
      </c>
      <c r="F115" t="str">
        <f>VLOOKUP(Subnets[[#This Row],[VNETID]],VNETS[#All], 8, FALSE)</f>
        <v>SLG</v>
      </c>
      <c r="G115" t="str">
        <f>VLOOKUP(Subnets[[#This Row],[VNETID]],VNETS[#All], 9, FALSE)</f>
        <v>Managed</v>
      </c>
      <c r="H115" t="str">
        <f>VLOOKUP(Subnets[[#This Row],[VNETID]],VNETS[#All],13, FALSE)</f>
        <v>w1</v>
      </c>
      <c r="I115" t="s">
        <v>72</v>
      </c>
      <c r="K115" t="s">
        <v>76</v>
      </c>
      <c r="L115" t="str">
        <f t="shared" si="2"/>
        <v>10.131.80.0</v>
      </c>
      <c r="M115" s="9" t="s">
        <v>77</v>
      </c>
      <c r="N115" t="str">
        <f>VLOOKUP(Subnets[[#This Row],[VNETID]],VNETS[#All],7, FALSE)</f>
        <v>mac_slg_managed_preprod</v>
      </c>
      <c r="O115">
        <f>VLOOKUP(Subnets[[#This Row],[VNETID]], VNETS[#All], 14, FALSE)</f>
        <v>10</v>
      </c>
      <c r="P115">
        <f>VLOOKUP(Subnets[[#This Row],[VNETID]], VNETS[#All], 15, FALSE)</f>
        <v>131</v>
      </c>
      <c r="Q115">
        <v>80</v>
      </c>
      <c r="R115">
        <v>0</v>
      </c>
      <c r="S115" t="str">
        <f>O115&amp;"."&amp;P115&amp;"."&amp;Q115&amp;"."&amp;R115</f>
        <v>10.131.80.0</v>
      </c>
      <c r="T115" s="9" t="s">
        <v>382</v>
      </c>
      <c r="U115" s="53" t="str">
        <f>VLOOKUP(Subnets[[#This Row],[VNETID]],VNETS[#All],11, FALSE)</f>
        <v>CJIS</v>
      </c>
      <c r="V115" s="53" t="str">
        <f>VLOOKUP(Subnets[[#This Row],[VNETID]],VNETS[#All],2, FALSE)</f>
        <v>sub11</v>
      </c>
    </row>
    <row r="116" spans="1:22" x14ac:dyDescent="0.45">
      <c r="A116" t="s">
        <v>1228</v>
      </c>
      <c r="B116">
        <v>220</v>
      </c>
      <c r="C116" t="s">
        <v>1212</v>
      </c>
      <c r="D116" t="str">
        <f>I116&amp;"_"&amp;Subnets[[#This Row],[SubNetNumber]]&amp;"_"&amp;Subnets[[#This Row],[Dept. (Computed)]]&amp;"_"&amp;E116&amp;"_"&amp;Subnets[[#This Row],[Location (Computed)]]</f>
        <v>App_220_SLG_CJIS_w1</v>
      </c>
      <c r="E116" t="str">
        <f>VLOOKUP(Subnets[[#This Row],[VNETID]], VNETS[], 11, FALSE)</f>
        <v>CJIS</v>
      </c>
      <c r="F116" t="str">
        <f>VLOOKUP(Subnets[[#This Row],[VNETID]],VNETS[#All], 8, FALSE)</f>
        <v>SLG</v>
      </c>
      <c r="G116" t="str">
        <f>VLOOKUP(Subnets[[#This Row],[VNETID]],VNETS[#All], 9, FALSE)</f>
        <v>Managed</v>
      </c>
      <c r="H116" t="str">
        <f>VLOOKUP(Subnets[[#This Row],[VNETID]],VNETS[#All],13, FALSE)</f>
        <v>w1</v>
      </c>
      <c r="I116" t="s">
        <v>73</v>
      </c>
      <c r="K116" t="s">
        <v>78</v>
      </c>
      <c r="L116" t="str">
        <f t="shared" si="2"/>
        <v>10.131.82.0</v>
      </c>
      <c r="M116" s="9" t="s">
        <v>77</v>
      </c>
      <c r="N116" t="str">
        <f>VLOOKUP(Subnets[[#This Row],[VNETID]],VNETS[#All],7, FALSE)</f>
        <v>mac_slg_managed_preprod</v>
      </c>
      <c r="O116">
        <f>VLOOKUP(Subnets[[#This Row],[VNETID]], VNETS[#All], 14, FALSE)</f>
        <v>10</v>
      </c>
      <c r="P116">
        <f>VLOOKUP(Subnets[[#This Row],[VNETID]], VNETS[#All], 15, FALSE)</f>
        <v>131</v>
      </c>
      <c r="Q116">
        <v>82</v>
      </c>
      <c r="R116">
        <v>0</v>
      </c>
      <c r="U116" s="53" t="str">
        <f>VLOOKUP(Subnets[[#This Row],[VNETID]],VNETS[#All],11, FALSE)</f>
        <v>CJIS</v>
      </c>
      <c r="V116" s="53" t="str">
        <f>VLOOKUP(Subnets[[#This Row],[VNETID]],VNETS[#All],2, FALSE)</f>
        <v>sub11</v>
      </c>
    </row>
    <row r="117" spans="1:22" x14ac:dyDescent="0.45">
      <c r="A117" t="s">
        <v>1229</v>
      </c>
      <c r="B117">
        <v>230</v>
      </c>
      <c r="C117" t="s">
        <v>1212</v>
      </c>
      <c r="D117" t="str">
        <f>I117&amp;"_"&amp;Subnets[[#This Row],[SubNetNumber]]&amp;"_"&amp;Subnets[[#This Row],[Dept. (Computed)]]&amp;"_"&amp;E117&amp;"_"&amp;Subnets[[#This Row],[Location (Computed)]]</f>
        <v>Database_230_SLG_CJIS_w1</v>
      </c>
      <c r="E117" t="str">
        <f>VLOOKUP(Subnets[[#This Row],[VNETID]], VNETS[], 11, FALSE)</f>
        <v>CJIS</v>
      </c>
      <c r="F117" t="str">
        <f>VLOOKUP(Subnets[[#This Row],[VNETID]],VNETS[#All], 8, FALSE)</f>
        <v>SLG</v>
      </c>
      <c r="G117" t="str">
        <f>VLOOKUP(Subnets[[#This Row],[VNETID]],VNETS[#All], 9, FALSE)</f>
        <v>Managed</v>
      </c>
      <c r="H117" t="str">
        <f>VLOOKUP(Subnets[[#This Row],[VNETID]],VNETS[#All],13, FALSE)</f>
        <v>w1</v>
      </c>
      <c r="I117" t="s">
        <v>74</v>
      </c>
      <c r="K117" t="s">
        <v>79</v>
      </c>
      <c r="L117" t="str">
        <f t="shared" si="2"/>
        <v>10.131.84.0</v>
      </c>
      <c r="M117" s="9" t="s">
        <v>77</v>
      </c>
      <c r="N117" t="str">
        <f>VLOOKUP(Subnets[[#This Row],[VNETID]],VNETS[#All],7, FALSE)</f>
        <v>mac_slg_managed_preprod</v>
      </c>
      <c r="O117">
        <f>VLOOKUP(Subnets[[#This Row],[VNETID]], VNETS[#All], 14, FALSE)</f>
        <v>10</v>
      </c>
      <c r="P117">
        <f>VLOOKUP(Subnets[[#This Row],[VNETID]], VNETS[#All], 15, FALSE)</f>
        <v>131</v>
      </c>
      <c r="Q117">
        <v>84</v>
      </c>
      <c r="R117">
        <v>0</v>
      </c>
      <c r="U117" s="53" t="str">
        <f>VLOOKUP(Subnets[[#This Row],[VNETID]],VNETS[#All],11, FALSE)</f>
        <v>CJIS</v>
      </c>
      <c r="V117" s="53" t="str">
        <f>VLOOKUP(Subnets[[#This Row],[VNETID]],VNETS[#All],2, FALSE)</f>
        <v>sub11</v>
      </c>
    </row>
    <row r="118" spans="1:22" x14ac:dyDescent="0.45">
      <c r="A118" t="s">
        <v>1230</v>
      </c>
      <c r="B118">
        <v>250</v>
      </c>
      <c r="C118" t="s">
        <v>1212</v>
      </c>
      <c r="D118" t="str">
        <f>I118&amp;"_"&amp;Subnets[[#This Row],[SubNetNumber]]&amp;"_"&amp;Subnets[[#This Row],[Dept. (Computed)]]&amp;"_"&amp;E118&amp;"_"&amp;Subnets[[#This Row],[Location (Computed)]]</f>
        <v>DMZ_250_SLG_CJIS_w1</v>
      </c>
      <c r="E118" t="str">
        <f>VLOOKUP(Subnets[[#This Row],[VNETID]], VNETS[], 11, FALSE)</f>
        <v>CJIS</v>
      </c>
      <c r="F118" t="str">
        <f>VLOOKUP(Subnets[[#This Row],[VNETID]],VNETS[#All], 8, FALSE)</f>
        <v>SLG</v>
      </c>
      <c r="G118" t="str">
        <f>VLOOKUP(Subnets[[#This Row],[VNETID]],VNETS[#All], 9, FALSE)</f>
        <v>Managed</v>
      </c>
      <c r="H118" t="str">
        <f>VLOOKUP(Subnets[[#This Row],[VNETID]],VNETS[#All],13, FALSE)</f>
        <v>w1</v>
      </c>
      <c r="I118" t="s">
        <v>75</v>
      </c>
      <c r="K118" t="s">
        <v>90</v>
      </c>
      <c r="L118" t="str">
        <f t="shared" si="2"/>
        <v>10.131.86.0</v>
      </c>
      <c r="M118" s="9" t="s">
        <v>77</v>
      </c>
      <c r="N118" t="str">
        <f>VLOOKUP(Subnets[[#This Row],[VNETID]],VNETS[#All],7, FALSE)</f>
        <v>mac_slg_managed_preprod</v>
      </c>
      <c r="O118">
        <f>VLOOKUP(Subnets[[#This Row],[VNETID]], VNETS[#All], 14, FALSE)</f>
        <v>10</v>
      </c>
      <c r="P118">
        <f>VLOOKUP(Subnets[[#This Row],[VNETID]], VNETS[#All], 15, FALSE)</f>
        <v>131</v>
      </c>
      <c r="Q118">
        <v>86</v>
      </c>
      <c r="R118">
        <v>0</v>
      </c>
      <c r="U118" s="53" t="str">
        <f>VLOOKUP(Subnets[[#This Row],[VNETID]],VNETS[#All],11, FALSE)</f>
        <v>CJIS</v>
      </c>
      <c r="V118" s="53" t="str">
        <f>VLOOKUP(Subnets[[#This Row],[VNETID]],VNETS[#All],2, FALSE)</f>
        <v>sub11</v>
      </c>
    </row>
    <row r="119" spans="1:22" x14ac:dyDescent="0.45">
      <c r="A119" t="s">
        <v>1231</v>
      </c>
      <c r="B119">
        <v>260</v>
      </c>
      <c r="C119" t="s">
        <v>1212</v>
      </c>
      <c r="D119" t="str">
        <f>I119&amp;"_"&amp;Subnets[[#This Row],[SubNetNumber]]&amp;"_"&amp;Subnets[[#This Row],[Dept. (Computed)]]&amp;"_"&amp;E119&amp;"_"&amp;Subnets[[#This Row],[Location (Computed)]]</f>
        <v>User_Tier0_260_SLG_CJIS_w1</v>
      </c>
      <c r="E119" t="str">
        <f>VLOOKUP(Subnets[[#This Row],[VNETID]], VNETS[], 11, FALSE)</f>
        <v>CJIS</v>
      </c>
      <c r="F119" t="str">
        <f>VLOOKUP(Subnets[[#This Row],[VNETID]],VNETS[#All], 8, FALSE)</f>
        <v>SLG</v>
      </c>
      <c r="G119" t="str">
        <f>VLOOKUP(Subnets[[#This Row],[VNETID]],VNETS[#All], 9, FALSE)</f>
        <v>Managed</v>
      </c>
      <c r="H119" t="str">
        <f>VLOOKUP(Subnets[[#This Row],[VNETID]],VNETS[#All],13, FALSE)</f>
        <v>w1</v>
      </c>
      <c r="I119" t="s">
        <v>982</v>
      </c>
      <c r="K119" t="s">
        <v>985</v>
      </c>
      <c r="L119" t="str">
        <f t="shared" si="2"/>
        <v>10.131.88.0</v>
      </c>
      <c r="M119" s="9" t="s">
        <v>389</v>
      </c>
      <c r="N119" t="str">
        <f>VLOOKUP(Subnets[[#This Row],[VNETID]],VNETS[#All],7, FALSE)</f>
        <v>mac_slg_managed_preprod</v>
      </c>
      <c r="O119">
        <f>VLOOKUP(Subnets[[#This Row],[VNETID]], VNETS[#All], 14, FALSE)</f>
        <v>10</v>
      </c>
      <c r="P119">
        <f>VLOOKUP(Subnets[[#This Row],[VNETID]], VNETS[#All], 15, FALSE)</f>
        <v>131</v>
      </c>
      <c r="Q119">
        <v>88</v>
      </c>
      <c r="R119">
        <v>0</v>
      </c>
      <c r="U119" s="53" t="str">
        <f>VLOOKUP(Subnets[[#This Row],[VNETID]],VNETS[#All],11, FALSE)</f>
        <v>CJIS</v>
      </c>
      <c r="V119" s="53" t="str">
        <f>VLOOKUP(Subnets[[#This Row],[VNETID]],VNETS[#All],2, FALSE)</f>
        <v>sub11</v>
      </c>
    </row>
    <row r="120" spans="1:22" x14ac:dyDescent="0.45">
      <c r="A120" t="s">
        <v>1232</v>
      </c>
      <c r="B120">
        <v>261</v>
      </c>
      <c r="C120" t="s">
        <v>1212</v>
      </c>
      <c r="D120" t="str">
        <f>I120&amp;"_"&amp;Subnets[[#This Row],[SubNetNumber]]&amp;"_"&amp;Subnets[[#This Row],[Dept. (Computed)]]&amp;"_"&amp;E120&amp;"_"&amp;Subnets[[#This Row],[Location (Computed)]]</f>
        <v>User_Tier1_261_SLG_CJIS_w1</v>
      </c>
      <c r="E120" t="str">
        <f>VLOOKUP(Subnets[[#This Row],[VNETID]], VNETS[], 11, FALSE)</f>
        <v>CJIS</v>
      </c>
      <c r="F120" t="str">
        <f>VLOOKUP(Subnets[[#This Row],[VNETID]],VNETS[#All], 8, FALSE)</f>
        <v>SLG</v>
      </c>
      <c r="G120" t="str">
        <f>VLOOKUP(Subnets[[#This Row],[VNETID]],VNETS[#All], 9, FALSE)</f>
        <v>Managed</v>
      </c>
      <c r="H120" t="str">
        <f>VLOOKUP(Subnets[[#This Row],[VNETID]],VNETS[#All],13, FALSE)</f>
        <v>w1</v>
      </c>
      <c r="I120" t="s">
        <v>988</v>
      </c>
      <c r="K120" t="s">
        <v>983</v>
      </c>
      <c r="L120" t="str">
        <f t="shared" si="2"/>
        <v>10.131.88.128</v>
      </c>
      <c r="M120" s="9" t="s">
        <v>389</v>
      </c>
      <c r="N120" t="str">
        <f>VLOOKUP(Subnets[[#This Row],[VNETID]],VNETS[#All],7, FALSE)</f>
        <v>mac_slg_managed_preprod</v>
      </c>
      <c r="O120">
        <f>VLOOKUP(Subnets[[#This Row],[VNETID]], VNETS[#All], 14, FALSE)</f>
        <v>10</v>
      </c>
      <c r="P120">
        <f>VLOOKUP(Subnets[[#This Row],[VNETID]], VNETS[#All], 15, FALSE)</f>
        <v>131</v>
      </c>
      <c r="Q120">
        <v>88</v>
      </c>
      <c r="R120">
        <v>128</v>
      </c>
      <c r="U120" s="53" t="str">
        <f>VLOOKUP(Subnets[[#This Row],[VNETID]],VNETS[#All],11, FALSE)</f>
        <v>CJIS</v>
      </c>
      <c r="V120" s="53" t="str">
        <f>VLOOKUP(Subnets[[#This Row],[VNETID]],VNETS[#All],2, FALSE)</f>
        <v>sub11</v>
      </c>
    </row>
    <row r="121" spans="1:22" x14ac:dyDescent="0.45">
      <c r="A121" t="s">
        <v>1233</v>
      </c>
      <c r="B121">
        <v>270</v>
      </c>
      <c r="C121" t="s">
        <v>1212</v>
      </c>
      <c r="D121" t="str">
        <f>I121&amp;"_"&amp;Subnets[[#This Row],[SubNetNumber]]&amp;"_"&amp;Subnets[[#This Row],[Dept. (Computed)]]&amp;"_"&amp;E121&amp;"_"&amp;Subnets[[#This Row],[Location (Computed)]]</f>
        <v>Future_270_SLG_CJIS_w1</v>
      </c>
      <c r="E121" t="str">
        <f>VLOOKUP(Subnets[[#This Row],[VNETID]], VNETS[], 11, FALSE)</f>
        <v>CJIS</v>
      </c>
      <c r="F121" t="str">
        <f>VLOOKUP(Subnets[[#This Row],[VNETID]],VNETS[#All], 8, FALSE)</f>
        <v>SLG</v>
      </c>
      <c r="G121" t="str">
        <f>VLOOKUP(Subnets[[#This Row],[VNETID]],VNETS[#All], 9, FALSE)</f>
        <v>Managed</v>
      </c>
      <c r="H121" t="str">
        <f>VLOOKUP(Subnets[[#This Row],[VNETID]],VNETS[#All],13, FALSE)</f>
        <v>w1</v>
      </c>
      <c r="I121" t="s">
        <v>299</v>
      </c>
      <c r="K121" t="s">
        <v>300</v>
      </c>
      <c r="L121" t="str">
        <f t="shared" si="2"/>
        <v>10.131.92.0</v>
      </c>
      <c r="M121" s="9" t="s">
        <v>488</v>
      </c>
      <c r="N121" t="str">
        <f>VLOOKUP(Subnets[[#This Row],[VNETID]],VNETS[#All],7, FALSE)</f>
        <v>mac_slg_managed_preprod</v>
      </c>
      <c r="O121">
        <f>VLOOKUP(Subnets[[#This Row],[VNETID]], VNETS[#All], 14, FALSE)</f>
        <v>10</v>
      </c>
      <c r="P121">
        <f>VLOOKUP(Subnets[[#This Row],[VNETID]], VNETS[#All], 15, FALSE)</f>
        <v>131</v>
      </c>
      <c r="Q121">
        <v>92</v>
      </c>
      <c r="R121">
        <v>0</v>
      </c>
      <c r="U121" s="53" t="str">
        <f>VLOOKUP(Subnets[[#This Row],[VNETID]],VNETS[#All],11, FALSE)</f>
        <v>CJIS</v>
      </c>
      <c r="V121" s="53" t="str">
        <f>VLOOKUP(Subnets[[#This Row],[VNETID]],VNETS[#All],2, FALSE)</f>
        <v>sub11</v>
      </c>
    </row>
    <row r="122" spans="1:22" x14ac:dyDescent="0.45">
      <c r="A122" t="s">
        <v>1234</v>
      </c>
      <c r="B122">
        <v>270</v>
      </c>
      <c r="C122" t="s">
        <v>1212</v>
      </c>
      <c r="D122" t="str">
        <f>I122&amp;"_"&amp;Subnets[[#This Row],[SubNetNumber]]&amp;"_"&amp;Subnets[[#This Row],[Dept. (Computed)]]&amp;"_"&amp;E122&amp;"_"&amp;Subnets[[#This Row],[Location (Computed)]]</f>
        <v>Future_270_SLG_CJIS_w1</v>
      </c>
      <c r="E122" t="str">
        <f>VLOOKUP(Subnets[[#This Row],[VNETID]], VNETS[], 11, FALSE)</f>
        <v>CJIS</v>
      </c>
      <c r="F122" t="str">
        <f>VLOOKUP(Subnets[[#This Row],[VNETID]],VNETS[#All], 8, FALSE)</f>
        <v>SLG</v>
      </c>
      <c r="G122" t="str">
        <f>VLOOKUP(Subnets[[#This Row],[VNETID]],VNETS[#All], 9, FALSE)</f>
        <v>Managed</v>
      </c>
      <c r="H122" t="str">
        <f>VLOOKUP(Subnets[[#This Row],[VNETID]],VNETS[#All],13, FALSE)</f>
        <v>w1</v>
      </c>
      <c r="I122" t="s">
        <v>299</v>
      </c>
      <c r="K122" t="s">
        <v>300</v>
      </c>
      <c r="L122" t="str">
        <f t="shared" si="2"/>
        <v>10.131.94.0</v>
      </c>
      <c r="M122" s="9" t="s">
        <v>77</v>
      </c>
      <c r="N122" t="str">
        <f>VLOOKUP(Subnets[[#This Row],[VNETID]],VNETS[#All],7, FALSE)</f>
        <v>mac_slg_managed_preprod</v>
      </c>
      <c r="O122">
        <f>VLOOKUP(Subnets[[#This Row],[VNETID]], VNETS[#All], 14, FALSE)</f>
        <v>10</v>
      </c>
      <c r="P122">
        <f>VLOOKUP(Subnets[[#This Row],[VNETID]], VNETS[#All], 15, FALSE)</f>
        <v>131</v>
      </c>
      <c r="Q122">
        <v>94</v>
      </c>
      <c r="R122">
        <v>0</v>
      </c>
      <c r="U122" s="53" t="str">
        <f>VLOOKUP(Subnets[[#This Row],[VNETID]],VNETS[#All],11, FALSE)</f>
        <v>CJIS</v>
      </c>
      <c r="V122" s="53" t="str">
        <f>VLOOKUP(Subnets[[#This Row],[VNETID]],VNETS[#All],2, FALSE)</f>
        <v>sub11</v>
      </c>
    </row>
    <row r="123" spans="1:22" x14ac:dyDescent="0.45">
      <c r="A123" t="s">
        <v>1235</v>
      </c>
      <c r="B123">
        <v>299</v>
      </c>
      <c r="C123" t="s">
        <v>1212</v>
      </c>
      <c r="D123" t="str">
        <f>I123&amp;"_"&amp;Subnets[[#This Row],[SubNetNumber]]&amp;"_"&amp;Subnets[[#This Row],[Dept. (Computed)]]&amp;"_"&amp;E123&amp;"_"&amp;Subnets[[#This Row],[Location (Computed)]]</f>
        <v>Gateway_299_SLG_CJIS_w1</v>
      </c>
      <c r="E123" t="str">
        <f>VLOOKUP(Subnets[[#This Row],[VNETID]], VNETS[], 11, FALSE)</f>
        <v>CJIS</v>
      </c>
      <c r="F123" t="str">
        <f>VLOOKUP(Subnets[[#This Row],[VNETID]],VNETS[#All], 8, FALSE)</f>
        <v>SLG</v>
      </c>
      <c r="G123" t="str">
        <f>VLOOKUP(Subnets[[#This Row],[VNETID]],VNETS[#All], 9, FALSE)</f>
        <v>Managed</v>
      </c>
      <c r="H123" t="str">
        <f>VLOOKUP(Subnets[[#This Row],[VNETID]],VNETS[#All],13, FALSE)</f>
        <v>w1</v>
      </c>
      <c r="I123" t="s">
        <v>500</v>
      </c>
      <c r="K123" t="s">
        <v>553</v>
      </c>
      <c r="L123" t="str">
        <f t="shared" si="2"/>
        <v>10.131.95.248</v>
      </c>
      <c r="M123" s="9" t="s">
        <v>398</v>
      </c>
      <c r="N123" t="str">
        <f>VLOOKUP(Subnets[[#This Row],[VNETID]],VNETS[#All],7, FALSE)</f>
        <v>mac_slg_managed_preprod</v>
      </c>
      <c r="O123">
        <f>VLOOKUP(Subnets[[#This Row],[VNETID]], VNETS[#All], 14, FALSE)</f>
        <v>10</v>
      </c>
      <c r="P123">
        <f>VLOOKUP(Subnets[[#This Row],[VNETID]], VNETS[#All], 15, FALSE)</f>
        <v>131</v>
      </c>
      <c r="Q123">
        <v>95</v>
      </c>
      <c r="R123">
        <v>248</v>
      </c>
      <c r="S123" t="str">
        <f>O123&amp;"."&amp;P123&amp;"."&amp;Q123&amp;"."&amp;R123</f>
        <v>10.131.95.248</v>
      </c>
      <c r="T123" s="9" t="s">
        <v>398</v>
      </c>
      <c r="U123" s="53" t="str">
        <f>VLOOKUP(Subnets[[#This Row],[VNETID]],VNETS[#All],11, FALSE)</f>
        <v>CJIS</v>
      </c>
      <c r="V123" s="53" t="str">
        <f>VLOOKUP(Subnets[[#This Row],[VNETID]],VNETS[#All],2, FALSE)</f>
        <v>sub11</v>
      </c>
    </row>
    <row r="124" spans="1:22" x14ac:dyDescent="0.45">
      <c r="A124" t="s">
        <v>1236</v>
      </c>
      <c r="B124">
        <v>310</v>
      </c>
      <c r="C124" t="s">
        <v>1208</v>
      </c>
      <c r="D124" t="str">
        <f>I124&amp;"_"&amp;Subnets[[#This Row],[SubNetNumber]]&amp;"_"&amp;Subnets[[#This Row],[Dept. (Computed)]]&amp;"_"&amp;E124&amp;"_"&amp;Subnets[[#This Row],[Location (Computed)]]</f>
        <v>Web_310_SLG_Test_w2</v>
      </c>
      <c r="E124" t="s">
        <v>80</v>
      </c>
      <c r="F124" t="str">
        <f>VLOOKUP(Subnets[[#This Row],[VNETID]],VNETS[#All], 8, FALSE)</f>
        <v>SLG</v>
      </c>
      <c r="G124" t="str">
        <f>VLOOKUP(Subnets[[#This Row],[VNETID]],VNETS[#All], 9, FALSE)</f>
        <v>Managed</v>
      </c>
      <c r="H124" t="str">
        <f>VLOOKUP(Subnets[[#This Row],[VNETID]],VNETS[#All],13, FALSE)</f>
        <v>w2</v>
      </c>
      <c r="I124" t="s">
        <v>72</v>
      </c>
      <c r="K124" t="s">
        <v>76</v>
      </c>
      <c r="L124" t="str">
        <f t="shared" si="2"/>
        <v>10.131.32.0</v>
      </c>
      <c r="M124" s="9" t="s">
        <v>77</v>
      </c>
      <c r="N124" t="str">
        <f>VLOOKUP(Subnets[[#This Row],[VNETID]],VNETS[#All],7, FALSE)</f>
        <v>mac_slg_managed_prod</v>
      </c>
      <c r="O124">
        <f>VLOOKUP(Subnets[[#This Row],[VNETID]], VNETS[#All], 14, FALSE)</f>
        <v>10</v>
      </c>
      <c r="P124">
        <f>VLOOKUP(Subnets[[#This Row],[VNETID]], VNETS[#All], 15, FALSE)</f>
        <v>131</v>
      </c>
      <c r="Q124">
        <v>32</v>
      </c>
      <c r="R124">
        <v>0</v>
      </c>
      <c r="S124" t="str">
        <f>O124&amp;"."&amp;P124&amp;"."&amp;Q124&amp;"."&amp;R124</f>
        <v>10.131.32.0</v>
      </c>
      <c r="T124" s="9" t="s">
        <v>382</v>
      </c>
      <c r="U124" s="53" t="str">
        <f>VLOOKUP(Subnets[[#This Row],[VNETID]],VNETS[#All],11, FALSE)</f>
        <v>PREPROD</v>
      </c>
      <c r="V124" s="53" t="str">
        <f>VLOOKUP(Subnets[[#This Row],[VNETID]],VNETS[#All],2, FALSE)</f>
        <v>sub12</v>
      </c>
    </row>
    <row r="125" spans="1:22" x14ac:dyDescent="0.45">
      <c r="A125" t="s">
        <v>1237</v>
      </c>
      <c r="B125">
        <v>320</v>
      </c>
      <c r="C125" t="s">
        <v>1208</v>
      </c>
      <c r="D125" t="str">
        <f>I125&amp;"_"&amp;Subnets[[#This Row],[SubNetNumber]]&amp;"_"&amp;Subnets[[#This Row],[Dept. (Computed)]]&amp;"_"&amp;E125&amp;"_"&amp;Subnets[[#This Row],[Location (Computed)]]</f>
        <v>App_320_SLG_Test_w2</v>
      </c>
      <c r="E125" t="s">
        <v>80</v>
      </c>
      <c r="F125" t="str">
        <f>VLOOKUP(Subnets[[#This Row],[VNETID]],VNETS[#All], 8, FALSE)</f>
        <v>SLG</v>
      </c>
      <c r="G125" t="str">
        <f>VLOOKUP(Subnets[[#This Row],[VNETID]],VNETS[#All], 9, FALSE)</f>
        <v>Managed</v>
      </c>
      <c r="H125" t="str">
        <f>VLOOKUP(Subnets[[#This Row],[VNETID]],VNETS[#All],13, FALSE)</f>
        <v>w2</v>
      </c>
      <c r="I125" t="s">
        <v>73</v>
      </c>
      <c r="K125" t="s">
        <v>78</v>
      </c>
      <c r="L125" t="str">
        <f t="shared" si="2"/>
        <v>10.131.33.0</v>
      </c>
      <c r="M125" s="9" t="s">
        <v>77</v>
      </c>
      <c r="N125" t="str">
        <f>VLOOKUP(Subnets[[#This Row],[VNETID]],VNETS[#All],7, FALSE)</f>
        <v>mac_slg_managed_prod</v>
      </c>
      <c r="O125">
        <f>VLOOKUP(Subnets[[#This Row],[VNETID]], VNETS[#All], 14, FALSE)</f>
        <v>10</v>
      </c>
      <c r="P125">
        <f>VLOOKUP(Subnets[[#This Row],[VNETID]], VNETS[#All], 15, FALSE)</f>
        <v>131</v>
      </c>
      <c r="Q125">
        <v>33</v>
      </c>
      <c r="R125">
        <v>0</v>
      </c>
      <c r="U125" s="53" t="str">
        <f>VLOOKUP(Subnets[[#This Row],[VNETID]],VNETS[#All],11, FALSE)</f>
        <v>PREPROD</v>
      </c>
      <c r="V125" s="53" t="str">
        <f>VLOOKUP(Subnets[[#This Row],[VNETID]],VNETS[#All],2, FALSE)</f>
        <v>sub12</v>
      </c>
    </row>
    <row r="126" spans="1:22" x14ac:dyDescent="0.45">
      <c r="A126" t="s">
        <v>1238</v>
      </c>
      <c r="B126">
        <v>330</v>
      </c>
      <c r="C126" t="s">
        <v>1208</v>
      </c>
      <c r="D126" t="str">
        <f>I126&amp;"_"&amp;Subnets[[#This Row],[SubNetNumber]]&amp;"_"&amp;Subnets[[#This Row],[Dept. (Computed)]]&amp;"_"&amp;E126&amp;"_"&amp;Subnets[[#This Row],[Location (Computed)]]</f>
        <v>Database_330_SLG_Test_w2</v>
      </c>
      <c r="E126" t="s">
        <v>80</v>
      </c>
      <c r="F126" t="str">
        <f>VLOOKUP(Subnets[[#This Row],[VNETID]],VNETS[#All], 8, FALSE)</f>
        <v>SLG</v>
      </c>
      <c r="G126" t="str">
        <f>VLOOKUP(Subnets[[#This Row],[VNETID]],VNETS[#All], 9, FALSE)</f>
        <v>Managed</v>
      </c>
      <c r="H126" t="str">
        <f>VLOOKUP(Subnets[[#This Row],[VNETID]],VNETS[#All],13, FALSE)</f>
        <v>w2</v>
      </c>
      <c r="I126" t="s">
        <v>74</v>
      </c>
      <c r="K126" t="s">
        <v>79</v>
      </c>
      <c r="L126" t="str">
        <f t="shared" si="2"/>
        <v>10.131.34.0</v>
      </c>
      <c r="M126" s="9" t="s">
        <v>77</v>
      </c>
      <c r="N126" t="str">
        <f>VLOOKUP(Subnets[[#This Row],[VNETID]],VNETS[#All],7, FALSE)</f>
        <v>mac_slg_managed_prod</v>
      </c>
      <c r="O126">
        <f>VLOOKUP(Subnets[[#This Row],[VNETID]], VNETS[#All], 14, FALSE)</f>
        <v>10</v>
      </c>
      <c r="P126">
        <f>VLOOKUP(Subnets[[#This Row],[VNETID]], VNETS[#All], 15, FALSE)</f>
        <v>131</v>
      </c>
      <c r="Q126">
        <v>34</v>
      </c>
      <c r="R126">
        <v>0</v>
      </c>
      <c r="U126" s="53" t="str">
        <f>VLOOKUP(Subnets[[#This Row],[VNETID]],VNETS[#All],11, FALSE)</f>
        <v>PREPROD</v>
      </c>
      <c r="V126" s="53" t="str">
        <f>VLOOKUP(Subnets[[#This Row],[VNETID]],VNETS[#All],2, FALSE)</f>
        <v>sub12</v>
      </c>
    </row>
    <row r="127" spans="1:22" x14ac:dyDescent="0.45">
      <c r="A127" t="s">
        <v>1239</v>
      </c>
      <c r="B127">
        <v>350</v>
      </c>
      <c r="C127" t="s">
        <v>1208</v>
      </c>
      <c r="D127" t="str">
        <f>I127&amp;"_"&amp;Subnets[[#This Row],[SubNetNumber]]&amp;"_"&amp;Subnets[[#This Row],[Dept. (Computed)]]&amp;"_"&amp;E127&amp;"_"&amp;Subnets[[#This Row],[Location (Computed)]]</f>
        <v>DMZ_350_SLG_Test_w2</v>
      </c>
      <c r="E127" t="s">
        <v>80</v>
      </c>
      <c r="F127" t="str">
        <f>VLOOKUP(Subnets[[#This Row],[VNETID]],VNETS[#All], 8, FALSE)</f>
        <v>SLG</v>
      </c>
      <c r="G127" t="str">
        <f>VLOOKUP(Subnets[[#This Row],[VNETID]],VNETS[#All], 9, FALSE)</f>
        <v>Managed</v>
      </c>
      <c r="H127" t="str">
        <f>VLOOKUP(Subnets[[#This Row],[VNETID]],VNETS[#All],13, FALSE)</f>
        <v>w2</v>
      </c>
      <c r="I127" t="s">
        <v>75</v>
      </c>
      <c r="K127" t="s">
        <v>90</v>
      </c>
      <c r="L127" t="str">
        <f t="shared" si="2"/>
        <v>10.131.35.0</v>
      </c>
      <c r="M127" s="9" t="s">
        <v>77</v>
      </c>
      <c r="N127" t="str">
        <f>VLOOKUP(Subnets[[#This Row],[VNETID]],VNETS[#All],7, FALSE)</f>
        <v>mac_slg_managed_prod</v>
      </c>
      <c r="O127">
        <f>VLOOKUP(Subnets[[#This Row],[VNETID]], VNETS[#All], 14, FALSE)</f>
        <v>10</v>
      </c>
      <c r="P127">
        <f>VLOOKUP(Subnets[[#This Row],[VNETID]], VNETS[#All], 15, FALSE)</f>
        <v>131</v>
      </c>
      <c r="Q127">
        <v>35</v>
      </c>
      <c r="R127">
        <v>0</v>
      </c>
      <c r="U127" s="53" t="str">
        <f>VLOOKUP(Subnets[[#This Row],[VNETID]],VNETS[#All],11, FALSE)</f>
        <v>PREPROD</v>
      </c>
      <c r="V127" s="53" t="str">
        <f>VLOOKUP(Subnets[[#This Row],[VNETID]],VNETS[#All],2, FALSE)</f>
        <v>sub12</v>
      </c>
    </row>
    <row r="128" spans="1:22" x14ac:dyDescent="0.45">
      <c r="A128" t="s">
        <v>1240</v>
      </c>
      <c r="B128">
        <v>360</v>
      </c>
      <c r="C128" t="s">
        <v>1208</v>
      </c>
      <c r="D128" t="str">
        <f>I128&amp;"_"&amp;Subnets[[#This Row],[SubNetNumber]]&amp;"_"&amp;Subnets[[#This Row],[Dept. (Computed)]]&amp;"_"&amp;E128&amp;"_"&amp;Subnets[[#This Row],[Location (Computed)]]</f>
        <v>User_Tier0_360_SLG_Test_w2</v>
      </c>
      <c r="E128" t="s">
        <v>80</v>
      </c>
      <c r="F128" t="str">
        <f>VLOOKUP(Subnets[[#This Row],[VNETID]],VNETS[#All], 8, FALSE)</f>
        <v>SLG</v>
      </c>
      <c r="G128" t="str">
        <f>VLOOKUP(Subnets[[#This Row],[VNETID]],VNETS[#All], 9, FALSE)</f>
        <v>Managed</v>
      </c>
      <c r="H128" t="str">
        <f>VLOOKUP(Subnets[[#This Row],[VNETID]],VNETS[#All],13, FALSE)</f>
        <v>w2</v>
      </c>
      <c r="I128" t="s">
        <v>982</v>
      </c>
      <c r="K128" t="s">
        <v>985</v>
      </c>
      <c r="L128" t="str">
        <f t="shared" si="2"/>
        <v>10.131.36.0</v>
      </c>
      <c r="M128" s="9" t="s">
        <v>389</v>
      </c>
      <c r="N128" t="str">
        <f>VLOOKUP(Subnets[[#This Row],[VNETID]],VNETS[#All],7, FALSE)</f>
        <v>mac_slg_managed_prod</v>
      </c>
      <c r="O128">
        <f>VLOOKUP(Subnets[[#This Row],[VNETID]], VNETS[#All], 14, FALSE)</f>
        <v>10</v>
      </c>
      <c r="P128">
        <f>VLOOKUP(Subnets[[#This Row],[VNETID]], VNETS[#All], 15, FALSE)</f>
        <v>131</v>
      </c>
      <c r="Q128">
        <v>36</v>
      </c>
      <c r="R128">
        <v>0</v>
      </c>
      <c r="U128" s="53" t="str">
        <f>VLOOKUP(Subnets[[#This Row],[VNETID]],VNETS[#All],11, FALSE)</f>
        <v>PREPROD</v>
      </c>
      <c r="V128" s="53" t="str">
        <f>VLOOKUP(Subnets[[#This Row],[VNETID]],VNETS[#All],2, FALSE)</f>
        <v>sub12</v>
      </c>
    </row>
    <row r="129" spans="1:22" x14ac:dyDescent="0.45">
      <c r="A129" t="s">
        <v>1241</v>
      </c>
      <c r="B129">
        <v>361</v>
      </c>
      <c r="C129" t="s">
        <v>1208</v>
      </c>
      <c r="D129" t="str">
        <f>I129&amp;"_"&amp;Subnets[[#This Row],[SubNetNumber]]&amp;"_"&amp;Subnets[[#This Row],[Dept. (Computed)]]&amp;"_"&amp;E129&amp;"_"&amp;Subnets[[#This Row],[Location (Computed)]]</f>
        <v>Users_Tier1_361_SLG_Test_w2</v>
      </c>
      <c r="E129" t="s">
        <v>80</v>
      </c>
      <c r="F129" t="str">
        <f>VLOOKUP(Subnets[[#This Row],[VNETID]],VNETS[#All], 8, FALSE)</f>
        <v>SLG</v>
      </c>
      <c r="G129" t="str">
        <f>VLOOKUP(Subnets[[#This Row],[VNETID]],VNETS[#All], 9, FALSE)</f>
        <v>Managed</v>
      </c>
      <c r="H129" t="str">
        <f>VLOOKUP(Subnets[[#This Row],[VNETID]],VNETS[#All],13, FALSE)</f>
        <v>w2</v>
      </c>
      <c r="I129" t="s">
        <v>980</v>
      </c>
      <c r="K129" t="s">
        <v>983</v>
      </c>
      <c r="L129" t="str">
        <f t="shared" si="2"/>
        <v>10.131.36.128</v>
      </c>
      <c r="M129" s="9" t="s">
        <v>389</v>
      </c>
      <c r="N129" t="str">
        <f>VLOOKUP(Subnets[[#This Row],[VNETID]],VNETS[#All],7, FALSE)</f>
        <v>mac_slg_managed_prod</v>
      </c>
      <c r="O129">
        <f>VLOOKUP(Subnets[[#This Row],[VNETID]], VNETS[#All], 14, FALSE)</f>
        <v>10</v>
      </c>
      <c r="P129">
        <f>VLOOKUP(Subnets[[#This Row],[VNETID]], VNETS[#All], 15, FALSE)</f>
        <v>131</v>
      </c>
      <c r="Q129">
        <v>36</v>
      </c>
      <c r="R129">
        <v>128</v>
      </c>
      <c r="U129" s="53" t="str">
        <f>VLOOKUP(Subnets[[#This Row],[VNETID]],VNETS[#All],11, FALSE)</f>
        <v>PREPROD</v>
      </c>
      <c r="V129" s="53" t="str">
        <f>VLOOKUP(Subnets[[#This Row],[VNETID]],VNETS[#All],2, FALSE)</f>
        <v>sub12</v>
      </c>
    </row>
    <row r="130" spans="1:22" x14ac:dyDescent="0.45">
      <c r="A130" t="s">
        <v>1242</v>
      </c>
      <c r="B130">
        <v>362</v>
      </c>
      <c r="C130" t="s">
        <v>1208</v>
      </c>
      <c r="D130" t="str">
        <f>I130&amp;"_"&amp;Subnets[[#This Row],[SubNetNumber]]&amp;"_"&amp;Subnets[[#This Row],[Dept. (Computed)]]&amp;"_"&amp;E130&amp;"_"&amp;Subnets[[#This Row],[Location (Computed)]]</f>
        <v>Users_Tier2_362_SLG_Test_w2</v>
      </c>
      <c r="E130" t="s">
        <v>80</v>
      </c>
      <c r="F130" t="str">
        <f>VLOOKUP(Subnets[[#This Row],[VNETID]],VNETS[#All], 8, FALSE)</f>
        <v>SLG</v>
      </c>
      <c r="G130" t="str">
        <f>VLOOKUP(Subnets[[#This Row],[VNETID]],VNETS[#All], 9, FALSE)</f>
        <v>Managed</v>
      </c>
      <c r="H130" t="str">
        <f>VLOOKUP(Subnets[[#This Row],[VNETID]],VNETS[#All],13, FALSE)</f>
        <v>w2</v>
      </c>
      <c r="I130" t="s">
        <v>981</v>
      </c>
      <c r="K130" t="s">
        <v>984</v>
      </c>
      <c r="L130" t="str">
        <f t="shared" si="2"/>
        <v>10.131.37.0</v>
      </c>
      <c r="M130" s="9" t="s">
        <v>389</v>
      </c>
      <c r="N130" t="str">
        <f>VLOOKUP(Subnets[[#This Row],[VNETID]],VNETS[#All],7, FALSE)</f>
        <v>mac_slg_managed_prod</v>
      </c>
      <c r="O130">
        <f>VLOOKUP(Subnets[[#This Row],[VNETID]], VNETS[#All], 14, FALSE)</f>
        <v>10</v>
      </c>
      <c r="P130">
        <f>VLOOKUP(Subnets[[#This Row],[VNETID]], VNETS[#All], 15, FALSE)</f>
        <v>131</v>
      </c>
      <c r="Q130">
        <v>37</v>
      </c>
      <c r="R130">
        <v>0</v>
      </c>
      <c r="U130" s="53" t="str">
        <f>VLOOKUP(Subnets[[#This Row],[VNETID]],VNETS[#All],11, FALSE)</f>
        <v>PREPROD</v>
      </c>
      <c r="V130" s="53" t="str">
        <f>VLOOKUP(Subnets[[#This Row],[VNETID]],VNETS[#All],2, FALSE)</f>
        <v>sub12</v>
      </c>
    </row>
    <row r="131" spans="1:22" x14ac:dyDescent="0.45">
      <c r="A131" t="s">
        <v>1243</v>
      </c>
      <c r="B131">
        <v>363</v>
      </c>
      <c r="C131" t="s">
        <v>1208</v>
      </c>
      <c r="D131" t="str">
        <f>I131&amp;"_"&amp;Subnets[[#This Row],[SubNetNumber]]&amp;"_"&amp;Subnets[[#This Row],[Dept. (Computed)]]&amp;"_"&amp;E131&amp;"_"&amp;Subnets[[#This Row],[Location (Computed)]]</f>
        <v>User_Tier0_363_SLG_Dev_w2</v>
      </c>
      <c r="E131" t="s">
        <v>81</v>
      </c>
      <c r="F131" t="str">
        <f>VLOOKUP(Subnets[[#This Row],[VNETID]],VNETS[#All], 8, FALSE)</f>
        <v>SLG</v>
      </c>
      <c r="G131" t="str">
        <f>VLOOKUP(Subnets[[#This Row],[VNETID]],VNETS[#All], 9, FALSE)</f>
        <v>Managed</v>
      </c>
      <c r="H131" t="str">
        <f>VLOOKUP(Subnets[[#This Row],[VNETID]],VNETS[#All],13, FALSE)</f>
        <v>w2</v>
      </c>
      <c r="I131" t="s">
        <v>982</v>
      </c>
      <c r="K131" t="s">
        <v>985</v>
      </c>
      <c r="L131" t="str">
        <f t="shared" si="2"/>
        <v>10.131.37.128</v>
      </c>
      <c r="M131" s="9" t="s">
        <v>389</v>
      </c>
      <c r="N131" t="str">
        <f>VLOOKUP(Subnets[[#This Row],[VNETID]],VNETS[#All],7, FALSE)</f>
        <v>mac_slg_managed_prod</v>
      </c>
      <c r="O131">
        <f>VLOOKUP(Subnets[[#This Row],[VNETID]], VNETS[#All], 14, FALSE)</f>
        <v>10</v>
      </c>
      <c r="P131">
        <f>VLOOKUP(Subnets[[#This Row],[VNETID]], VNETS[#All], 15, FALSE)</f>
        <v>131</v>
      </c>
      <c r="Q131">
        <v>37</v>
      </c>
      <c r="R131">
        <v>128</v>
      </c>
      <c r="U131" s="53" t="str">
        <f>VLOOKUP(Subnets[[#This Row],[VNETID]],VNETS[#All],11, FALSE)</f>
        <v>PREPROD</v>
      </c>
      <c r="V131" s="53" t="str">
        <f>VLOOKUP(Subnets[[#This Row],[VNETID]],VNETS[#All],2, FALSE)</f>
        <v>sub12</v>
      </c>
    </row>
    <row r="132" spans="1:22" x14ac:dyDescent="0.45">
      <c r="A132" t="s">
        <v>1244</v>
      </c>
      <c r="B132">
        <v>364</v>
      </c>
      <c r="C132" t="s">
        <v>1208</v>
      </c>
      <c r="D132" t="str">
        <f>I132&amp;"_"&amp;Subnets[[#This Row],[SubNetNumber]]&amp;"_"&amp;Subnets[[#This Row],[Dept. (Computed)]]&amp;"_"&amp;E132&amp;"_"&amp;Subnets[[#This Row],[Location (Computed)]]</f>
        <v>User_Tier1_364_SLG_Dev_w2</v>
      </c>
      <c r="E132" t="s">
        <v>81</v>
      </c>
      <c r="F132" t="str">
        <f>VLOOKUP(Subnets[[#This Row],[VNETID]],VNETS[#All], 8, FALSE)</f>
        <v>SLG</v>
      </c>
      <c r="G132" t="str">
        <f>VLOOKUP(Subnets[[#This Row],[VNETID]],VNETS[#All], 9, FALSE)</f>
        <v>Managed</v>
      </c>
      <c r="H132" t="str">
        <f>VLOOKUP(Subnets[[#This Row],[VNETID]],VNETS[#All],13, FALSE)</f>
        <v>w2</v>
      </c>
      <c r="I132" t="s">
        <v>988</v>
      </c>
      <c r="K132" t="s">
        <v>983</v>
      </c>
      <c r="L132" t="str">
        <f t="shared" ref="L132:L183" si="3">O132&amp;"."&amp;P132&amp;"."&amp;Q132&amp;"."&amp;R132</f>
        <v>10.131.38.0</v>
      </c>
      <c r="M132" s="9" t="s">
        <v>389</v>
      </c>
      <c r="N132" t="str">
        <f>VLOOKUP(Subnets[[#This Row],[VNETID]],VNETS[#All],7, FALSE)</f>
        <v>mac_slg_managed_prod</v>
      </c>
      <c r="O132">
        <f>VLOOKUP(Subnets[[#This Row],[VNETID]], VNETS[#All], 14, FALSE)</f>
        <v>10</v>
      </c>
      <c r="P132">
        <f>VLOOKUP(Subnets[[#This Row],[VNETID]], VNETS[#All], 15, FALSE)</f>
        <v>131</v>
      </c>
      <c r="Q132">
        <v>38</v>
      </c>
      <c r="R132">
        <v>0</v>
      </c>
      <c r="U132" s="53" t="str">
        <f>VLOOKUP(Subnets[[#This Row],[VNETID]],VNETS[#All],11, FALSE)</f>
        <v>PREPROD</v>
      </c>
      <c r="V132" s="53" t="str">
        <f>VLOOKUP(Subnets[[#This Row],[VNETID]],VNETS[#All],2, FALSE)</f>
        <v>sub12</v>
      </c>
    </row>
    <row r="133" spans="1:22" x14ac:dyDescent="0.45">
      <c r="A133" t="s">
        <v>1245</v>
      </c>
      <c r="B133">
        <v>364</v>
      </c>
      <c r="C133" t="s">
        <v>1208</v>
      </c>
      <c r="D133" s="53" t="str">
        <f>I133&amp;"_"&amp;Subnets[[#This Row],[SubNetNumber]]&amp;"_"&amp;Subnets[[#This Row],[Dept. (Computed)]]&amp;"_"&amp;E133&amp;"_"&amp;Subnets[[#This Row],[Location (Computed)]]</f>
        <v>User_Tier2_364_SLG_Dev_w2</v>
      </c>
      <c r="E133" s="53" t="s">
        <v>81</v>
      </c>
      <c r="F133" s="53" t="str">
        <f>VLOOKUP(Subnets[[#This Row],[VNETID]],VNETS[#All], 8, FALSE)</f>
        <v>SLG</v>
      </c>
      <c r="G133" s="29" t="str">
        <f>VLOOKUP(Subnets[[#This Row],[VNETID]],VNETS[#All], 9, FALSE)</f>
        <v>Managed</v>
      </c>
      <c r="H133" t="str">
        <f>VLOOKUP(Subnets[[#This Row],[VNETID]],VNETS[#All],13, FALSE)</f>
        <v>w2</v>
      </c>
      <c r="I133" t="s">
        <v>991</v>
      </c>
      <c r="J133" s="53"/>
      <c r="K133" t="s">
        <v>984</v>
      </c>
      <c r="L133" t="str">
        <f t="shared" si="3"/>
        <v>10.131.38.128</v>
      </c>
      <c r="M133" s="9" t="s">
        <v>389</v>
      </c>
      <c r="N133" t="str">
        <f>VLOOKUP(Subnets[[#This Row],[VNETID]],VNETS[#All],7, FALSE)</f>
        <v>mac_slg_managed_prod</v>
      </c>
      <c r="O133">
        <f>VLOOKUP(Subnets[[#This Row],[VNETID]], VNETS[#All], 14, FALSE)</f>
        <v>10</v>
      </c>
      <c r="P133">
        <f>VLOOKUP(Subnets[[#This Row],[VNETID]], VNETS[#All], 15, FALSE)</f>
        <v>131</v>
      </c>
      <c r="Q133" s="53">
        <v>38</v>
      </c>
      <c r="R133" s="53">
        <v>128</v>
      </c>
      <c r="S133" s="53"/>
      <c r="T133" s="53"/>
      <c r="U133" s="53" t="str">
        <f>VLOOKUP(Subnets[[#This Row],[VNETID]],VNETS[#All],11, FALSE)</f>
        <v>PREPROD</v>
      </c>
      <c r="V133" s="53" t="str">
        <f>VLOOKUP(Subnets[[#This Row],[VNETID]],VNETS[#All],2, FALSE)</f>
        <v>sub12</v>
      </c>
    </row>
    <row r="134" spans="1:22" x14ac:dyDescent="0.45">
      <c r="A134" t="s">
        <v>1246</v>
      </c>
      <c r="B134">
        <v>410</v>
      </c>
      <c r="C134" t="s">
        <v>1208</v>
      </c>
      <c r="D134" t="str">
        <f>I134&amp;"_"&amp;Subnets[[#This Row],[SubNetNumber]]&amp;"_"&amp;Subnets[[#This Row],[Dept. (Computed)]]&amp;"_"&amp;E134&amp;"_"&amp;Subnets[[#This Row],[Location (Computed)]]</f>
        <v>Web_410_SLG_Dev_w2</v>
      </c>
      <c r="E134" t="s">
        <v>81</v>
      </c>
      <c r="F134" t="str">
        <f>VLOOKUP(Subnets[[#This Row],[VNETID]],VNETS[#All], 8, FALSE)</f>
        <v>SLG</v>
      </c>
      <c r="G134" t="str">
        <f>VLOOKUP(Subnets[[#This Row],[VNETID]],VNETS[#All], 9, FALSE)</f>
        <v>Managed</v>
      </c>
      <c r="H134" t="str">
        <f>VLOOKUP(Subnets[[#This Row],[VNETID]],VNETS[#All],13, FALSE)</f>
        <v>w2</v>
      </c>
      <c r="I134" t="s">
        <v>72</v>
      </c>
      <c r="K134" t="s">
        <v>76</v>
      </c>
      <c r="L134" t="str">
        <f t="shared" si="3"/>
        <v>10.131.40.0</v>
      </c>
      <c r="M134" s="9" t="s">
        <v>77</v>
      </c>
      <c r="N134" t="str">
        <f>VLOOKUP(Subnets[[#This Row],[VNETID]],VNETS[#All],7, FALSE)</f>
        <v>mac_slg_managed_prod</v>
      </c>
      <c r="O134">
        <f>VLOOKUP(Subnets[[#This Row],[VNETID]], VNETS[#All], 14, FALSE)</f>
        <v>10</v>
      </c>
      <c r="P134">
        <f>VLOOKUP(Subnets[[#This Row],[VNETID]], VNETS[#All], 15, FALSE)</f>
        <v>131</v>
      </c>
      <c r="Q134">
        <v>40</v>
      </c>
      <c r="R134">
        <v>0</v>
      </c>
      <c r="U134" s="53" t="str">
        <f>VLOOKUP(Subnets[[#This Row],[VNETID]],VNETS[#All],11, FALSE)</f>
        <v>PREPROD</v>
      </c>
      <c r="V134" s="53" t="str">
        <f>VLOOKUP(Subnets[[#This Row],[VNETID]],VNETS[#All],2, FALSE)</f>
        <v>sub12</v>
      </c>
    </row>
    <row r="135" spans="1:22" x14ac:dyDescent="0.45">
      <c r="A135" t="s">
        <v>1247</v>
      </c>
      <c r="B135">
        <v>420</v>
      </c>
      <c r="C135" t="s">
        <v>1208</v>
      </c>
      <c r="D135" t="str">
        <f>I135&amp;"_"&amp;Subnets[[#This Row],[SubNetNumber]]&amp;"_"&amp;Subnets[[#This Row],[Dept. (Computed)]]&amp;"_"&amp;E135&amp;"_"&amp;Subnets[[#This Row],[Location (Computed)]]</f>
        <v>App_420_SLG_Dev_w2</v>
      </c>
      <c r="E135" t="s">
        <v>81</v>
      </c>
      <c r="F135" t="str">
        <f>VLOOKUP(Subnets[[#This Row],[VNETID]],VNETS[#All], 8, FALSE)</f>
        <v>SLG</v>
      </c>
      <c r="G135" t="str">
        <f>VLOOKUP(Subnets[[#This Row],[VNETID]],VNETS[#All], 9, FALSE)</f>
        <v>Managed</v>
      </c>
      <c r="H135" t="str">
        <f>VLOOKUP(Subnets[[#This Row],[VNETID]],VNETS[#All],13, FALSE)</f>
        <v>w2</v>
      </c>
      <c r="I135" t="s">
        <v>73</v>
      </c>
      <c r="K135" t="s">
        <v>78</v>
      </c>
      <c r="L135" t="str">
        <f t="shared" si="3"/>
        <v>10.131.41.0</v>
      </c>
      <c r="M135" s="9" t="s">
        <v>77</v>
      </c>
      <c r="N135" t="str">
        <f>VLOOKUP(Subnets[[#This Row],[VNETID]],VNETS[#All],7, FALSE)</f>
        <v>mac_slg_managed_prod</v>
      </c>
      <c r="O135">
        <f>VLOOKUP(Subnets[[#This Row],[VNETID]], VNETS[#All], 14, FALSE)</f>
        <v>10</v>
      </c>
      <c r="P135">
        <f>VLOOKUP(Subnets[[#This Row],[VNETID]], VNETS[#All], 15, FALSE)</f>
        <v>131</v>
      </c>
      <c r="Q135">
        <v>41</v>
      </c>
      <c r="R135">
        <v>0</v>
      </c>
      <c r="U135" s="53" t="str">
        <f>VLOOKUP(Subnets[[#This Row],[VNETID]],VNETS[#All],11, FALSE)</f>
        <v>PREPROD</v>
      </c>
      <c r="V135" s="53" t="str">
        <f>VLOOKUP(Subnets[[#This Row],[VNETID]],VNETS[#All],2, FALSE)</f>
        <v>sub12</v>
      </c>
    </row>
    <row r="136" spans="1:22" x14ac:dyDescent="0.45">
      <c r="A136" t="s">
        <v>1248</v>
      </c>
      <c r="B136">
        <v>430</v>
      </c>
      <c r="C136" t="s">
        <v>1208</v>
      </c>
      <c r="D136" t="str">
        <f>I136&amp;"_"&amp;Subnets[[#This Row],[SubNetNumber]]&amp;"_"&amp;Subnets[[#This Row],[Dept. (Computed)]]&amp;"_"&amp;E136&amp;"_"&amp;Subnets[[#This Row],[Location (Computed)]]</f>
        <v>Database_430_SLG_Dev_w2</v>
      </c>
      <c r="E136" t="s">
        <v>81</v>
      </c>
      <c r="F136" t="str">
        <f>VLOOKUP(Subnets[[#This Row],[VNETID]],VNETS[#All], 8, FALSE)</f>
        <v>SLG</v>
      </c>
      <c r="G136" t="str">
        <f>VLOOKUP(Subnets[[#This Row],[VNETID]],VNETS[#All], 9, FALSE)</f>
        <v>Managed</v>
      </c>
      <c r="H136" t="str">
        <f>VLOOKUP(Subnets[[#This Row],[VNETID]],VNETS[#All],13, FALSE)</f>
        <v>w2</v>
      </c>
      <c r="I136" t="s">
        <v>74</v>
      </c>
      <c r="K136" t="s">
        <v>79</v>
      </c>
      <c r="L136" t="str">
        <f t="shared" si="3"/>
        <v>10.131.42.0</v>
      </c>
      <c r="M136" s="9" t="s">
        <v>77</v>
      </c>
      <c r="N136" t="str">
        <f>VLOOKUP(Subnets[[#This Row],[VNETID]],VNETS[#All],7, FALSE)</f>
        <v>mac_slg_managed_prod</v>
      </c>
      <c r="O136">
        <f>VLOOKUP(Subnets[[#This Row],[VNETID]], VNETS[#All], 14, FALSE)</f>
        <v>10</v>
      </c>
      <c r="P136">
        <f>VLOOKUP(Subnets[[#This Row],[VNETID]], VNETS[#All], 15, FALSE)</f>
        <v>131</v>
      </c>
      <c r="Q136">
        <v>42</v>
      </c>
      <c r="R136">
        <v>0</v>
      </c>
      <c r="U136" s="53" t="str">
        <f>VLOOKUP(Subnets[[#This Row],[VNETID]],VNETS[#All],11, FALSE)</f>
        <v>PREPROD</v>
      </c>
      <c r="V136" s="53" t="str">
        <f>VLOOKUP(Subnets[[#This Row],[VNETID]],VNETS[#All],2, FALSE)</f>
        <v>sub12</v>
      </c>
    </row>
    <row r="137" spans="1:22" x14ac:dyDescent="0.45">
      <c r="A137" t="s">
        <v>1249</v>
      </c>
      <c r="B137">
        <v>450</v>
      </c>
      <c r="C137" t="s">
        <v>1208</v>
      </c>
      <c r="D137" t="str">
        <f>I137&amp;"_"&amp;Subnets[[#This Row],[SubNetNumber]]&amp;"_"&amp;Subnets[[#This Row],[Dept. (Computed)]]&amp;"_"&amp;E137&amp;"_"&amp;Subnets[[#This Row],[Location (Computed)]]</f>
        <v>DMZ_450_SLG_Dev_w2</v>
      </c>
      <c r="E137" t="s">
        <v>81</v>
      </c>
      <c r="F137" t="str">
        <f>VLOOKUP(Subnets[[#This Row],[VNETID]],VNETS[#All], 8, FALSE)</f>
        <v>SLG</v>
      </c>
      <c r="G137" t="str">
        <f>VLOOKUP(Subnets[[#This Row],[VNETID]],VNETS[#All], 9, FALSE)</f>
        <v>Managed</v>
      </c>
      <c r="H137" t="str">
        <f>VLOOKUP(Subnets[[#This Row],[VNETID]],VNETS[#All],13, FALSE)</f>
        <v>w2</v>
      </c>
      <c r="I137" t="s">
        <v>75</v>
      </c>
      <c r="K137" t="s">
        <v>90</v>
      </c>
      <c r="L137" t="str">
        <f t="shared" si="3"/>
        <v>10.131.43.0</v>
      </c>
      <c r="M137" s="9" t="s">
        <v>77</v>
      </c>
      <c r="N137" t="str">
        <f>VLOOKUP(Subnets[[#This Row],[VNETID]],VNETS[#All],7, FALSE)</f>
        <v>mac_slg_managed_prod</v>
      </c>
      <c r="O137">
        <f>VLOOKUP(Subnets[[#This Row],[VNETID]], VNETS[#All], 14, FALSE)</f>
        <v>10</v>
      </c>
      <c r="P137">
        <f>VLOOKUP(Subnets[[#This Row],[VNETID]], VNETS[#All], 15, FALSE)</f>
        <v>131</v>
      </c>
      <c r="Q137">
        <v>43</v>
      </c>
      <c r="R137">
        <v>0</v>
      </c>
      <c r="U137" s="53" t="str">
        <f>VLOOKUP(Subnets[[#This Row],[VNETID]],VNETS[#All],11, FALSE)</f>
        <v>PREPROD</v>
      </c>
      <c r="V137" s="53" t="str">
        <f>VLOOKUP(Subnets[[#This Row],[VNETID]],VNETS[#All],2, FALSE)</f>
        <v>sub12</v>
      </c>
    </row>
    <row r="138" spans="1:22" x14ac:dyDescent="0.45">
      <c r="A138" t="s">
        <v>1250</v>
      </c>
      <c r="B138">
        <v>470</v>
      </c>
      <c r="C138" t="s">
        <v>1208</v>
      </c>
      <c r="D138" t="str">
        <f>I138&amp;"_"&amp;Subnets[[#This Row],[SubNetNumber]]&amp;"_"&amp;Subnets[[#This Row],[Dept. (Computed)]]&amp;"_"&amp;E138&amp;"_"&amp;Subnets[[#This Row],[Location (Computed)]]</f>
        <v>Future_470_SLG_PreProd_w2</v>
      </c>
      <c r="E138" t="s">
        <v>381</v>
      </c>
      <c r="F138" t="str">
        <f>VLOOKUP(Subnets[[#This Row],[VNETID]],VNETS[#All], 8, FALSE)</f>
        <v>SLG</v>
      </c>
      <c r="G138" t="str">
        <f>VLOOKUP(Subnets[[#This Row],[VNETID]],VNETS[#All], 9, FALSE)</f>
        <v>Managed</v>
      </c>
      <c r="H138" t="str">
        <f>VLOOKUP(Subnets[[#This Row],[VNETID]],VNETS[#All],13, FALSE)</f>
        <v>w2</v>
      </c>
      <c r="I138" t="s">
        <v>299</v>
      </c>
      <c r="K138" t="s">
        <v>300</v>
      </c>
      <c r="L138" t="str">
        <f t="shared" si="3"/>
        <v>10.131.44.0</v>
      </c>
      <c r="M138" s="9" t="s">
        <v>488</v>
      </c>
      <c r="N138" t="str">
        <f>VLOOKUP(Subnets[[#This Row],[VNETID]],VNETS[#All],7, FALSE)</f>
        <v>mac_slg_managed_prod</v>
      </c>
      <c r="O138">
        <f>VLOOKUP(Subnets[[#This Row],[VNETID]], VNETS[#All], 14, FALSE)</f>
        <v>10</v>
      </c>
      <c r="P138">
        <f>VLOOKUP(Subnets[[#This Row],[VNETID]], VNETS[#All], 15, FALSE)</f>
        <v>131</v>
      </c>
      <c r="Q138">
        <v>44</v>
      </c>
      <c r="R138">
        <v>0</v>
      </c>
      <c r="U138" s="53" t="str">
        <f>VLOOKUP(Subnets[[#This Row],[VNETID]],VNETS[#All],11, FALSE)</f>
        <v>PREPROD</v>
      </c>
      <c r="V138" s="53" t="str">
        <f>VLOOKUP(Subnets[[#This Row],[VNETID]],VNETS[#All],2, FALSE)</f>
        <v>sub12</v>
      </c>
    </row>
    <row r="139" spans="1:22" x14ac:dyDescent="0.45">
      <c r="A139" t="s">
        <v>1251</v>
      </c>
      <c r="B139">
        <v>470</v>
      </c>
      <c r="C139" t="s">
        <v>1208</v>
      </c>
      <c r="D139" t="str">
        <f>I139&amp;"_"&amp;Subnets[[#This Row],[SubNetNumber]]&amp;"_"&amp;Subnets[[#This Row],[Dept. (Computed)]]&amp;"_"&amp;E139&amp;"_"&amp;Subnets[[#This Row],[Location (Computed)]]</f>
        <v>Future_470_SLG_PreProd_w2</v>
      </c>
      <c r="E139" t="s">
        <v>381</v>
      </c>
      <c r="F139" t="str">
        <f>VLOOKUP(Subnets[[#This Row],[VNETID]],VNETS[#All], 8, FALSE)</f>
        <v>SLG</v>
      </c>
      <c r="G139" t="str">
        <f>VLOOKUP(Subnets[[#This Row],[VNETID]],VNETS[#All], 9, FALSE)</f>
        <v>Managed</v>
      </c>
      <c r="H139" t="str">
        <f>VLOOKUP(Subnets[[#This Row],[VNETID]],VNETS[#All],13, FALSE)</f>
        <v>w2</v>
      </c>
      <c r="I139" t="s">
        <v>299</v>
      </c>
      <c r="K139" t="s">
        <v>300</v>
      </c>
      <c r="L139" t="str">
        <f t="shared" si="3"/>
        <v>10.131.46.0</v>
      </c>
      <c r="M139" s="9" t="s">
        <v>77</v>
      </c>
      <c r="N139" t="str">
        <f>VLOOKUP(Subnets[[#This Row],[VNETID]],VNETS[#All],7, FALSE)</f>
        <v>mac_slg_managed_prod</v>
      </c>
      <c r="O139">
        <f>VLOOKUP(Subnets[[#This Row],[VNETID]], VNETS[#All], 14, FALSE)</f>
        <v>10</v>
      </c>
      <c r="P139">
        <f>VLOOKUP(Subnets[[#This Row],[VNETID]], VNETS[#All], 15, FALSE)</f>
        <v>131</v>
      </c>
      <c r="Q139">
        <v>46</v>
      </c>
      <c r="R139">
        <v>0</v>
      </c>
      <c r="U139" s="53" t="str">
        <f>VLOOKUP(Subnets[[#This Row],[VNETID]],VNETS[#All],11, FALSE)</f>
        <v>PREPROD</v>
      </c>
      <c r="V139" s="53" t="str">
        <f>VLOOKUP(Subnets[[#This Row],[VNETID]],VNETS[#All],2, FALSE)</f>
        <v>sub12</v>
      </c>
    </row>
    <row r="140" spans="1:22" x14ac:dyDescent="0.45">
      <c r="A140" t="s">
        <v>1252</v>
      </c>
      <c r="B140">
        <v>499</v>
      </c>
      <c r="C140" t="s">
        <v>1208</v>
      </c>
      <c r="D140" t="str">
        <f>I140&amp;"_"&amp;Subnets[[#This Row],[SubNetNumber]]&amp;"_"&amp;Subnets[[#This Row],[Dept. (Computed)]]&amp;"_"&amp;E140&amp;"_"&amp;Subnets[[#This Row],[Location (Computed)]]</f>
        <v>Gateway_499_SLG_PreProd_w2</v>
      </c>
      <c r="E140" t="s">
        <v>381</v>
      </c>
      <c r="F140" t="str">
        <f>VLOOKUP(Subnets[[#This Row],[VNETID]],VNETS[#All], 8, FALSE)</f>
        <v>SLG</v>
      </c>
      <c r="G140" t="str">
        <f>VLOOKUP(Subnets[[#This Row],[VNETID]],VNETS[#All], 9, FALSE)</f>
        <v>Managed</v>
      </c>
      <c r="H140" t="str">
        <f>VLOOKUP(Subnets[[#This Row],[VNETID]],VNETS[#All],13, FALSE)</f>
        <v>w2</v>
      </c>
      <c r="I140" t="s">
        <v>500</v>
      </c>
      <c r="K140" t="s">
        <v>553</v>
      </c>
      <c r="L140" t="str">
        <f t="shared" si="3"/>
        <v>10.131.47.248</v>
      </c>
      <c r="M140" s="9" t="s">
        <v>398</v>
      </c>
      <c r="N140" t="str">
        <f>VLOOKUP(Subnets[[#This Row],[VNETID]],VNETS[#All],7, FALSE)</f>
        <v>mac_slg_managed_prod</v>
      </c>
      <c r="O140">
        <f>VLOOKUP(Subnets[[#This Row],[VNETID]], VNETS[#All], 14, FALSE)</f>
        <v>10</v>
      </c>
      <c r="P140">
        <f>VLOOKUP(Subnets[[#This Row],[VNETID]], VNETS[#All], 15, FALSE)</f>
        <v>131</v>
      </c>
      <c r="Q140">
        <v>47</v>
      </c>
      <c r="R140">
        <v>248</v>
      </c>
      <c r="S140" t="str">
        <f>O140&amp;"."&amp;P140&amp;"."&amp;Q140&amp;"."&amp;R140</f>
        <v>10.131.47.248</v>
      </c>
      <c r="T140" s="9" t="s">
        <v>398</v>
      </c>
      <c r="U140" s="53" t="str">
        <f>VLOOKUP(Subnets[[#This Row],[VNETID]],VNETS[#All],11, FALSE)</f>
        <v>PREPROD</v>
      </c>
      <c r="V140" s="53" t="str">
        <f>VLOOKUP(Subnets[[#This Row],[VNETID]],VNETS[#All],2, FALSE)</f>
        <v>sub12</v>
      </c>
    </row>
    <row r="141" spans="1:22" x14ac:dyDescent="0.45">
      <c r="A141" t="s">
        <v>1253</v>
      </c>
      <c r="B141">
        <v>310</v>
      </c>
      <c r="C141" t="s">
        <v>1213</v>
      </c>
      <c r="D141" t="str">
        <f>I141&amp;"_"&amp;Subnets[[#This Row],[SubNetNumber]]&amp;"_"&amp;Subnets[[#This Row],[Dept. (Computed)]]&amp;"_"&amp;E141&amp;"_"&amp;Subnets[[#This Row],[Location (Computed)]]</f>
        <v>Web_310_SLG_Test_w1</v>
      </c>
      <c r="E141" t="s">
        <v>80</v>
      </c>
      <c r="F141" t="str">
        <f>VLOOKUP(Subnets[[#This Row],[VNETID]],VNETS[#All], 8, FALSE)</f>
        <v>SLG</v>
      </c>
      <c r="G141" t="str">
        <f>VLOOKUP(Subnets[[#This Row],[VNETID]],VNETS[#All], 9, FALSE)</f>
        <v>Managed</v>
      </c>
      <c r="H141" t="str">
        <f>VLOOKUP(Subnets[[#This Row],[VNETID]],VNETS[#All],13, FALSE)</f>
        <v>w1</v>
      </c>
      <c r="I141" t="s">
        <v>72</v>
      </c>
      <c r="K141" t="s">
        <v>76</v>
      </c>
      <c r="L141" t="str">
        <f t="shared" si="3"/>
        <v>10.131.96.0</v>
      </c>
      <c r="M141" s="9" t="s">
        <v>77</v>
      </c>
      <c r="N141" t="str">
        <f>VLOOKUP(Subnets[[#This Row],[VNETID]],VNETS[#All],7, FALSE)</f>
        <v>mac_slg_managed_prod</v>
      </c>
      <c r="O141">
        <f>VLOOKUP(Subnets[[#This Row],[VNETID]], VNETS[#All], 14, FALSE)</f>
        <v>10</v>
      </c>
      <c r="P141">
        <f>VLOOKUP(Subnets[[#This Row],[VNETID]], VNETS[#All], 15, FALSE)</f>
        <v>131</v>
      </c>
      <c r="Q141">
        <v>96</v>
      </c>
      <c r="R141">
        <v>0</v>
      </c>
      <c r="S141" t="str">
        <f>O141&amp;"."&amp;P141&amp;"."&amp;Q141&amp;"."&amp;R141</f>
        <v>10.131.96.0</v>
      </c>
      <c r="T141" s="9" t="s">
        <v>382</v>
      </c>
      <c r="U141" s="53" t="str">
        <f>VLOOKUP(Subnets[[#This Row],[VNETID]],VNETS[#All],11, FALSE)</f>
        <v>PREPROD</v>
      </c>
      <c r="V141" s="53" t="str">
        <f>VLOOKUP(Subnets[[#This Row],[VNETID]],VNETS[#All],2, FALSE)</f>
        <v>sub12</v>
      </c>
    </row>
    <row r="142" spans="1:22" x14ac:dyDescent="0.45">
      <c r="A142" t="s">
        <v>1254</v>
      </c>
      <c r="B142">
        <v>320</v>
      </c>
      <c r="C142" t="s">
        <v>1213</v>
      </c>
      <c r="D142" t="str">
        <f>I142&amp;"_"&amp;Subnets[[#This Row],[SubNetNumber]]&amp;"_"&amp;Subnets[[#This Row],[Dept. (Computed)]]&amp;"_"&amp;E142&amp;"_"&amp;Subnets[[#This Row],[Location (Computed)]]</f>
        <v>App_320_SLG_Test_w1</v>
      </c>
      <c r="E142" t="s">
        <v>80</v>
      </c>
      <c r="F142" t="str">
        <f>VLOOKUP(Subnets[[#This Row],[VNETID]],VNETS[#All], 8, FALSE)</f>
        <v>SLG</v>
      </c>
      <c r="G142" t="str">
        <f>VLOOKUP(Subnets[[#This Row],[VNETID]],VNETS[#All], 9, FALSE)</f>
        <v>Managed</v>
      </c>
      <c r="H142" t="str">
        <f>VLOOKUP(Subnets[[#This Row],[VNETID]],VNETS[#All],13, FALSE)</f>
        <v>w1</v>
      </c>
      <c r="I142" t="s">
        <v>73</v>
      </c>
      <c r="K142" t="s">
        <v>78</v>
      </c>
      <c r="L142" t="str">
        <f t="shared" si="3"/>
        <v>10.131.97.0</v>
      </c>
      <c r="M142" s="9" t="s">
        <v>77</v>
      </c>
      <c r="N142" t="str">
        <f>VLOOKUP(Subnets[[#This Row],[VNETID]],VNETS[#All],7, FALSE)</f>
        <v>mac_slg_managed_prod</v>
      </c>
      <c r="O142">
        <f>VLOOKUP(Subnets[[#This Row],[VNETID]], VNETS[#All], 14, FALSE)</f>
        <v>10</v>
      </c>
      <c r="P142">
        <f>VLOOKUP(Subnets[[#This Row],[VNETID]], VNETS[#All], 15, FALSE)</f>
        <v>131</v>
      </c>
      <c r="Q142">
        <v>97</v>
      </c>
      <c r="R142">
        <v>0</v>
      </c>
      <c r="U142" s="53" t="str">
        <f>VLOOKUP(Subnets[[#This Row],[VNETID]],VNETS[#All],11, FALSE)</f>
        <v>PREPROD</v>
      </c>
      <c r="V142" s="53" t="str">
        <f>VLOOKUP(Subnets[[#This Row],[VNETID]],VNETS[#All],2, FALSE)</f>
        <v>sub12</v>
      </c>
    </row>
    <row r="143" spans="1:22" x14ac:dyDescent="0.45">
      <c r="A143" t="s">
        <v>1255</v>
      </c>
      <c r="B143">
        <v>330</v>
      </c>
      <c r="C143" t="s">
        <v>1213</v>
      </c>
      <c r="D143" t="str">
        <f>I143&amp;"_"&amp;Subnets[[#This Row],[SubNetNumber]]&amp;"_"&amp;Subnets[[#This Row],[Dept. (Computed)]]&amp;"_"&amp;E143&amp;"_"&amp;Subnets[[#This Row],[Location (Computed)]]</f>
        <v>Database_330_SLG_Test_w1</v>
      </c>
      <c r="E143" t="s">
        <v>80</v>
      </c>
      <c r="F143" t="str">
        <f>VLOOKUP(Subnets[[#This Row],[VNETID]],VNETS[#All], 8, FALSE)</f>
        <v>SLG</v>
      </c>
      <c r="G143" t="str">
        <f>VLOOKUP(Subnets[[#This Row],[VNETID]],VNETS[#All], 9, FALSE)</f>
        <v>Managed</v>
      </c>
      <c r="H143" t="str">
        <f>VLOOKUP(Subnets[[#This Row],[VNETID]],VNETS[#All],13, FALSE)</f>
        <v>w1</v>
      </c>
      <c r="I143" t="s">
        <v>74</v>
      </c>
      <c r="K143" t="s">
        <v>79</v>
      </c>
      <c r="L143" t="str">
        <f t="shared" si="3"/>
        <v>10.131.98.0</v>
      </c>
      <c r="M143" s="9" t="s">
        <v>77</v>
      </c>
      <c r="N143" t="str">
        <f>VLOOKUP(Subnets[[#This Row],[VNETID]],VNETS[#All],7, FALSE)</f>
        <v>mac_slg_managed_prod</v>
      </c>
      <c r="O143">
        <f>VLOOKUP(Subnets[[#This Row],[VNETID]], VNETS[#All], 14, FALSE)</f>
        <v>10</v>
      </c>
      <c r="P143">
        <f>VLOOKUP(Subnets[[#This Row],[VNETID]], VNETS[#All], 15, FALSE)</f>
        <v>131</v>
      </c>
      <c r="Q143">
        <v>98</v>
      </c>
      <c r="R143">
        <v>0</v>
      </c>
      <c r="U143" s="53" t="str">
        <f>VLOOKUP(Subnets[[#This Row],[VNETID]],VNETS[#All],11, FALSE)</f>
        <v>PREPROD</v>
      </c>
      <c r="V143" s="53" t="str">
        <f>VLOOKUP(Subnets[[#This Row],[VNETID]],VNETS[#All],2, FALSE)</f>
        <v>sub12</v>
      </c>
    </row>
    <row r="144" spans="1:22" x14ac:dyDescent="0.45">
      <c r="A144" t="s">
        <v>1256</v>
      </c>
      <c r="B144">
        <v>350</v>
      </c>
      <c r="C144" t="s">
        <v>1213</v>
      </c>
      <c r="D144" t="str">
        <f>I144&amp;"_"&amp;Subnets[[#This Row],[SubNetNumber]]&amp;"_"&amp;Subnets[[#This Row],[Dept. (Computed)]]&amp;"_"&amp;E144&amp;"_"&amp;Subnets[[#This Row],[Location (Computed)]]</f>
        <v>DMZ_350_SLG_Test_w1</v>
      </c>
      <c r="E144" t="s">
        <v>80</v>
      </c>
      <c r="F144" t="str">
        <f>VLOOKUP(Subnets[[#This Row],[VNETID]],VNETS[#All], 8, FALSE)</f>
        <v>SLG</v>
      </c>
      <c r="G144" t="str">
        <f>VLOOKUP(Subnets[[#This Row],[VNETID]],VNETS[#All], 9, FALSE)</f>
        <v>Managed</v>
      </c>
      <c r="H144" t="str">
        <f>VLOOKUP(Subnets[[#This Row],[VNETID]],VNETS[#All],13, FALSE)</f>
        <v>w1</v>
      </c>
      <c r="I144" t="s">
        <v>75</v>
      </c>
      <c r="K144" t="s">
        <v>90</v>
      </c>
      <c r="L144" t="str">
        <f t="shared" si="3"/>
        <v>10.131.99.0</v>
      </c>
      <c r="M144" s="9" t="s">
        <v>77</v>
      </c>
      <c r="N144" t="str">
        <f>VLOOKUP(Subnets[[#This Row],[VNETID]],VNETS[#All],7, FALSE)</f>
        <v>mac_slg_managed_prod</v>
      </c>
      <c r="O144">
        <f>VLOOKUP(Subnets[[#This Row],[VNETID]], VNETS[#All], 14, FALSE)</f>
        <v>10</v>
      </c>
      <c r="P144">
        <f>VLOOKUP(Subnets[[#This Row],[VNETID]], VNETS[#All], 15, FALSE)</f>
        <v>131</v>
      </c>
      <c r="Q144">
        <v>99</v>
      </c>
      <c r="R144">
        <v>0</v>
      </c>
      <c r="U144" s="53" t="str">
        <f>VLOOKUP(Subnets[[#This Row],[VNETID]],VNETS[#All],11, FALSE)</f>
        <v>PREPROD</v>
      </c>
      <c r="V144" s="53" t="str">
        <f>VLOOKUP(Subnets[[#This Row],[VNETID]],VNETS[#All],2, FALSE)</f>
        <v>sub12</v>
      </c>
    </row>
    <row r="145" spans="1:22" x14ac:dyDescent="0.45">
      <c r="A145" t="s">
        <v>1257</v>
      </c>
      <c r="B145">
        <v>360</v>
      </c>
      <c r="C145" t="s">
        <v>1213</v>
      </c>
      <c r="D145" t="str">
        <f>I145&amp;"_"&amp;Subnets[[#This Row],[SubNetNumber]]&amp;"_"&amp;Subnets[[#This Row],[Dept. (Computed)]]&amp;"_"&amp;E145&amp;"_"&amp;Subnets[[#This Row],[Location (Computed)]]</f>
        <v>Users_Tier0_360_SLG_Test_w1</v>
      </c>
      <c r="E145" t="s">
        <v>80</v>
      </c>
      <c r="F145" t="str">
        <f>VLOOKUP(Subnets[[#This Row],[VNETID]],VNETS[#All], 8, FALSE)</f>
        <v>SLG</v>
      </c>
      <c r="G145" t="str">
        <f>VLOOKUP(Subnets[[#This Row],[VNETID]],VNETS[#All], 9, FALSE)</f>
        <v>Managed</v>
      </c>
      <c r="H145" t="str">
        <f>VLOOKUP(Subnets[[#This Row],[VNETID]],VNETS[#All],13, FALSE)</f>
        <v>w1</v>
      </c>
      <c r="I145" t="s">
        <v>990</v>
      </c>
      <c r="K145" t="s">
        <v>985</v>
      </c>
      <c r="L145" t="str">
        <f t="shared" si="3"/>
        <v>10.131.100.0</v>
      </c>
      <c r="M145" s="9" t="s">
        <v>389</v>
      </c>
      <c r="N145" t="str">
        <f>VLOOKUP(Subnets[[#This Row],[VNETID]],VNETS[#All],7, FALSE)</f>
        <v>mac_slg_managed_prod</v>
      </c>
      <c r="O145">
        <f>VLOOKUP(Subnets[[#This Row],[VNETID]], VNETS[#All], 14, FALSE)</f>
        <v>10</v>
      </c>
      <c r="P145">
        <f>VLOOKUP(Subnets[[#This Row],[VNETID]], VNETS[#All], 15, FALSE)</f>
        <v>131</v>
      </c>
      <c r="Q145">
        <v>100</v>
      </c>
      <c r="R145">
        <v>0</v>
      </c>
      <c r="U145" s="53" t="str">
        <f>VLOOKUP(Subnets[[#This Row],[VNETID]],VNETS[#All],11, FALSE)</f>
        <v>PREPROD</v>
      </c>
      <c r="V145" s="53" t="str">
        <f>VLOOKUP(Subnets[[#This Row],[VNETID]],VNETS[#All],2, FALSE)</f>
        <v>sub12</v>
      </c>
    </row>
    <row r="146" spans="1:22" x14ac:dyDescent="0.45">
      <c r="A146" t="s">
        <v>1258</v>
      </c>
      <c r="B146">
        <v>361</v>
      </c>
      <c r="C146" t="s">
        <v>1213</v>
      </c>
      <c r="D146" t="str">
        <f>I146&amp;"_"&amp;Subnets[[#This Row],[SubNetNumber]]&amp;"_"&amp;Subnets[[#This Row],[Dept. (Computed)]]&amp;"_"&amp;E146&amp;"_"&amp;Subnets[[#This Row],[Location (Computed)]]</f>
        <v>Users_Tier1_361_SLG_Test_w1</v>
      </c>
      <c r="E146" t="s">
        <v>80</v>
      </c>
      <c r="F146" t="str">
        <f>VLOOKUP(Subnets[[#This Row],[VNETID]],VNETS[#All], 8, FALSE)</f>
        <v>SLG</v>
      </c>
      <c r="G146" t="str">
        <f>VLOOKUP(Subnets[[#This Row],[VNETID]],VNETS[#All], 9, FALSE)</f>
        <v>Managed</v>
      </c>
      <c r="H146" t="str">
        <f>VLOOKUP(Subnets[[#This Row],[VNETID]],VNETS[#All],13, FALSE)</f>
        <v>w1</v>
      </c>
      <c r="I146" t="s">
        <v>980</v>
      </c>
      <c r="K146" t="s">
        <v>983</v>
      </c>
      <c r="L146" t="str">
        <f t="shared" si="3"/>
        <v>10.131.100.128</v>
      </c>
      <c r="M146" s="9" t="s">
        <v>389</v>
      </c>
      <c r="N146" t="str">
        <f>VLOOKUP(Subnets[[#This Row],[VNETID]],VNETS[#All],7, FALSE)</f>
        <v>mac_slg_managed_prod</v>
      </c>
      <c r="O146">
        <f>VLOOKUP(Subnets[[#This Row],[VNETID]], VNETS[#All], 14, FALSE)</f>
        <v>10</v>
      </c>
      <c r="P146">
        <f>VLOOKUP(Subnets[[#This Row],[VNETID]], VNETS[#All], 15, FALSE)</f>
        <v>131</v>
      </c>
      <c r="Q146">
        <v>100</v>
      </c>
      <c r="R146">
        <v>128</v>
      </c>
      <c r="U146" s="53" t="str">
        <f>VLOOKUP(Subnets[[#This Row],[VNETID]],VNETS[#All],11, FALSE)</f>
        <v>PREPROD</v>
      </c>
      <c r="V146" s="53" t="str">
        <f>VLOOKUP(Subnets[[#This Row],[VNETID]],VNETS[#All],2, FALSE)</f>
        <v>sub12</v>
      </c>
    </row>
    <row r="147" spans="1:22" x14ac:dyDescent="0.45">
      <c r="A147" t="s">
        <v>1259</v>
      </c>
      <c r="B147">
        <v>362</v>
      </c>
      <c r="C147" t="s">
        <v>1213</v>
      </c>
      <c r="D147" t="str">
        <f>I147&amp;"_"&amp;Subnets[[#This Row],[SubNetNumber]]&amp;"_"&amp;Subnets[[#This Row],[Dept. (Computed)]]&amp;"_"&amp;E147&amp;"_"&amp;Subnets[[#This Row],[Location (Computed)]]</f>
        <v>Users_Tier2_362_SLG_Test_w1</v>
      </c>
      <c r="E147" t="s">
        <v>80</v>
      </c>
      <c r="F147" t="str">
        <f>VLOOKUP(Subnets[[#This Row],[VNETID]],VNETS[#All], 8, FALSE)</f>
        <v>SLG</v>
      </c>
      <c r="G147" t="str">
        <f>VLOOKUP(Subnets[[#This Row],[VNETID]],VNETS[#All], 9, FALSE)</f>
        <v>Managed</v>
      </c>
      <c r="H147" t="str">
        <f>VLOOKUP(Subnets[[#This Row],[VNETID]],VNETS[#All],13, FALSE)</f>
        <v>w1</v>
      </c>
      <c r="I147" t="s">
        <v>981</v>
      </c>
      <c r="K147" t="s">
        <v>984</v>
      </c>
      <c r="L147" t="str">
        <f t="shared" si="3"/>
        <v>10.131.101.0</v>
      </c>
      <c r="M147" s="9" t="s">
        <v>389</v>
      </c>
      <c r="N147" t="str">
        <f>VLOOKUP(Subnets[[#This Row],[VNETID]],VNETS[#All],7, FALSE)</f>
        <v>mac_slg_managed_prod</v>
      </c>
      <c r="O147">
        <f>VLOOKUP(Subnets[[#This Row],[VNETID]], VNETS[#All], 14, FALSE)</f>
        <v>10</v>
      </c>
      <c r="P147">
        <f>VLOOKUP(Subnets[[#This Row],[VNETID]], VNETS[#All], 15, FALSE)</f>
        <v>131</v>
      </c>
      <c r="Q147">
        <v>101</v>
      </c>
      <c r="R147">
        <v>0</v>
      </c>
      <c r="U147" s="53" t="str">
        <f>VLOOKUP(Subnets[[#This Row],[VNETID]],VNETS[#All],11, FALSE)</f>
        <v>PREPROD</v>
      </c>
      <c r="V147" s="53" t="str">
        <f>VLOOKUP(Subnets[[#This Row],[VNETID]],VNETS[#All],2, FALSE)</f>
        <v>sub12</v>
      </c>
    </row>
    <row r="148" spans="1:22" x14ac:dyDescent="0.45">
      <c r="A148" t="s">
        <v>1260</v>
      </c>
      <c r="B148">
        <v>363</v>
      </c>
      <c r="C148" t="s">
        <v>1213</v>
      </c>
      <c r="D148" t="str">
        <f>I148&amp;"_"&amp;Subnets[[#This Row],[SubNetNumber]]&amp;"_"&amp;Subnets[[#This Row],[Dept. (Computed)]]&amp;"_"&amp;E148&amp;"_"&amp;Subnets[[#This Row],[Location (Computed)]]</f>
        <v>Users_Tier0_363_SLG_Dev_w1</v>
      </c>
      <c r="E148" t="s">
        <v>81</v>
      </c>
      <c r="F148" t="str">
        <f>VLOOKUP(Subnets[[#This Row],[VNETID]],VNETS[#All], 8, FALSE)</f>
        <v>SLG</v>
      </c>
      <c r="G148" t="str">
        <f>VLOOKUP(Subnets[[#This Row],[VNETID]],VNETS[#All], 9, FALSE)</f>
        <v>Managed</v>
      </c>
      <c r="H148" t="str">
        <f>VLOOKUP(Subnets[[#This Row],[VNETID]],VNETS[#All],13, FALSE)</f>
        <v>w1</v>
      </c>
      <c r="I148" t="s">
        <v>990</v>
      </c>
      <c r="K148" t="s">
        <v>985</v>
      </c>
      <c r="L148" t="str">
        <f t="shared" si="3"/>
        <v>10.131.101.128</v>
      </c>
      <c r="M148" s="9" t="s">
        <v>389</v>
      </c>
      <c r="N148" t="str">
        <f>VLOOKUP(Subnets[[#This Row],[VNETID]],VNETS[#All],7, FALSE)</f>
        <v>mac_slg_managed_prod</v>
      </c>
      <c r="O148">
        <f>VLOOKUP(Subnets[[#This Row],[VNETID]], VNETS[#All], 14, FALSE)</f>
        <v>10</v>
      </c>
      <c r="P148">
        <f>VLOOKUP(Subnets[[#This Row],[VNETID]], VNETS[#All], 15, FALSE)</f>
        <v>131</v>
      </c>
      <c r="Q148">
        <v>101</v>
      </c>
      <c r="R148">
        <v>128</v>
      </c>
      <c r="U148" s="53" t="str">
        <f>VLOOKUP(Subnets[[#This Row],[VNETID]],VNETS[#All],11, FALSE)</f>
        <v>PREPROD</v>
      </c>
      <c r="V148" s="53" t="str">
        <f>VLOOKUP(Subnets[[#This Row],[VNETID]],VNETS[#All],2, FALSE)</f>
        <v>sub12</v>
      </c>
    </row>
    <row r="149" spans="1:22" x14ac:dyDescent="0.45">
      <c r="A149" t="s">
        <v>1261</v>
      </c>
      <c r="B149">
        <v>364</v>
      </c>
      <c r="C149" t="s">
        <v>1213</v>
      </c>
      <c r="D149" t="str">
        <f>I149&amp;"_"&amp;Subnets[[#This Row],[SubNetNumber]]&amp;"_"&amp;Subnets[[#This Row],[Dept. (Computed)]]&amp;"_"&amp;E149&amp;"_"&amp;Subnets[[#This Row],[Location (Computed)]]</f>
        <v>Users_Tier1_364_SLG_Dev_w1</v>
      </c>
      <c r="E149" t="s">
        <v>81</v>
      </c>
      <c r="F149" t="str">
        <f>VLOOKUP(Subnets[[#This Row],[VNETID]],VNETS[#All], 8, FALSE)</f>
        <v>SLG</v>
      </c>
      <c r="G149" t="str">
        <f>VLOOKUP(Subnets[[#This Row],[VNETID]],VNETS[#All], 9, FALSE)</f>
        <v>Managed</v>
      </c>
      <c r="H149" t="str">
        <f>VLOOKUP(Subnets[[#This Row],[VNETID]],VNETS[#All],13, FALSE)</f>
        <v>w1</v>
      </c>
      <c r="I149" t="s">
        <v>980</v>
      </c>
      <c r="K149" t="s">
        <v>983</v>
      </c>
      <c r="L149" t="str">
        <f t="shared" si="3"/>
        <v>10.131.102.0</v>
      </c>
      <c r="M149" s="9" t="s">
        <v>389</v>
      </c>
      <c r="N149" t="str">
        <f>VLOOKUP(Subnets[[#This Row],[VNETID]],VNETS[#All],7, FALSE)</f>
        <v>mac_slg_managed_prod</v>
      </c>
      <c r="O149">
        <f>VLOOKUP(Subnets[[#This Row],[VNETID]], VNETS[#All], 14, FALSE)</f>
        <v>10</v>
      </c>
      <c r="P149">
        <f>VLOOKUP(Subnets[[#This Row],[VNETID]], VNETS[#All], 15, FALSE)</f>
        <v>131</v>
      </c>
      <c r="Q149">
        <v>102</v>
      </c>
      <c r="R149">
        <v>0</v>
      </c>
      <c r="U149" s="53" t="str">
        <f>VLOOKUP(Subnets[[#This Row],[VNETID]],VNETS[#All],11, FALSE)</f>
        <v>PREPROD</v>
      </c>
      <c r="V149" s="53" t="str">
        <f>VLOOKUP(Subnets[[#This Row],[VNETID]],VNETS[#All],2, FALSE)</f>
        <v>sub12</v>
      </c>
    </row>
    <row r="150" spans="1:22" x14ac:dyDescent="0.45">
      <c r="A150" t="s">
        <v>1262</v>
      </c>
      <c r="B150">
        <v>365</v>
      </c>
      <c r="C150" t="s">
        <v>1213</v>
      </c>
      <c r="D150" s="53" t="str">
        <f>I150&amp;"_"&amp;Subnets[[#This Row],[SubNetNumber]]&amp;"_"&amp;Subnets[[#This Row],[Dept. (Computed)]]&amp;"_"&amp;E150&amp;"_"&amp;Subnets[[#This Row],[Location (Computed)]]</f>
        <v>Users_Tier2_365_SLG_Dev_w1</v>
      </c>
      <c r="E150" s="53" t="s">
        <v>81</v>
      </c>
      <c r="F150" s="53" t="str">
        <f>VLOOKUP(Subnets[[#This Row],[VNETID]],VNETS[#All], 8, FALSE)</f>
        <v>SLG</v>
      </c>
      <c r="G150" s="29" t="str">
        <f>VLOOKUP(Subnets[[#This Row],[VNETID]],VNETS[#All], 9, FALSE)</f>
        <v>Managed</v>
      </c>
      <c r="H150" t="str">
        <f>VLOOKUP(Subnets[[#This Row],[VNETID]],VNETS[#All],13, FALSE)</f>
        <v>w1</v>
      </c>
      <c r="I150" t="s">
        <v>981</v>
      </c>
      <c r="J150" s="53"/>
      <c r="K150" t="s">
        <v>984</v>
      </c>
      <c r="L150" t="str">
        <f t="shared" si="3"/>
        <v>10.131.102.128</v>
      </c>
      <c r="M150" s="9" t="s">
        <v>389</v>
      </c>
      <c r="N150" t="str">
        <f>VLOOKUP(Subnets[[#This Row],[VNETID]],VNETS[#All],7, FALSE)</f>
        <v>mac_slg_managed_prod</v>
      </c>
      <c r="O150">
        <f>VLOOKUP(Subnets[[#This Row],[VNETID]], VNETS[#All], 14, FALSE)</f>
        <v>10</v>
      </c>
      <c r="P150">
        <f>VLOOKUP(Subnets[[#This Row],[VNETID]], VNETS[#All], 15, FALSE)</f>
        <v>131</v>
      </c>
      <c r="Q150" s="53">
        <v>102</v>
      </c>
      <c r="R150" s="53">
        <v>128</v>
      </c>
      <c r="S150" s="53"/>
      <c r="T150" s="53"/>
      <c r="U150" s="53" t="str">
        <f>VLOOKUP(Subnets[[#This Row],[VNETID]],VNETS[#All],11, FALSE)</f>
        <v>PREPROD</v>
      </c>
      <c r="V150" s="53" t="str">
        <f>VLOOKUP(Subnets[[#This Row],[VNETID]],VNETS[#All],2, FALSE)</f>
        <v>sub12</v>
      </c>
    </row>
    <row r="151" spans="1:22" x14ac:dyDescent="0.45">
      <c r="A151" t="s">
        <v>1263</v>
      </c>
      <c r="B151">
        <v>410</v>
      </c>
      <c r="C151" t="s">
        <v>1213</v>
      </c>
      <c r="D151" t="str">
        <f>I151&amp;"_"&amp;Subnets[[#This Row],[SubNetNumber]]&amp;"_"&amp;Subnets[[#This Row],[Dept. (Computed)]]&amp;"_"&amp;E151&amp;"_"&amp;Subnets[[#This Row],[Location (Computed)]]</f>
        <v>Web_410_SLG_Dev_w1</v>
      </c>
      <c r="E151" t="s">
        <v>81</v>
      </c>
      <c r="F151" t="str">
        <f>VLOOKUP(Subnets[[#This Row],[VNETID]],VNETS[#All], 8, FALSE)</f>
        <v>SLG</v>
      </c>
      <c r="G151" t="str">
        <f>VLOOKUP(Subnets[[#This Row],[VNETID]],VNETS[#All], 9, FALSE)</f>
        <v>Managed</v>
      </c>
      <c r="H151" t="str">
        <f>VLOOKUP(Subnets[[#This Row],[VNETID]],VNETS[#All],13, FALSE)</f>
        <v>w1</v>
      </c>
      <c r="I151" t="s">
        <v>72</v>
      </c>
      <c r="K151" t="s">
        <v>76</v>
      </c>
      <c r="L151" t="str">
        <f t="shared" si="3"/>
        <v>10.131.103.0</v>
      </c>
      <c r="M151" s="9" t="s">
        <v>77</v>
      </c>
      <c r="N151" t="str">
        <f>VLOOKUP(Subnets[[#This Row],[VNETID]],VNETS[#All],7, FALSE)</f>
        <v>mac_slg_managed_prod</v>
      </c>
      <c r="O151">
        <f>VLOOKUP(Subnets[[#This Row],[VNETID]], VNETS[#All], 14, FALSE)</f>
        <v>10</v>
      </c>
      <c r="P151">
        <f>VLOOKUP(Subnets[[#This Row],[VNETID]], VNETS[#All], 15, FALSE)</f>
        <v>131</v>
      </c>
      <c r="Q151">
        <v>103</v>
      </c>
      <c r="R151">
        <v>0</v>
      </c>
      <c r="U151" s="53" t="str">
        <f>VLOOKUP(Subnets[[#This Row],[VNETID]],VNETS[#All],11, FALSE)</f>
        <v>PREPROD</v>
      </c>
      <c r="V151" s="53" t="str">
        <f>VLOOKUP(Subnets[[#This Row],[VNETID]],VNETS[#All],2, FALSE)</f>
        <v>sub12</v>
      </c>
    </row>
    <row r="152" spans="1:22" x14ac:dyDescent="0.45">
      <c r="A152" t="s">
        <v>1264</v>
      </c>
      <c r="B152">
        <v>420</v>
      </c>
      <c r="C152" t="s">
        <v>1213</v>
      </c>
      <c r="D152" t="str">
        <f>I152&amp;"_"&amp;Subnets[[#This Row],[SubNetNumber]]&amp;"_"&amp;Subnets[[#This Row],[Dept. (Computed)]]&amp;"_"&amp;E152&amp;"_"&amp;Subnets[[#This Row],[Location (Computed)]]</f>
        <v>App_420_SLG_Dev_w1</v>
      </c>
      <c r="E152" t="s">
        <v>81</v>
      </c>
      <c r="F152" t="str">
        <f>VLOOKUP(Subnets[[#This Row],[VNETID]],VNETS[#All], 8, FALSE)</f>
        <v>SLG</v>
      </c>
      <c r="G152" t="str">
        <f>VLOOKUP(Subnets[[#This Row],[VNETID]],VNETS[#All], 9, FALSE)</f>
        <v>Managed</v>
      </c>
      <c r="H152" t="str">
        <f>VLOOKUP(Subnets[[#This Row],[VNETID]],VNETS[#All],13, FALSE)</f>
        <v>w1</v>
      </c>
      <c r="I152" t="s">
        <v>73</v>
      </c>
      <c r="K152" t="s">
        <v>78</v>
      </c>
      <c r="L152" t="str">
        <f t="shared" si="3"/>
        <v>10.131.104.0</v>
      </c>
      <c r="M152" s="9" t="s">
        <v>77</v>
      </c>
      <c r="N152" t="str">
        <f>VLOOKUP(Subnets[[#This Row],[VNETID]],VNETS[#All],7, FALSE)</f>
        <v>mac_slg_managed_prod</v>
      </c>
      <c r="O152">
        <f>VLOOKUP(Subnets[[#This Row],[VNETID]], VNETS[#All], 14, FALSE)</f>
        <v>10</v>
      </c>
      <c r="P152">
        <f>VLOOKUP(Subnets[[#This Row],[VNETID]], VNETS[#All], 15, FALSE)</f>
        <v>131</v>
      </c>
      <c r="Q152">
        <v>104</v>
      </c>
      <c r="R152">
        <v>0</v>
      </c>
      <c r="U152" s="53" t="str">
        <f>VLOOKUP(Subnets[[#This Row],[VNETID]],VNETS[#All],11, FALSE)</f>
        <v>PREPROD</v>
      </c>
      <c r="V152" s="53" t="str">
        <f>VLOOKUP(Subnets[[#This Row],[VNETID]],VNETS[#All],2, FALSE)</f>
        <v>sub12</v>
      </c>
    </row>
    <row r="153" spans="1:22" x14ac:dyDescent="0.45">
      <c r="A153" t="s">
        <v>1265</v>
      </c>
      <c r="B153">
        <v>430</v>
      </c>
      <c r="C153" t="s">
        <v>1213</v>
      </c>
      <c r="D153" t="str">
        <f>I153&amp;"_"&amp;Subnets[[#This Row],[SubNetNumber]]&amp;"_"&amp;Subnets[[#This Row],[Dept. (Computed)]]&amp;"_"&amp;E153&amp;"_"&amp;Subnets[[#This Row],[Location (Computed)]]</f>
        <v>Database_430_SLG_Dev_w1</v>
      </c>
      <c r="E153" t="s">
        <v>81</v>
      </c>
      <c r="F153" t="str">
        <f>VLOOKUP(Subnets[[#This Row],[VNETID]],VNETS[#All], 8, FALSE)</f>
        <v>SLG</v>
      </c>
      <c r="G153" t="str">
        <f>VLOOKUP(Subnets[[#This Row],[VNETID]],VNETS[#All], 9, FALSE)</f>
        <v>Managed</v>
      </c>
      <c r="H153" t="str">
        <f>VLOOKUP(Subnets[[#This Row],[VNETID]],VNETS[#All],13, FALSE)</f>
        <v>w1</v>
      </c>
      <c r="I153" t="s">
        <v>74</v>
      </c>
      <c r="K153" t="s">
        <v>79</v>
      </c>
      <c r="L153" t="str">
        <f t="shared" si="3"/>
        <v>10.131.105.0</v>
      </c>
      <c r="M153" s="9" t="s">
        <v>77</v>
      </c>
      <c r="N153" t="str">
        <f>VLOOKUP(Subnets[[#This Row],[VNETID]],VNETS[#All],7, FALSE)</f>
        <v>mac_slg_managed_prod</v>
      </c>
      <c r="O153">
        <f>VLOOKUP(Subnets[[#This Row],[VNETID]], VNETS[#All], 14, FALSE)</f>
        <v>10</v>
      </c>
      <c r="P153">
        <f>VLOOKUP(Subnets[[#This Row],[VNETID]], VNETS[#All], 15, FALSE)</f>
        <v>131</v>
      </c>
      <c r="Q153">
        <v>105</v>
      </c>
      <c r="R153">
        <v>0</v>
      </c>
      <c r="U153" s="53" t="str">
        <f>VLOOKUP(Subnets[[#This Row],[VNETID]],VNETS[#All],11, FALSE)</f>
        <v>PREPROD</v>
      </c>
      <c r="V153" s="53" t="str">
        <f>VLOOKUP(Subnets[[#This Row],[VNETID]],VNETS[#All],2, FALSE)</f>
        <v>sub12</v>
      </c>
    </row>
    <row r="154" spans="1:22" x14ac:dyDescent="0.45">
      <c r="A154" t="s">
        <v>1266</v>
      </c>
      <c r="B154">
        <v>450</v>
      </c>
      <c r="C154" t="s">
        <v>1213</v>
      </c>
      <c r="D154" t="str">
        <f>I154&amp;"_"&amp;Subnets[[#This Row],[SubNetNumber]]&amp;"_"&amp;Subnets[[#This Row],[Dept. (Computed)]]&amp;"_"&amp;E154&amp;"_"&amp;Subnets[[#This Row],[Location (Computed)]]</f>
        <v>DMZ_450_SLG_Dev_w1</v>
      </c>
      <c r="E154" t="s">
        <v>81</v>
      </c>
      <c r="F154" t="str">
        <f>VLOOKUP(Subnets[[#This Row],[VNETID]],VNETS[#All], 8, FALSE)</f>
        <v>SLG</v>
      </c>
      <c r="G154" t="str">
        <f>VLOOKUP(Subnets[[#This Row],[VNETID]],VNETS[#All], 9, FALSE)</f>
        <v>Managed</v>
      </c>
      <c r="H154" t="str">
        <f>VLOOKUP(Subnets[[#This Row],[VNETID]],VNETS[#All],13, FALSE)</f>
        <v>w1</v>
      </c>
      <c r="I154" t="s">
        <v>75</v>
      </c>
      <c r="K154" t="s">
        <v>90</v>
      </c>
      <c r="L154" t="str">
        <f t="shared" si="3"/>
        <v>10.131.106.0</v>
      </c>
      <c r="M154" s="9" t="s">
        <v>77</v>
      </c>
      <c r="N154" t="str">
        <f>VLOOKUP(Subnets[[#This Row],[VNETID]],VNETS[#All],7, FALSE)</f>
        <v>mac_slg_managed_prod</v>
      </c>
      <c r="O154">
        <f>VLOOKUP(Subnets[[#This Row],[VNETID]], VNETS[#All], 14, FALSE)</f>
        <v>10</v>
      </c>
      <c r="P154">
        <f>VLOOKUP(Subnets[[#This Row],[VNETID]], VNETS[#All], 15, FALSE)</f>
        <v>131</v>
      </c>
      <c r="Q154">
        <v>106</v>
      </c>
      <c r="R154">
        <v>0</v>
      </c>
      <c r="U154" s="53" t="str">
        <f>VLOOKUP(Subnets[[#This Row],[VNETID]],VNETS[#All],11, FALSE)</f>
        <v>PREPROD</v>
      </c>
      <c r="V154" s="53" t="str">
        <f>VLOOKUP(Subnets[[#This Row],[VNETID]],VNETS[#All],2, FALSE)</f>
        <v>sub12</v>
      </c>
    </row>
    <row r="155" spans="1:22" x14ac:dyDescent="0.45">
      <c r="A155" t="s">
        <v>1267</v>
      </c>
      <c r="B155">
        <v>470</v>
      </c>
      <c r="C155" t="s">
        <v>1213</v>
      </c>
      <c r="D155" t="str">
        <f>I155&amp;"_"&amp;Subnets[[#This Row],[SubNetNumber]]&amp;"_"&amp;Subnets[[#This Row],[Dept. (Computed)]]&amp;"_"&amp;E155&amp;"_"&amp;Subnets[[#This Row],[Location (Computed)]]</f>
        <v>Future_470_SLG_Dev_w1</v>
      </c>
      <c r="E155" t="s">
        <v>81</v>
      </c>
      <c r="F155" t="str">
        <f>VLOOKUP(Subnets[[#This Row],[VNETID]],VNETS[#All], 8, FALSE)</f>
        <v>SLG</v>
      </c>
      <c r="G155" t="str">
        <f>VLOOKUP(Subnets[[#This Row],[VNETID]],VNETS[#All], 9, FALSE)</f>
        <v>Managed</v>
      </c>
      <c r="H155" t="str">
        <f>VLOOKUP(Subnets[[#This Row],[VNETID]],VNETS[#All],13, FALSE)</f>
        <v>w1</v>
      </c>
      <c r="I155" t="s">
        <v>299</v>
      </c>
      <c r="K155" t="s">
        <v>300</v>
      </c>
      <c r="L155" t="str">
        <f t="shared" si="3"/>
        <v>10.131.108.0</v>
      </c>
      <c r="M155" s="9" t="s">
        <v>488</v>
      </c>
      <c r="N155" t="str">
        <f>VLOOKUP(Subnets[[#This Row],[VNETID]],VNETS[#All],7, FALSE)</f>
        <v>mac_slg_managed_prod</v>
      </c>
      <c r="O155">
        <f>VLOOKUP(Subnets[[#This Row],[VNETID]], VNETS[#All], 14, FALSE)</f>
        <v>10</v>
      </c>
      <c r="P155">
        <f>VLOOKUP(Subnets[[#This Row],[VNETID]], VNETS[#All], 15, FALSE)</f>
        <v>131</v>
      </c>
      <c r="Q155">
        <v>108</v>
      </c>
      <c r="R155">
        <v>0</v>
      </c>
      <c r="U155" s="53" t="str">
        <f>VLOOKUP(Subnets[[#This Row],[VNETID]],VNETS[#All],11, FALSE)</f>
        <v>PREPROD</v>
      </c>
      <c r="V155" s="53" t="str">
        <f>VLOOKUP(Subnets[[#This Row],[VNETID]],VNETS[#All],2, FALSE)</f>
        <v>sub12</v>
      </c>
    </row>
    <row r="156" spans="1:22" x14ac:dyDescent="0.45">
      <c r="A156" t="s">
        <v>1268</v>
      </c>
      <c r="B156">
        <v>470</v>
      </c>
      <c r="C156" t="s">
        <v>1213</v>
      </c>
      <c r="D156" t="str">
        <f>I156&amp;"_"&amp;Subnets[[#This Row],[SubNetNumber]]&amp;"_"&amp;Subnets[[#This Row],[Dept. (Computed)]]&amp;"_"&amp;E156&amp;"_"&amp;Subnets[[#This Row],[Location (Computed)]]</f>
        <v>Future_470_SLG_Dev_w1</v>
      </c>
      <c r="E156" t="s">
        <v>81</v>
      </c>
      <c r="F156" t="str">
        <f>VLOOKUP(Subnets[[#This Row],[VNETID]],VNETS[#All], 8, FALSE)</f>
        <v>SLG</v>
      </c>
      <c r="G156" t="str">
        <f>VLOOKUP(Subnets[[#This Row],[VNETID]],VNETS[#All], 9, FALSE)</f>
        <v>Managed</v>
      </c>
      <c r="H156" t="str">
        <f>VLOOKUP(Subnets[[#This Row],[VNETID]],VNETS[#All],13, FALSE)</f>
        <v>w1</v>
      </c>
      <c r="I156" t="s">
        <v>299</v>
      </c>
      <c r="K156" t="s">
        <v>300</v>
      </c>
      <c r="L156" t="str">
        <f t="shared" si="3"/>
        <v>10.131.110.0</v>
      </c>
      <c r="M156" s="9" t="s">
        <v>77</v>
      </c>
      <c r="N156" t="str">
        <f>VLOOKUP(Subnets[[#This Row],[VNETID]],VNETS[#All],7, FALSE)</f>
        <v>mac_slg_managed_prod</v>
      </c>
      <c r="O156">
        <f>VLOOKUP(Subnets[[#This Row],[VNETID]], VNETS[#All], 14, FALSE)</f>
        <v>10</v>
      </c>
      <c r="P156">
        <f>VLOOKUP(Subnets[[#This Row],[VNETID]], VNETS[#All], 15, FALSE)</f>
        <v>131</v>
      </c>
      <c r="Q156">
        <v>110</v>
      </c>
      <c r="R156">
        <v>0</v>
      </c>
      <c r="U156" s="53" t="str">
        <f>VLOOKUP(Subnets[[#This Row],[VNETID]],VNETS[#All],11, FALSE)</f>
        <v>PREPROD</v>
      </c>
      <c r="V156" s="53" t="str">
        <f>VLOOKUP(Subnets[[#This Row],[VNETID]],VNETS[#All],2, FALSE)</f>
        <v>sub12</v>
      </c>
    </row>
    <row r="157" spans="1:22" x14ac:dyDescent="0.45">
      <c r="A157" t="s">
        <v>1269</v>
      </c>
      <c r="B157">
        <v>499</v>
      </c>
      <c r="C157" t="s">
        <v>1213</v>
      </c>
      <c r="D157" t="str">
        <f>I157&amp;"_"&amp;Subnets[[#This Row],[SubNetNumber]]&amp;"_"&amp;Subnets[[#This Row],[Dept. (Computed)]]&amp;"_"&amp;E157&amp;"_"&amp;Subnets[[#This Row],[Location (Computed)]]</f>
        <v>Gateway_499_SLG_PreProd_w1</v>
      </c>
      <c r="E157" t="s">
        <v>381</v>
      </c>
      <c r="F157" t="str">
        <f>VLOOKUP(Subnets[[#This Row],[VNETID]],VNETS[#All], 8, FALSE)</f>
        <v>SLG</v>
      </c>
      <c r="G157" t="str">
        <f>VLOOKUP(Subnets[[#This Row],[VNETID]],VNETS[#All], 9, FALSE)</f>
        <v>Managed</v>
      </c>
      <c r="H157" t="str">
        <f>VLOOKUP(Subnets[[#This Row],[VNETID]],VNETS[#All],13, FALSE)</f>
        <v>w1</v>
      </c>
      <c r="I157" t="s">
        <v>500</v>
      </c>
      <c r="K157" t="s">
        <v>553</v>
      </c>
      <c r="L157" t="str">
        <f t="shared" si="3"/>
        <v>10.131.111.248</v>
      </c>
      <c r="M157" s="9" t="s">
        <v>398</v>
      </c>
      <c r="N157" t="str">
        <f>VLOOKUP(Subnets[[#This Row],[VNETID]],VNETS[#All],7, FALSE)</f>
        <v>mac_slg_managed_prod</v>
      </c>
      <c r="O157">
        <f>VLOOKUP(Subnets[[#This Row],[VNETID]], VNETS[#All], 14, FALSE)</f>
        <v>10</v>
      </c>
      <c r="P157">
        <f>VLOOKUP(Subnets[[#This Row],[VNETID]], VNETS[#All], 15, FALSE)</f>
        <v>131</v>
      </c>
      <c r="Q157">
        <v>111</v>
      </c>
      <c r="R157">
        <v>248</v>
      </c>
      <c r="S157" t="str">
        <f>O157&amp;"."&amp;P157&amp;"."&amp;Q157&amp;"."&amp;R157</f>
        <v>10.131.111.248</v>
      </c>
      <c r="T157" s="9" t="s">
        <v>398</v>
      </c>
      <c r="U157" s="53" t="str">
        <f>VLOOKUP(Subnets[[#This Row],[VNETID]],VNETS[#All],11, FALSE)</f>
        <v>PREPROD</v>
      </c>
      <c r="V157" s="53" t="str">
        <f>VLOOKUP(Subnets[[#This Row],[VNETID]],VNETS[#All],2, FALSE)</f>
        <v>sub12</v>
      </c>
    </row>
    <row r="158" spans="1:22" x14ac:dyDescent="0.45">
      <c r="A158" t="s">
        <v>1270</v>
      </c>
      <c r="B158">
        <v>110</v>
      </c>
      <c r="C158" t="s">
        <v>1209</v>
      </c>
      <c r="D158" t="str">
        <f>I158&amp;"_"&amp;Subnets[[#This Row],[SubNetNumber]]&amp;"_"&amp;Subnets[[#This Row],[Dept. (Computed)]]&amp;"_"&amp;E158&amp;"_"&amp;Subnets[[#This Row],[Location (Computed)]]</f>
        <v>Web_110_SLG_prod_w2</v>
      </c>
      <c r="E158" t="s">
        <v>267</v>
      </c>
      <c r="F158" t="str">
        <f>VLOOKUP(Subnets[[#This Row],[VNETID]],VNETS[#All], 8, FALSE)</f>
        <v>SLG</v>
      </c>
      <c r="G158" t="str">
        <f>VLOOKUP(Subnets[[#This Row],[VNETID]],VNETS[#All], 9, FALSE)</f>
        <v>Managed</v>
      </c>
      <c r="H158" t="str">
        <f>VLOOKUP(Subnets[[#This Row],[VNETID]],VNETS[#All],13, FALSE)</f>
        <v>w2</v>
      </c>
      <c r="I158" t="s">
        <v>72</v>
      </c>
      <c r="K158" t="s">
        <v>76</v>
      </c>
      <c r="L158" t="str">
        <f t="shared" si="3"/>
        <v>10.131.2.0</v>
      </c>
      <c r="M158" s="9" t="s">
        <v>77</v>
      </c>
      <c r="N158" t="str">
        <f>VLOOKUP(Subnets[[#This Row],[VNETID]],VNETS[#All],7, FALSE)</f>
        <v>mac_slg_managed_services</v>
      </c>
      <c r="O158">
        <f>VLOOKUP(Subnets[[#This Row],[VNETID]], VNETS[#All], 14, FALSE)</f>
        <v>10</v>
      </c>
      <c r="P158">
        <f>VLOOKUP(Subnets[[#This Row],[VNETID]], VNETS[#All], 15, FALSE)</f>
        <v>131</v>
      </c>
      <c r="Q158">
        <v>2</v>
      </c>
      <c r="R158">
        <v>0</v>
      </c>
      <c r="S158" t="str">
        <f>O158&amp;"."&amp;P158&amp;"."&amp;Q158&amp;"."&amp;R158</f>
        <v>10.131.2.0</v>
      </c>
      <c r="T158" s="9" t="s">
        <v>382</v>
      </c>
      <c r="U158" s="53" t="str">
        <f>VLOOKUP(Subnets[[#This Row],[VNETID]],VNETS[#All],11, FALSE)</f>
        <v>PROD</v>
      </c>
      <c r="V158" s="53" t="str">
        <f>VLOOKUP(Subnets[[#This Row],[VNETID]],VNETS[#All],2, FALSE)</f>
        <v>sub13</v>
      </c>
    </row>
    <row r="159" spans="1:22" x14ac:dyDescent="0.45">
      <c r="A159" t="s">
        <v>1271</v>
      </c>
      <c r="B159">
        <v>120</v>
      </c>
      <c r="C159" t="s">
        <v>1209</v>
      </c>
      <c r="D159" t="str">
        <f>I159&amp;"_"&amp;Subnets[[#This Row],[SubNetNumber]]&amp;"_"&amp;Subnets[[#This Row],[Dept. (Computed)]]&amp;"_"&amp;E159&amp;"_"&amp;Subnets[[#This Row],[Location (Computed)]]</f>
        <v>App_120_SLG_prod_w2</v>
      </c>
      <c r="E159" t="s">
        <v>267</v>
      </c>
      <c r="F159" t="str">
        <f>VLOOKUP(Subnets[[#This Row],[VNETID]],VNETS[#All], 8, FALSE)</f>
        <v>SLG</v>
      </c>
      <c r="G159" t="str">
        <f>VLOOKUP(Subnets[[#This Row],[VNETID]],VNETS[#All], 9, FALSE)</f>
        <v>Managed</v>
      </c>
      <c r="H159" t="str">
        <f>VLOOKUP(Subnets[[#This Row],[VNETID]],VNETS[#All],13, FALSE)</f>
        <v>w2</v>
      </c>
      <c r="I159" t="s">
        <v>73</v>
      </c>
      <c r="J159">
        <v>2</v>
      </c>
      <c r="K159" t="s">
        <v>78</v>
      </c>
      <c r="L159" t="str">
        <f t="shared" si="3"/>
        <v>10.131.4.0</v>
      </c>
      <c r="M159" s="9" t="s">
        <v>77</v>
      </c>
      <c r="N159" t="str">
        <f>VLOOKUP(Subnets[[#This Row],[VNETID]],VNETS[#All],7, FALSE)</f>
        <v>mac_slg_managed_services</v>
      </c>
      <c r="O159">
        <f>VLOOKUP(Subnets[[#This Row],[VNETID]], VNETS[#All], 14, FALSE)</f>
        <v>10</v>
      </c>
      <c r="P159">
        <f>VLOOKUP(Subnets[[#This Row],[VNETID]], VNETS[#All], 15, FALSE)</f>
        <v>131</v>
      </c>
      <c r="Q159">
        <v>4</v>
      </c>
      <c r="R159">
        <v>0</v>
      </c>
      <c r="U159" s="53" t="str">
        <f>VLOOKUP(Subnets[[#This Row],[VNETID]],VNETS[#All],11, FALSE)</f>
        <v>PROD</v>
      </c>
      <c r="V159" s="53" t="str">
        <f>VLOOKUP(Subnets[[#This Row],[VNETID]],VNETS[#All],2, FALSE)</f>
        <v>sub13</v>
      </c>
    </row>
    <row r="160" spans="1:22" x14ac:dyDescent="0.45">
      <c r="A160" t="s">
        <v>1272</v>
      </c>
      <c r="B160">
        <v>130</v>
      </c>
      <c r="C160" t="s">
        <v>1209</v>
      </c>
      <c r="D160" t="str">
        <f>I160&amp;"_"&amp;Subnets[[#This Row],[SubNetNumber]]&amp;"_"&amp;Subnets[[#This Row],[Dept. (Computed)]]&amp;"_"&amp;E160&amp;"_"&amp;Subnets[[#This Row],[Location (Computed)]]</f>
        <v>Database_130_SLG_prod_w2</v>
      </c>
      <c r="E160" t="s">
        <v>267</v>
      </c>
      <c r="F160" t="str">
        <f>VLOOKUP(Subnets[[#This Row],[VNETID]],VNETS[#All], 8, FALSE)</f>
        <v>SLG</v>
      </c>
      <c r="G160" t="str">
        <f>VLOOKUP(Subnets[[#This Row],[VNETID]],VNETS[#All], 9, FALSE)</f>
        <v>Managed</v>
      </c>
      <c r="H160" t="str">
        <f>VLOOKUP(Subnets[[#This Row],[VNETID]],VNETS[#All],13, FALSE)</f>
        <v>w2</v>
      </c>
      <c r="I160" t="s">
        <v>74</v>
      </c>
      <c r="J160">
        <v>1</v>
      </c>
      <c r="K160" t="s">
        <v>79</v>
      </c>
      <c r="L160" t="str">
        <f t="shared" si="3"/>
        <v>10.131.6.0</v>
      </c>
      <c r="M160" s="9" t="s">
        <v>77</v>
      </c>
      <c r="N160" t="str">
        <f>VLOOKUP(Subnets[[#This Row],[VNETID]],VNETS[#All],7, FALSE)</f>
        <v>mac_slg_managed_services</v>
      </c>
      <c r="O160">
        <f>VLOOKUP(Subnets[[#This Row],[VNETID]], VNETS[#All], 14, FALSE)</f>
        <v>10</v>
      </c>
      <c r="P160">
        <f>VLOOKUP(Subnets[[#This Row],[VNETID]], VNETS[#All], 15, FALSE)</f>
        <v>131</v>
      </c>
      <c r="Q160">
        <v>6</v>
      </c>
      <c r="R160">
        <v>0</v>
      </c>
      <c r="U160" s="53" t="str">
        <f>VLOOKUP(Subnets[[#This Row],[VNETID]],VNETS[#All],11, FALSE)</f>
        <v>PROD</v>
      </c>
      <c r="V160" s="53" t="str">
        <f>VLOOKUP(Subnets[[#This Row],[VNETID]],VNETS[#All],2, FALSE)</f>
        <v>sub13</v>
      </c>
    </row>
    <row r="161" spans="1:22" x14ac:dyDescent="0.45">
      <c r="A161" t="s">
        <v>1273</v>
      </c>
      <c r="B161">
        <v>150</v>
      </c>
      <c r="C161" t="s">
        <v>1209</v>
      </c>
      <c r="D161" t="str">
        <f>I161&amp;"_"&amp;Subnets[[#This Row],[SubNetNumber]]&amp;"_"&amp;Subnets[[#This Row],[Dept. (Computed)]]&amp;"_"&amp;E161&amp;"_"&amp;Subnets[[#This Row],[Location (Computed)]]</f>
        <v>DMZ_150_SLG_prod_w2</v>
      </c>
      <c r="E161" t="s">
        <v>267</v>
      </c>
      <c r="F161" t="str">
        <f>VLOOKUP(Subnets[[#This Row],[VNETID]],VNETS[#All], 8, FALSE)</f>
        <v>SLG</v>
      </c>
      <c r="G161" t="str">
        <f>VLOOKUP(Subnets[[#This Row],[VNETID]],VNETS[#All], 9, FALSE)</f>
        <v>Managed</v>
      </c>
      <c r="H161" t="str">
        <f>VLOOKUP(Subnets[[#This Row],[VNETID]],VNETS[#All],13, FALSE)</f>
        <v>w2</v>
      </c>
      <c r="I161" t="s">
        <v>75</v>
      </c>
      <c r="K161" t="s">
        <v>90</v>
      </c>
      <c r="L161" t="str">
        <f t="shared" si="3"/>
        <v>10.131.8.0</v>
      </c>
      <c r="M161" s="9" t="s">
        <v>77</v>
      </c>
      <c r="N161" t="str">
        <f>VLOOKUP(Subnets[[#This Row],[VNETID]],VNETS[#All],7, FALSE)</f>
        <v>mac_slg_managed_services</v>
      </c>
      <c r="O161">
        <f>VLOOKUP(Subnets[[#This Row],[VNETID]], VNETS[#All], 14, FALSE)</f>
        <v>10</v>
      </c>
      <c r="P161">
        <f>VLOOKUP(Subnets[[#This Row],[VNETID]], VNETS[#All], 15, FALSE)</f>
        <v>131</v>
      </c>
      <c r="Q161">
        <v>8</v>
      </c>
      <c r="R161">
        <v>0</v>
      </c>
      <c r="U161" s="53" t="str">
        <f>VLOOKUP(Subnets[[#This Row],[VNETID]],VNETS[#All],11, FALSE)</f>
        <v>PROD</v>
      </c>
      <c r="V161" s="53" t="str">
        <f>VLOOKUP(Subnets[[#This Row],[VNETID]],VNETS[#All],2, FALSE)</f>
        <v>sub13</v>
      </c>
    </row>
    <row r="162" spans="1:22" x14ac:dyDescent="0.45">
      <c r="A162" t="s">
        <v>1274</v>
      </c>
      <c r="B162">
        <v>160</v>
      </c>
      <c r="C162" t="s">
        <v>1209</v>
      </c>
      <c r="D162" t="str">
        <f>I162&amp;"_"&amp;Subnets[[#This Row],[SubNetNumber]]&amp;"_"&amp;Subnets[[#This Row],[Dept. (Computed)]]&amp;"_"&amp;E162&amp;"_"&amp;Subnets[[#This Row],[Location (Computed)]]</f>
        <v>User_Tier0_160_SLG_prod_w2</v>
      </c>
      <c r="E162" t="s">
        <v>267</v>
      </c>
      <c r="F162" t="str">
        <f>VLOOKUP(Subnets[[#This Row],[VNETID]],VNETS[#All], 8, FALSE)</f>
        <v>SLG</v>
      </c>
      <c r="G162" t="str">
        <f>VLOOKUP(Subnets[[#This Row],[VNETID]],VNETS[#All], 9, FALSE)</f>
        <v>Managed</v>
      </c>
      <c r="H162" t="str">
        <f>VLOOKUP(Subnets[[#This Row],[VNETID]],VNETS[#All],13, FALSE)</f>
        <v>w2</v>
      </c>
      <c r="I162" t="s">
        <v>982</v>
      </c>
      <c r="K162" t="s">
        <v>985</v>
      </c>
      <c r="L162" t="str">
        <f t="shared" si="3"/>
        <v>10.131.10.0</v>
      </c>
      <c r="M162" s="9" t="s">
        <v>389</v>
      </c>
      <c r="N162" t="str">
        <f>VLOOKUP(Subnets[[#This Row],[VNETID]],VNETS[#All],7, FALSE)</f>
        <v>mac_slg_managed_services</v>
      </c>
      <c r="O162">
        <f>VLOOKUP(Subnets[[#This Row],[VNETID]], VNETS[#All], 14, FALSE)</f>
        <v>10</v>
      </c>
      <c r="P162">
        <f>VLOOKUP(Subnets[[#This Row],[VNETID]], VNETS[#All], 15, FALSE)</f>
        <v>131</v>
      </c>
      <c r="Q162">
        <v>10</v>
      </c>
      <c r="R162">
        <v>0</v>
      </c>
      <c r="U162" s="53" t="str">
        <f>VLOOKUP(Subnets[[#This Row],[VNETID]],VNETS[#All],11, FALSE)</f>
        <v>PROD</v>
      </c>
      <c r="V162" s="53" t="str">
        <f>VLOOKUP(Subnets[[#This Row],[VNETID]],VNETS[#All],2, FALSE)</f>
        <v>sub13</v>
      </c>
    </row>
    <row r="163" spans="1:22" x14ac:dyDescent="0.45">
      <c r="A163" t="s">
        <v>1275</v>
      </c>
      <c r="B163">
        <v>161</v>
      </c>
      <c r="C163" t="s">
        <v>1209</v>
      </c>
      <c r="D163" t="str">
        <f>I163&amp;"_"&amp;Subnets[[#This Row],[SubNetNumber]]&amp;"_"&amp;Subnets[[#This Row],[Dept. (Computed)]]&amp;"_"&amp;E163&amp;"_"&amp;Subnets[[#This Row],[Location (Computed)]]</f>
        <v>Users_Tier1_161_SLG_prod_w2</v>
      </c>
      <c r="E163" t="s">
        <v>267</v>
      </c>
      <c r="F163" t="str">
        <f>VLOOKUP(Subnets[[#This Row],[VNETID]],VNETS[#All], 8, FALSE)</f>
        <v>SLG</v>
      </c>
      <c r="G163" t="str">
        <f>VLOOKUP(Subnets[[#This Row],[VNETID]],VNETS[#All], 9, FALSE)</f>
        <v>Managed</v>
      </c>
      <c r="H163" t="str">
        <f>VLOOKUP(Subnets[[#This Row],[VNETID]],VNETS[#All],13, FALSE)</f>
        <v>w2</v>
      </c>
      <c r="I163" t="s">
        <v>980</v>
      </c>
      <c r="K163" t="s">
        <v>983</v>
      </c>
      <c r="L163" t="str">
        <f t="shared" si="3"/>
        <v>10.131.10.128</v>
      </c>
      <c r="M163" s="9" t="s">
        <v>389</v>
      </c>
      <c r="N163" t="str">
        <f>VLOOKUP(Subnets[[#This Row],[VNETID]],VNETS[#All],7, FALSE)</f>
        <v>mac_slg_managed_services</v>
      </c>
      <c r="O163">
        <f>VLOOKUP(Subnets[[#This Row],[VNETID]], VNETS[#All], 14, FALSE)</f>
        <v>10</v>
      </c>
      <c r="P163">
        <f>VLOOKUP(Subnets[[#This Row],[VNETID]], VNETS[#All], 15, FALSE)</f>
        <v>131</v>
      </c>
      <c r="Q163">
        <v>10</v>
      </c>
      <c r="R163">
        <v>128</v>
      </c>
      <c r="U163" s="53" t="str">
        <f>VLOOKUP(Subnets[[#This Row],[VNETID]],VNETS[#All],11, FALSE)</f>
        <v>PROD</v>
      </c>
      <c r="V163" s="53" t="str">
        <f>VLOOKUP(Subnets[[#This Row],[VNETID]],VNETS[#All],2, FALSE)</f>
        <v>sub13</v>
      </c>
    </row>
    <row r="164" spans="1:22" x14ac:dyDescent="0.45">
      <c r="A164" t="s">
        <v>1276</v>
      </c>
      <c r="B164">
        <v>162</v>
      </c>
      <c r="C164" t="s">
        <v>1209</v>
      </c>
      <c r="D164" t="str">
        <f>I164&amp;"_"&amp;Subnets[[#This Row],[SubNetNumber]]&amp;"_"&amp;Subnets[[#This Row],[Dept. (Computed)]]&amp;"_"&amp;E164&amp;"_"&amp;Subnets[[#This Row],[Location (Computed)]]</f>
        <v>Users_Tier2_162_SLG_prod_w2</v>
      </c>
      <c r="E164" t="s">
        <v>267</v>
      </c>
      <c r="F164" t="str">
        <f>VLOOKUP(Subnets[[#This Row],[VNETID]],VNETS[#All], 8, FALSE)</f>
        <v>SLG</v>
      </c>
      <c r="G164" t="str">
        <f>VLOOKUP(Subnets[[#This Row],[VNETID]],VNETS[#All], 9, FALSE)</f>
        <v>Managed</v>
      </c>
      <c r="H164" t="str">
        <f>VLOOKUP(Subnets[[#This Row],[VNETID]],VNETS[#All],13, FALSE)</f>
        <v>w2</v>
      </c>
      <c r="I164" t="s">
        <v>981</v>
      </c>
      <c r="K164" t="s">
        <v>984</v>
      </c>
      <c r="L164" t="str">
        <f t="shared" si="3"/>
        <v>10.131.11.0</v>
      </c>
      <c r="M164" s="9" t="s">
        <v>389</v>
      </c>
      <c r="N164" t="str">
        <f>VLOOKUP(Subnets[[#This Row],[VNETID]],VNETS[#All],7, FALSE)</f>
        <v>mac_slg_managed_services</v>
      </c>
      <c r="O164">
        <f>VLOOKUP(Subnets[[#This Row],[VNETID]], VNETS[#All], 14, FALSE)</f>
        <v>10</v>
      </c>
      <c r="P164">
        <f>VLOOKUP(Subnets[[#This Row],[VNETID]], VNETS[#All], 15, FALSE)</f>
        <v>131</v>
      </c>
      <c r="Q164">
        <v>11</v>
      </c>
      <c r="R164">
        <v>0</v>
      </c>
      <c r="U164" s="53" t="str">
        <f>VLOOKUP(Subnets[[#This Row],[VNETID]],VNETS[#All],11, FALSE)</f>
        <v>PROD</v>
      </c>
      <c r="V164" s="53" t="str">
        <f>VLOOKUP(Subnets[[#This Row],[VNETID]],VNETS[#All],2, FALSE)</f>
        <v>sub13</v>
      </c>
    </row>
    <row r="165" spans="1:22" x14ac:dyDescent="0.45">
      <c r="A165" t="s">
        <v>1277</v>
      </c>
      <c r="B165">
        <v>163</v>
      </c>
      <c r="C165" t="s">
        <v>1209</v>
      </c>
      <c r="D165" t="str">
        <f>I165&amp;"_"&amp;Subnets[[#This Row],[SubNetNumber]]&amp;"_"&amp;Subnets[[#This Row],[Dept. (Computed)]]&amp;"_"&amp;E165&amp;"_"&amp;Subnets[[#This Row],[Location (Computed)]]</f>
        <v>Deprecated_163_SLG_prod_w2</v>
      </c>
      <c r="E165" t="s">
        <v>267</v>
      </c>
      <c r="F165" t="str">
        <f>VLOOKUP(Subnets[[#This Row],[VNETID]],VNETS[#All], 8, FALSE)</f>
        <v>SLG</v>
      </c>
      <c r="G165" t="str">
        <f>VLOOKUP(Subnets[[#This Row],[VNETID]],VNETS[#All], 9, FALSE)</f>
        <v>Managed</v>
      </c>
      <c r="H165" t="str">
        <f>VLOOKUP(Subnets[[#This Row],[VNETID]],VNETS[#All],13, FALSE)</f>
        <v>w2</v>
      </c>
      <c r="I165" t="s">
        <v>989</v>
      </c>
      <c r="K165" t="s">
        <v>986</v>
      </c>
      <c r="L165" t="str">
        <f t="shared" si="3"/>
        <v>10.131.11.128</v>
      </c>
      <c r="M165" s="9" t="s">
        <v>389</v>
      </c>
      <c r="N165" t="str">
        <f>VLOOKUP(Subnets[[#This Row],[VNETID]],VNETS[#All],7, FALSE)</f>
        <v>mac_slg_managed_services</v>
      </c>
      <c r="O165">
        <f>VLOOKUP(Subnets[[#This Row],[VNETID]], VNETS[#All], 14, FALSE)</f>
        <v>10</v>
      </c>
      <c r="P165">
        <f>VLOOKUP(Subnets[[#This Row],[VNETID]], VNETS[#All], 15, FALSE)</f>
        <v>131</v>
      </c>
      <c r="Q165">
        <v>11</v>
      </c>
      <c r="R165">
        <v>128</v>
      </c>
      <c r="U165" s="53" t="str">
        <f>VLOOKUP(Subnets[[#This Row],[VNETID]],VNETS[#All],11, FALSE)</f>
        <v>PROD</v>
      </c>
      <c r="V165" s="53" t="str">
        <f>VLOOKUP(Subnets[[#This Row],[VNETID]],VNETS[#All],2, FALSE)</f>
        <v>sub13</v>
      </c>
    </row>
    <row r="166" spans="1:22" x14ac:dyDescent="0.45">
      <c r="A166" t="s">
        <v>1278</v>
      </c>
      <c r="B166">
        <v>164</v>
      </c>
      <c r="C166" t="s">
        <v>1209</v>
      </c>
      <c r="D166" t="str">
        <f>I166&amp;"_"&amp;Subnets[[#This Row],[SubNetNumber]]&amp;"_"&amp;Subnets[[#This Row],[Dept. (Computed)]]&amp;"_"&amp;E166&amp;"_"&amp;Subnets[[#This Row],[Location (Computed)]]</f>
        <v>Deprecated_164_SLG_prod_w2</v>
      </c>
      <c r="E166" t="s">
        <v>267</v>
      </c>
      <c r="F166" t="str">
        <f>VLOOKUP(Subnets[[#This Row],[VNETID]],VNETS[#All], 8, FALSE)</f>
        <v>SLG</v>
      </c>
      <c r="G166" t="str">
        <f>VLOOKUP(Subnets[[#This Row],[VNETID]],VNETS[#All], 9, FALSE)</f>
        <v>Managed</v>
      </c>
      <c r="H166" t="str">
        <f>VLOOKUP(Subnets[[#This Row],[VNETID]],VNETS[#All],13, FALSE)</f>
        <v>w2</v>
      </c>
      <c r="I166" t="s">
        <v>989</v>
      </c>
      <c r="K166" t="s">
        <v>987</v>
      </c>
      <c r="L166" t="str">
        <f t="shared" si="3"/>
        <v>10.131.12.0</v>
      </c>
      <c r="M166" s="9" t="s">
        <v>389</v>
      </c>
      <c r="N166" t="str">
        <f>VLOOKUP(Subnets[[#This Row],[VNETID]],VNETS[#All],7, FALSE)</f>
        <v>mac_slg_managed_services</v>
      </c>
      <c r="O166">
        <f>VLOOKUP(Subnets[[#This Row],[VNETID]], VNETS[#All], 14, FALSE)</f>
        <v>10</v>
      </c>
      <c r="P166">
        <f>VLOOKUP(Subnets[[#This Row],[VNETID]], VNETS[#All], 15, FALSE)</f>
        <v>131</v>
      </c>
      <c r="Q166">
        <v>12</v>
      </c>
      <c r="R166">
        <v>0</v>
      </c>
      <c r="U166" s="53" t="str">
        <f>VLOOKUP(Subnets[[#This Row],[VNETID]],VNETS[#All],11, FALSE)</f>
        <v>PROD</v>
      </c>
      <c r="V166" s="53" t="str">
        <f>VLOOKUP(Subnets[[#This Row],[VNETID]],VNETS[#All],2, FALSE)</f>
        <v>sub13</v>
      </c>
    </row>
    <row r="167" spans="1:22" x14ac:dyDescent="0.45">
      <c r="A167" t="s">
        <v>1279</v>
      </c>
      <c r="B167">
        <v>170</v>
      </c>
      <c r="C167" t="s">
        <v>1209</v>
      </c>
      <c r="D167" t="str">
        <f>I167&amp;"_"&amp;Subnets[[#This Row],[SubNetNumber]]&amp;"_"&amp;Subnets[[#This Row],[Dept. (Computed)]]&amp;"_"&amp;E167&amp;"_"&amp;Subnets[[#This Row],[Location (Computed)]]</f>
        <v>Future_170_SLG_prod_w2</v>
      </c>
      <c r="E167" t="s">
        <v>267</v>
      </c>
      <c r="F167" t="str">
        <f>VLOOKUP(Subnets[[#This Row],[VNETID]],VNETS[#All], 8, FALSE)</f>
        <v>SLG</v>
      </c>
      <c r="G167" t="str">
        <f>VLOOKUP(Subnets[[#This Row],[VNETID]],VNETS[#All], 9, FALSE)</f>
        <v>Managed</v>
      </c>
      <c r="H167" t="str">
        <f>VLOOKUP(Subnets[[#This Row],[VNETID]],VNETS[#All],13, FALSE)</f>
        <v>w2</v>
      </c>
      <c r="I167" t="s">
        <v>299</v>
      </c>
      <c r="K167" t="s">
        <v>300</v>
      </c>
      <c r="L167" t="str">
        <f t="shared" si="3"/>
        <v>10.131.13.0</v>
      </c>
      <c r="M167" s="9" t="s">
        <v>77</v>
      </c>
      <c r="N167" t="str">
        <f>VLOOKUP(Subnets[[#This Row],[VNETID]],VNETS[#All],7, FALSE)</f>
        <v>mac_slg_managed_services</v>
      </c>
      <c r="O167">
        <f>VLOOKUP(Subnets[[#This Row],[VNETID]], VNETS[#All], 14, FALSE)</f>
        <v>10</v>
      </c>
      <c r="P167">
        <f>VLOOKUP(Subnets[[#This Row],[VNETID]], VNETS[#All], 15, FALSE)</f>
        <v>131</v>
      </c>
      <c r="Q167">
        <v>13</v>
      </c>
      <c r="R167">
        <v>0</v>
      </c>
      <c r="U167" s="53" t="str">
        <f>VLOOKUP(Subnets[[#This Row],[VNETID]],VNETS[#All],11, FALSE)</f>
        <v>PROD</v>
      </c>
      <c r="V167" s="53" t="str">
        <f>VLOOKUP(Subnets[[#This Row],[VNETID]],VNETS[#All],2, FALSE)</f>
        <v>sub13</v>
      </c>
    </row>
    <row r="168" spans="1:22" x14ac:dyDescent="0.45">
      <c r="A168" t="s">
        <v>1280</v>
      </c>
      <c r="B168">
        <v>170</v>
      </c>
      <c r="C168" t="s">
        <v>1209</v>
      </c>
      <c r="D168" t="str">
        <f>I168&amp;"_"&amp;Subnets[[#This Row],[SubNetNumber]]&amp;"_"&amp;Subnets[[#This Row],[Dept. (Computed)]]&amp;"_"&amp;E168&amp;"_"&amp;Subnets[[#This Row],[Location (Computed)]]</f>
        <v>Future_170_SLG_prod_w2</v>
      </c>
      <c r="E168" t="s">
        <v>267</v>
      </c>
      <c r="F168" t="str">
        <f>VLOOKUP(Subnets[[#This Row],[VNETID]],VNETS[#All], 8, FALSE)</f>
        <v>SLG</v>
      </c>
      <c r="G168" t="str">
        <f>VLOOKUP(Subnets[[#This Row],[VNETID]],VNETS[#All], 9, FALSE)</f>
        <v>Managed</v>
      </c>
      <c r="H168" t="str">
        <f>VLOOKUP(Subnets[[#This Row],[VNETID]],VNETS[#All],13, FALSE)</f>
        <v>w2</v>
      </c>
      <c r="I168" t="s">
        <v>299</v>
      </c>
      <c r="K168" t="s">
        <v>300</v>
      </c>
      <c r="L168" t="str">
        <f t="shared" si="3"/>
        <v>10.131.14.0</v>
      </c>
      <c r="M168" s="9" t="s">
        <v>77</v>
      </c>
      <c r="N168" t="str">
        <f>VLOOKUP(Subnets[[#This Row],[VNETID]],VNETS[#All],7, FALSE)</f>
        <v>mac_slg_managed_services</v>
      </c>
      <c r="O168">
        <f>VLOOKUP(Subnets[[#This Row],[VNETID]], VNETS[#All], 14, FALSE)</f>
        <v>10</v>
      </c>
      <c r="P168">
        <f>VLOOKUP(Subnets[[#This Row],[VNETID]], VNETS[#All], 15, FALSE)</f>
        <v>131</v>
      </c>
      <c r="Q168">
        <v>14</v>
      </c>
      <c r="R168">
        <v>0</v>
      </c>
      <c r="U168" s="53" t="str">
        <f>VLOOKUP(Subnets[[#This Row],[VNETID]],VNETS[#All],11, FALSE)</f>
        <v>PROD</v>
      </c>
      <c r="V168" s="53" t="str">
        <f>VLOOKUP(Subnets[[#This Row],[VNETID]],VNETS[#All],2, FALSE)</f>
        <v>sub13</v>
      </c>
    </row>
    <row r="169" spans="1:22" x14ac:dyDescent="0.45">
      <c r="A169" t="s">
        <v>1281</v>
      </c>
      <c r="B169">
        <v>199</v>
      </c>
      <c r="C169" t="s">
        <v>1209</v>
      </c>
      <c r="D169" t="str">
        <f>I169&amp;"_"&amp;Subnets[[#This Row],[SubNetNumber]]&amp;"_"&amp;Subnets[[#This Row],[Dept. (Computed)]]&amp;"_"&amp;E169&amp;"_"&amp;Subnets[[#This Row],[Location (Computed)]]</f>
        <v>Gateway_199_SLG_prod_w2</v>
      </c>
      <c r="E169" t="s">
        <v>267</v>
      </c>
      <c r="F169" t="str">
        <f>VLOOKUP(Subnets[[#This Row],[VNETID]],VNETS[#All], 8, FALSE)</f>
        <v>SLG</v>
      </c>
      <c r="G169" t="str">
        <f>VLOOKUP(Subnets[[#This Row],[VNETID]],VNETS[#All], 9, FALSE)</f>
        <v>Managed</v>
      </c>
      <c r="H169" t="str">
        <f>VLOOKUP(Subnets[[#This Row],[VNETID]],VNETS[#All],13, FALSE)</f>
        <v>w2</v>
      </c>
      <c r="I169" t="s">
        <v>500</v>
      </c>
      <c r="K169" t="s">
        <v>553</v>
      </c>
      <c r="L169" t="str">
        <f t="shared" si="3"/>
        <v>10.131.15.248</v>
      </c>
      <c r="M169" s="9" t="s">
        <v>398</v>
      </c>
      <c r="N169" t="str">
        <f>VLOOKUP(Subnets[[#This Row],[VNETID]],VNETS[#All],7, FALSE)</f>
        <v>mac_slg_managed_services</v>
      </c>
      <c r="O169">
        <f>VLOOKUP(Subnets[[#This Row],[VNETID]], VNETS[#All], 14, FALSE)</f>
        <v>10</v>
      </c>
      <c r="P169">
        <f>VLOOKUP(Subnets[[#This Row],[VNETID]], VNETS[#All], 15, FALSE)</f>
        <v>131</v>
      </c>
      <c r="Q169">
        <v>15</v>
      </c>
      <c r="R169">
        <v>248</v>
      </c>
      <c r="S169" t="str">
        <f>O169&amp;"."&amp;P169&amp;"."&amp;Q169&amp;"."&amp;R169</f>
        <v>10.131.15.248</v>
      </c>
      <c r="T169" s="9" t="s">
        <v>398</v>
      </c>
      <c r="U169" s="53" t="str">
        <f>VLOOKUP(Subnets[[#This Row],[VNETID]],VNETS[#All],11, FALSE)</f>
        <v>PROD</v>
      </c>
      <c r="V169" s="53" t="str">
        <f>VLOOKUP(Subnets[[#This Row],[VNETID]],VNETS[#All],2, FALSE)</f>
        <v>sub13</v>
      </c>
    </row>
    <row r="170" spans="1:22" x14ac:dyDescent="0.45">
      <c r="A170" t="s">
        <v>1282</v>
      </c>
      <c r="B170">
        <v>110</v>
      </c>
      <c r="C170" t="s">
        <v>1214</v>
      </c>
      <c r="D170" t="str">
        <f>I170&amp;"_"&amp;Subnets[[#This Row],[SubNetNumber]]&amp;"_"&amp;Subnets[[#This Row],[Dept. (Computed)]]&amp;"_"&amp;E170&amp;"_"&amp;Subnets[[#This Row],[Location (Computed)]]</f>
        <v>Web_110_SLG_prod_w1</v>
      </c>
      <c r="E170" t="s">
        <v>267</v>
      </c>
      <c r="F170" t="str">
        <f>VLOOKUP(Subnets[[#This Row],[VNETID]],VNETS[#All], 8, FALSE)</f>
        <v>SLG</v>
      </c>
      <c r="G170" t="str">
        <f>VLOOKUP(Subnets[[#This Row],[VNETID]],VNETS[#All], 9, FALSE)</f>
        <v>Managed</v>
      </c>
      <c r="H170" t="str">
        <f>VLOOKUP(Subnets[[#This Row],[VNETID]],VNETS[#All],13, FALSE)</f>
        <v>w1</v>
      </c>
      <c r="I170" t="s">
        <v>72</v>
      </c>
      <c r="K170" t="s">
        <v>76</v>
      </c>
      <c r="L170" t="str">
        <f t="shared" si="3"/>
        <v>10.131.64.0</v>
      </c>
      <c r="M170" s="9" t="s">
        <v>77</v>
      </c>
      <c r="N170" t="str">
        <f>VLOOKUP(Subnets[[#This Row],[VNETID]],VNETS[#All],7, FALSE)</f>
        <v>mac_slg_managed_services</v>
      </c>
      <c r="O170">
        <f>VLOOKUP(Subnets[[#This Row],[VNETID]], VNETS[#All], 14, FALSE)</f>
        <v>10</v>
      </c>
      <c r="P170">
        <f>VLOOKUP(Subnets[[#This Row],[VNETID]], VNETS[#All], 15, FALSE)</f>
        <v>131</v>
      </c>
      <c r="Q170">
        <v>64</v>
      </c>
      <c r="R170">
        <v>0</v>
      </c>
      <c r="S170" t="str">
        <f>O170&amp;"."&amp;P170&amp;"."&amp;Q170&amp;"."&amp;R170</f>
        <v>10.131.64.0</v>
      </c>
      <c r="T170" s="9" t="s">
        <v>382</v>
      </c>
      <c r="U170" s="53" t="str">
        <f>VLOOKUP(Subnets[[#This Row],[VNETID]],VNETS[#All],11, FALSE)</f>
        <v>PROD</v>
      </c>
      <c r="V170" s="53" t="str">
        <f>VLOOKUP(Subnets[[#This Row],[VNETID]],VNETS[#All],2, FALSE)</f>
        <v>sub13</v>
      </c>
    </row>
    <row r="171" spans="1:22" x14ac:dyDescent="0.45">
      <c r="A171" t="s">
        <v>1283</v>
      </c>
      <c r="B171">
        <v>120</v>
      </c>
      <c r="C171" t="s">
        <v>1214</v>
      </c>
      <c r="D171" t="str">
        <f>I171&amp;"_"&amp;Subnets[[#This Row],[SubNetNumber]]&amp;"_"&amp;Subnets[[#This Row],[Dept. (Computed)]]&amp;"_"&amp;E171&amp;"_"&amp;Subnets[[#This Row],[Location (Computed)]]</f>
        <v>App_120_SLG_prod_w1</v>
      </c>
      <c r="E171" t="s">
        <v>267</v>
      </c>
      <c r="F171" t="str">
        <f>VLOOKUP(Subnets[[#This Row],[VNETID]],VNETS[#All], 8, FALSE)</f>
        <v>SLG</v>
      </c>
      <c r="G171" t="str">
        <f>VLOOKUP(Subnets[[#This Row],[VNETID]],VNETS[#All], 9, FALSE)</f>
        <v>Managed</v>
      </c>
      <c r="H171" t="str">
        <f>VLOOKUP(Subnets[[#This Row],[VNETID]],VNETS[#All],13, FALSE)</f>
        <v>w1</v>
      </c>
      <c r="I171" t="s">
        <v>73</v>
      </c>
      <c r="J171">
        <v>2</v>
      </c>
      <c r="K171" t="s">
        <v>78</v>
      </c>
      <c r="L171" t="str">
        <f t="shared" si="3"/>
        <v>10.131.66.0</v>
      </c>
      <c r="M171" s="9" t="s">
        <v>77</v>
      </c>
      <c r="N171" t="str">
        <f>VLOOKUP(Subnets[[#This Row],[VNETID]],VNETS[#All],7, FALSE)</f>
        <v>mac_slg_managed_services</v>
      </c>
      <c r="O171">
        <f>VLOOKUP(Subnets[[#This Row],[VNETID]], VNETS[#All], 14, FALSE)</f>
        <v>10</v>
      </c>
      <c r="P171">
        <f>VLOOKUP(Subnets[[#This Row],[VNETID]], VNETS[#All], 15, FALSE)</f>
        <v>131</v>
      </c>
      <c r="Q171">
        <v>66</v>
      </c>
      <c r="R171">
        <v>0</v>
      </c>
      <c r="U171" s="53" t="str">
        <f>VLOOKUP(Subnets[[#This Row],[VNETID]],VNETS[#All],11, FALSE)</f>
        <v>PROD</v>
      </c>
      <c r="V171" s="53" t="str">
        <f>VLOOKUP(Subnets[[#This Row],[VNETID]],VNETS[#All],2, FALSE)</f>
        <v>sub13</v>
      </c>
    </row>
    <row r="172" spans="1:22" x14ac:dyDescent="0.45">
      <c r="A172" t="s">
        <v>1284</v>
      </c>
      <c r="B172">
        <v>130</v>
      </c>
      <c r="C172" t="s">
        <v>1214</v>
      </c>
      <c r="D172" t="str">
        <f>I172&amp;"_"&amp;Subnets[[#This Row],[SubNetNumber]]&amp;"_"&amp;Subnets[[#This Row],[Dept. (Computed)]]&amp;"_"&amp;E172&amp;"_"&amp;Subnets[[#This Row],[Location (Computed)]]</f>
        <v>Database_130_SLG_prod_w1</v>
      </c>
      <c r="E172" t="s">
        <v>267</v>
      </c>
      <c r="F172" t="str">
        <f>VLOOKUP(Subnets[[#This Row],[VNETID]],VNETS[#All], 8, FALSE)</f>
        <v>SLG</v>
      </c>
      <c r="G172" t="str">
        <f>VLOOKUP(Subnets[[#This Row],[VNETID]],VNETS[#All], 9, FALSE)</f>
        <v>Managed</v>
      </c>
      <c r="H172" t="str">
        <f>VLOOKUP(Subnets[[#This Row],[VNETID]],VNETS[#All],13, FALSE)</f>
        <v>w1</v>
      </c>
      <c r="I172" t="s">
        <v>74</v>
      </c>
      <c r="J172">
        <v>1</v>
      </c>
      <c r="K172" t="s">
        <v>79</v>
      </c>
      <c r="L172" t="str">
        <f t="shared" si="3"/>
        <v>10.131.68.0</v>
      </c>
      <c r="M172" s="9" t="s">
        <v>77</v>
      </c>
      <c r="N172" t="str">
        <f>VLOOKUP(Subnets[[#This Row],[VNETID]],VNETS[#All],7, FALSE)</f>
        <v>mac_slg_managed_services</v>
      </c>
      <c r="O172">
        <f>VLOOKUP(Subnets[[#This Row],[VNETID]], VNETS[#All], 14, FALSE)</f>
        <v>10</v>
      </c>
      <c r="P172">
        <f>VLOOKUP(Subnets[[#This Row],[VNETID]], VNETS[#All], 15, FALSE)</f>
        <v>131</v>
      </c>
      <c r="Q172">
        <v>68</v>
      </c>
      <c r="R172">
        <v>0</v>
      </c>
      <c r="U172" s="53" t="str">
        <f>VLOOKUP(Subnets[[#This Row],[VNETID]],VNETS[#All],11, FALSE)</f>
        <v>PROD</v>
      </c>
      <c r="V172" s="53" t="str">
        <f>VLOOKUP(Subnets[[#This Row],[VNETID]],VNETS[#All],2, FALSE)</f>
        <v>sub13</v>
      </c>
    </row>
    <row r="173" spans="1:22" x14ac:dyDescent="0.45">
      <c r="A173" t="s">
        <v>1285</v>
      </c>
      <c r="B173">
        <v>150</v>
      </c>
      <c r="C173" t="s">
        <v>1214</v>
      </c>
      <c r="D173" t="str">
        <f>I173&amp;"_"&amp;Subnets[[#This Row],[SubNetNumber]]&amp;"_"&amp;Subnets[[#This Row],[Dept. (Computed)]]&amp;"_"&amp;E173&amp;"_"&amp;Subnets[[#This Row],[Location (Computed)]]</f>
        <v>DMZ_150_SLG_prod_w1</v>
      </c>
      <c r="E173" t="s">
        <v>267</v>
      </c>
      <c r="F173" t="str">
        <f>VLOOKUP(Subnets[[#This Row],[VNETID]],VNETS[#All], 8, FALSE)</f>
        <v>SLG</v>
      </c>
      <c r="G173" t="str">
        <f>VLOOKUP(Subnets[[#This Row],[VNETID]],VNETS[#All], 9, FALSE)</f>
        <v>Managed</v>
      </c>
      <c r="H173" t="str">
        <f>VLOOKUP(Subnets[[#This Row],[VNETID]],VNETS[#All],13, FALSE)</f>
        <v>w1</v>
      </c>
      <c r="I173" t="s">
        <v>75</v>
      </c>
      <c r="K173" t="s">
        <v>90</v>
      </c>
      <c r="L173" t="str">
        <f t="shared" si="3"/>
        <v>10.131.70.0</v>
      </c>
      <c r="M173" s="9" t="s">
        <v>77</v>
      </c>
      <c r="N173" t="str">
        <f>VLOOKUP(Subnets[[#This Row],[VNETID]],VNETS[#All],7, FALSE)</f>
        <v>mac_slg_managed_services</v>
      </c>
      <c r="O173">
        <f>VLOOKUP(Subnets[[#This Row],[VNETID]], VNETS[#All], 14, FALSE)</f>
        <v>10</v>
      </c>
      <c r="P173">
        <f>VLOOKUP(Subnets[[#This Row],[VNETID]], VNETS[#All], 15, FALSE)</f>
        <v>131</v>
      </c>
      <c r="Q173">
        <v>70</v>
      </c>
      <c r="R173">
        <v>0</v>
      </c>
      <c r="U173" s="53" t="str">
        <f>VLOOKUP(Subnets[[#This Row],[VNETID]],VNETS[#All],11, FALSE)</f>
        <v>PROD</v>
      </c>
      <c r="V173" s="53" t="str">
        <f>VLOOKUP(Subnets[[#This Row],[VNETID]],VNETS[#All],2, FALSE)</f>
        <v>sub13</v>
      </c>
    </row>
    <row r="174" spans="1:22" x14ac:dyDescent="0.45">
      <c r="A174" t="s">
        <v>1286</v>
      </c>
      <c r="B174">
        <v>160</v>
      </c>
      <c r="C174" t="s">
        <v>1214</v>
      </c>
      <c r="D174" t="str">
        <f>I174&amp;"_"&amp;Subnets[[#This Row],[SubNetNumber]]&amp;"_"&amp;Subnets[[#This Row],[Dept. (Computed)]]&amp;"_"&amp;E174&amp;"_"&amp;Subnets[[#This Row],[Location (Computed)]]</f>
        <v>User_Tier0_160_SLG_prod_w1</v>
      </c>
      <c r="E174" t="s">
        <v>267</v>
      </c>
      <c r="F174" t="str">
        <f>VLOOKUP(Subnets[[#This Row],[VNETID]],VNETS[#All], 8, FALSE)</f>
        <v>SLG</v>
      </c>
      <c r="G174" t="str">
        <f>VLOOKUP(Subnets[[#This Row],[VNETID]],VNETS[#All], 9, FALSE)</f>
        <v>Managed</v>
      </c>
      <c r="H174" t="str">
        <f>VLOOKUP(Subnets[[#This Row],[VNETID]],VNETS[#All],13, FALSE)</f>
        <v>w1</v>
      </c>
      <c r="I174" t="s">
        <v>982</v>
      </c>
      <c r="K174" t="s">
        <v>985</v>
      </c>
      <c r="L174" t="str">
        <f t="shared" si="3"/>
        <v>10.131.72.0</v>
      </c>
      <c r="M174" s="9" t="s">
        <v>389</v>
      </c>
      <c r="N174" t="str">
        <f>VLOOKUP(Subnets[[#This Row],[VNETID]],VNETS[#All],7, FALSE)</f>
        <v>mac_slg_managed_services</v>
      </c>
      <c r="O174">
        <f>VLOOKUP(Subnets[[#This Row],[VNETID]], VNETS[#All], 14, FALSE)</f>
        <v>10</v>
      </c>
      <c r="P174">
        <f>VLOOKUP(Subnets[[#This Row],[VNETID]], VNETS[#All], 15, FALSE)</f>
        <v>131</v>
      </c>
      <c r="Q174">
        <v>72</v>
      </c>
      <c r="R174">
        <v>0</v>
      </c>
      <c r="U174" s="53" t="str">
        <f>VLOOKUP(Subnets[[#This Row],[VNETID]],VNETS[#All],11, FALSE)</f>
        <v>PROD</v>
      </c>
      <c r="V174" s="53" t="str">
        <f>VLOOKUP(Subnets[[#This Row],[VNETID]],VNETS[#All],2, FALSE)</f>
        <v>sub13</v>
      </c>
    </row>
    <row r="175" spans="1:22" x14ac:dyDescent="0.45">
      <c r="A175" t="s">
        <v>1287</v>
      </c>
      <c r="B175">
        <v>161</v>
      </c>
      <c r="C175" t="s">
        <v>1214</v>
      </c>
      <c r="D175" t="str">
        <f>I175&amp;"_"&amp;Subnets[[#This Row],[SubNetNumber]]&amp;"_"&amp;Subnets[[#This Row],[Dept. (Computed)]]&amp;"_"&amp;E175&amp;"_"&amp;Subnets[[#This Row],[Location (Computed)]]</f>
        <v>Users_Tier1_161_SLG_prod_w1</v>
      </c>
      <c r="E175" t="s">
        <v>267</v>
      </c>
      <c r="F175" t="str">
        <f>VLOOKUP(Subnets[[#This Row],[VNETID]],VNETS[#All], 8, FALSE)</f>
        <v>SLG</v>
      </c>
      <c r="G175" t="str">
        <f>VLOOKUP(Subnets[[#This Row],[VNETID]],VNETS[#All], 9, FALSE)</f>
        <v>Managed</v>
      </c>
      <c r="H175" t="str">
        <f>VLOOKUP(Subnets[[#This Row],[VNETID]],VNETS[#All],13, FALSE)</f>
        <v>w1</v>
      </c>
      <c r="I175" t="s">
        <v>980</v>
      </c>
      <c r="K175" t="s">
        <v>983</v>
      </c>
      <c r="L175" t="str">
        <f t="shared" si="3"/>
        <v>10.131.72.128</v>
      </c>
      <c r="M175" s="9" t="s">
        <v>389</v>
      </c>
      <c r="N175" t="str">
        <f>VLOOKUP(Subnets[[#This Row],[VNETID]],VNETS[#All],7, FALSE)</f>
        <v>mac_slg_managed_services</v>
      </c>
      <c r="O175">
        <f>VLOOKUP(Subnets[[#This Row],[VNETID]], VNETS[#All], 14, FALSE)</f>
        <v>10</v>
      </c>
      <c r="P175">
        <f>VLOOKUP(Subnets[[#This Row],[VNETID]], VNETS[#All], 15, FALSE)</f>
        <v>131</v>
      </c>
      <c r="Q175">
        <v>72</v>
      </c>
      <c r="R175">
        <v>128</v>
      </c>
      <c r="U175" s="53" t="str">
        <f>VLOOKUP(Subnets[[#This Row],[VNETID]],VNETS[#All],11, FALSE)</f>
        <v>PROD</v>
      </c>
      <c r="V175" s="53" t="str">
        <f>VLOOKUP(Subnets[[#This Row],[VNETID]],VNETS[#All],2, FALSE)</f>
        <v>sub13</v>
      </c>
    </row>
    <row r="176" spans="1:22" x14ac:dyDescent="0.45">
      <c r="A176" t="s">
        <v>1288</v>
      </c>
      <c r="B176">
        <v>162</v>
      </c>
      <c r="C176" t="s">
        <v>1214</v>
      </c>
      <c r="D176" t="str">
        <f>I176&amp;"_"&amp;Subnets[[#This Row],[SubNetNumber]]&amp;"_"&amp;Subnets[[#This Row],[Dept. (Computed)]]&amp;"_"&amp;E176&amp;"_"&amp;Subnets[[#This Row],[Location (Computed)]]</f>
        <v>Users_Tier2_162_SLG_prod_w1</v>
      </c>
      <c r="E176" t="s">
        <v>267</v>
      </c>
      <c r="F176" t="str">
        <f>VLOOKUP(Subnets[[#This Row],[VNETID]],VNETS[#All], 8, FALSE)</f>
        <v>SLG</v>
      </c>
      <c r="G176" t="str">
        <f>VLOOKUP(Subnets[[#This Row],[VNETID]],VNETS[#All], 9, FALSE)</f>
        <v>Managed</v>
      </c>
      <c r="H176" t="str">
        <f>VLOOKUP(Subnets[[#This Row],[VNETID]],VNETS[#All],13, FALSE)</f>
        <v>w1</v>
      </c>
      <c r="I176" t="s">
        <v>981</v>
      </c>
      <c r="K176" t="s">
        <v>984</v>
      </c>
      <c r="L176" t="str">
        <f t="shared" si="3"/>
        <v>10.131.73.0</v>
      </c>
      <c r="M176" s="9" t="s">
        <v>389</v>
      </c>
      <c r="N176" t="str">
        <f>VLOOKUP(Subnets[[#This Row],[VNETID]],VNETS[#All],7, FALSE)</f>
        <v>mac_slg_managed_services</v>
      </c>
      <c r="O176">
        <f>VLOOKUP(Subnets[[#This Row],[VNETID]], VNETS[#All], 14, FALSE)</f>
        <v>10</v>
      </c>
      <c r="P176">
        <f>VLOOKUP(Subnets[[#This Row],[VNETID]], VNETS[#All], 15, FALSE)</f>
        <v>131</v>
      </c>
      <c r="Q176">
        <v>73</v>
      </c>
      <c r="R176">
        <v>0</v>
      </c>
      <c r="U176" s="53" t="str">
        <f>VLOOKUP(Subnets[[#This Row],[VNETID]],VNETS[#All],11, FALSE)</f>
        <v>PROD</v>
      </c>
      <c r="V176" s="53" t="str">
        <f>VLOOKUP(Subnets[[#This Row],[VNETID]],VNETS[#All],2, FALSE)</f>
        <v>sub13</v>
      </c>
    </row>
    <row r="177" spans="1:22" x14ac:dyDescent="0.45">
      <c r="A177" t="s">
        <v>1289</v>
      </c>
      <c r="B177">
        <v>163</v>
      </c>
      <c r="C177" t="s">
        <v>1214</v>
      </c>
      <c r="D177" t="str">
        <f>I177&amp;"_"&amp;Subnets[[#This Row],[SubNetNumber]]&amp;"_"&amp;Subnets[[#This Row],[Dept. (Computed)]]&amp;"_"&amp;E177&amp;"_"&amp;Subnets[[#This Row],[Location (Computed)]]</f>
        <v>Future_163_SLG_prod_w1</v>
      </c>
      <c r="E177" t="s">
        <v>267</v>
      </c>
      <c r="F177" t="str">
        <f>VLOOKUP(Subnets[[#This Row],[VNETID]],VNETS[#All], 8, FALSE)</f>
        <v>SLG</v>
      </c>
      <c r="G177" t="str">
        <f>VLOOKUP(Subnets[[#This Row],[VNETID]],VNETS[#All], 9, FALSE)</f>
        <v>Managed</v>
      </c>
      <c r="H177" t="str">
        <f>VLOOKUP(Subnets[[#This Row],[VNETID]],VNETS[#All],13, FALSE)</f>
        <v>w1</v>
      </c>
      <c r="I177" t="s">
        <v>299</v>
      </c>
      <c r="K177" t="s">
        <v>986</v>
      </c>
      <c r="L177" t="str">
        <f t="shared" si="3"/>
        <v>10.131.73.128</v>
      </c>
      <c r="M177" s="9" t="s">
        <v>389</v>
      </c>
      <c r="N177" t="str">
        <f>VLOOKUP(Subnets[[#This Row],[VNETID]],VNETS[#All],7, FALSE)</f>
        <v>mac_slg_managed_services</v>
      </c>
      <c r="O177">
        <f>VLOOKUP(Subnets[[#This Row],[VNETID]], VNETS[#All], 14, FALSE)</f>
        <v>10</v>
      </c>
      <c r="P177">
        <f>VLOOKUP(Subnets[[#This Row],[VNETID]], VNETS[#All], 15, FALSE)</f>
        <v>131</v>
      </c>
      <c r="Q177">
        <v>73</v>
      </c>
      <c r="R177">
        <v>128</v>
      </c>
      <c r="U177" s="53" t="str">
        <f>VLOOKUP(Subnets[[#This Row],[VNETID]],VNETS[#All],11, FALSE)</f>
        <v>PROD</v>
      </c>
      <c r="V177" s="53" t="str">
        <f>VLOOKUP(Subnets[[#This Row],[VNETID]],VNETS[#All],2, FALSE)</f>
        <v>sub13</v>
      </c>
    </row>
    <row r="178" spans="1:22" x14ac:dyDescent="0.45">
      <c r="A178" t="s">
        <v>1290</v>
      </c>
      <c r="B178">
        <v>164</v>
      </c>
      <c r="C178" t="s">
        <v>1214</v>
      </c>
      <c r="D178" t="str">
        <f>I178&amp;"_"&amp;Subnets[[#This Row],[SubNetNumber]]&amp;"_"&amp;Subnets[[#This Row],[Dept. (Computed)]]&amp;"_"&amp;E178&amp;"_"&amp;Subnets[[#This Row],[Location (Computed)]]</f>
        <v>Future_164_SLG_prod_w1</v>
      </c>
      <c r="E178" t="s">
        <v>267</v>
      </c>
      <c r="F178" t="str">
        <f>VLOOKUP(Subnets[[#This Row],[VNETID]],VNETS[#All], 8, FALSE)</f>
        <v>SLG</v>
      </c>
      <c r="G178" t="str">
        <f>VLOOKUP(Subnets[[#This Row],[VNETID]],VNETS[#All], 9, FALSE)</f>
        <v>Managed</v>
      </c>
      <c r="H178" t="str">
        <f>VLOOKUP(Subnets[[#This Row],[VNETID]],VNETS[#All],13, FALSE)</f>
        <v>w1</v>
      </c>
      <c r="I178" t="s">
        <v>299</v>
      </c>
      <c r="K178" t="s">
        <v>987</v>
      </c>
      <c r="L178" t="str">
        <f t="shared" si="3"/>
        <v>10.131.74.0</v>
      </c>
      <c r="M178" s="9" t="s">
        <v>389</v>
      </c>
      <c r="N178" t="str">
        <f>VLOOKUP(Subnets[[#This Row],[VNETID]],VNETS[#All],7, FALSE)</f>
        <v>mac_slg_managed_services</v>
      </c>
      <c r="O178">
        <f>VLOOKUP(Subnets[[#This Row],[VNETID]], VNETS[#All], 14, FALSE)</f>
        <v>10</v>
      </c>
      <c r="P178">
        <f>VLOOKUP(Subnets[[#This Row],[VNETID]], VNETS[#All], 15, FALSE)</f>
        <v>131</v>
      </c>
      <c r="Q178">
        <v>74</v>
      </c>
      <c r="R178">
        <v>0</v>
      </c>
      <c r="U178" s="53" t="str">
        <f>VLOOKUP(Subnets[[#This Row],[VNETID]],VNETS[#All],11, FALSE)</f>
        <v>PROD</v>
      </c>
      <c r="V178" s="53" t="str">
        <f>VLOOKUP(Subnets[[#This Row],[VNETID]],VNETS[#All],2, FALSE)</f>
        <v>sub13</v>
      </c>
    </row>
    <row r="179" spans="1:22" x14ac:dyDescent="0.45">
      <c r="A179" t="s">
        <v>1291</v>
      </c>
      <c r="B179">
        <v>170</v>
      </c>
      <c r="C179" t="s">
        <v>1214</v>
      </c>
      <c r="D179" t="str">
        <f>I179&amp;"_"&amp;Subnets[[#This Row],[SubNetNumber]]&amp;"_"&amp;Subnets[[#This Row],[Dept. (Computed)]]&amp;"_"&amp;E179&amp;"_"&amp;Subnets[[#This Row],[Location (Computed)]]</f>
        <v>Future_170_SLG_prod_w1</v>
      </c>
      <c r="E179" t="s">
        <v>267</v>
      </c>
      <c r="F179" t="str">
        <f>VLOOKUP(Subnets[[#This Row],[VNETID]],VNETS[#All], 8, FALSE)</f>
        <v>SLG</v>
      </c>
      <c r="G179" t="str">
        <f>VLOOKUP(Subnets[[#This Row],[VNETID]],VNETS[#All], 9, FALSE)</f>
        <v>Managed</v>
      </c>
      <c r="H179" t="str">
        <f>VLOOKUP(Subnets[[#This Row],[VNETID]],VNETS[#All],13, FALSE)</f>
        <v>w1</v>
      </c>
      <c r="I179" t="s">
        <v>299</v>
      </c>
      <c r="K179" t="s">
        <v>300</v>
      </c>
      <c r="L179" t="str">
        <f t="shared" si="3"/>
        <v>10.131.76.0</v>
      </c>
      <c r="M179" s="9" t="s">
        <v>488</v>
      </c>
      <c r="N179" t="str">
        <f>VLOOKUP(Subnets[[#This Row],[VNETID]],VNETS[#All],7, FALSE)</f>
        <v>mac_slg_managed_services</v>
      </c>
      <c r="O179">
        <f>VLOOKUP(Subnets[[#This Row],[VNETID]], VNETS[#All], 14, FALSE)</f>
        <v>10</v>
      </c>
      <c r="P179">
        <f>VLOOKUP(Subnets[[#This Row],[VNETID]], VNETS[#All], 15, FALSE)</f>
        <v>131</v>
      </c>
      <c r="Q179">
        <v>76</v>
      </c>
      <c r="R179">
        <v>0</v>
      </c>
      <c r="U179" s="53" t="str">
        <f>VLOOKUP(Subnets[[#This Row],[VNETID]],VNETS[#All],11, FALSE)</f>
        <v>PROD</v>
      </c>
      <c r="V179" s="53" t="str">
        <f>VLOOKUP(Subnets[[#This Row],[VNETID]],VNETS[#All],2, FALSE)</f>
        <v>sub13</v>
      </c>
    </row>
    <row r="180" spans="1:22" x14ac:dyDescent="0.45">
      <c r="A180" t="s">
        <v>1292</v>
      </c>
      <c r="B180">
        <v>170</v>
      </c>
      <c r="C180" t="s">
        <v>1214</v>
      </c>
      <c r="D180" t="str">
        <f>I180&amp;"_"&amp;Subnets[[#This Row],[SubNetNumber]]&amp;"_"&amp;Subnets[[#This Row],[Dept. (Computed)]]&amp;"_"&amp;E180&amp;"_"&amp;Subnets[[#This Row],[Location (Computed)]]</f>
        <v>Future_170_SLG_prod_w1</v>
      </c>
      <c r="E180" t="s">
        <v>267</v>
      </c>
      <c r="F180" t="str">
        <f>VLOOKUP(Subnets[[#This Row],[VNETID]],VNETS[#All], 8, FALSE)</f>
        <v>SLG</v>
      </c>
      <c r="G180" t="str">
        <f>VLOOKUP(Subnets[[#This Row],[VNETID]],VNETS[#All], 9, FALSE)</f>
        <v>Managed</v>
      </c>
      <c r="H180" t="str">
        <f>VLOOKUP(Subnets[[#This Row],[VNETID]],VNETS[#All],13, FALSE)</f>
        <v>w1</v>
      </c>
      <c r="I180" t="s">
        <v>299</v>
      </c>
      <c r="K180" t="s">
        <v>300</v>
      </c>
      <c r="L180" t="str">
        <f t="shared" si="3"/>
        <v>10.131.78.0</v>
      </c>
      <c r="M180" s="9" t="s">
        <v>77</v>
      </c>
      <c r="N180" t="str">
        <f>VLOOKUP(Subnets[[#This Row],[VNETID]],VNETS[#All],7, FALSE)</f>
        <v>mac_slg_managed_services</v>
      </c>
      <c r="O180">
        <f>VLOOKUP(Subnets[[#This Row],[VNETID]], VNETS[#All], 14, FALSE)</f>
        <v>10</v>
      </c>
      <c r="P180">
        <f>VLOOKUP(Subnets[[#This Row],[VNETID]], VNETS[#All], 15, FALSE)</f>
        <v>131</v>
      </c>
      <c r="Q180">
        <v>78</v>
      </c>
      <c r="R180">
        <v>0</v>
      </c>
      <c r="U180" s="53" t="str">
        <f>VLOOKUP(Subnets[[#This Row],[VNETID]],VNETS[#All],11, FALSE)</f>
        <v>PROD</v>
      </c>
      <c r="V180" s="53" t="str">
        <f>VLOOKUP(Subnets[[#This Row],[VNETID]],VNETS[#All],2, FALSE)</f>
        <v>sub13</v>
      </c>
    </row>
    <row r="181" spans="1:22" x14ac:dyDescent="0.45">
      <c r="A181" t="s">
        <v>1293</v>
      </c>
      <c r="B181">
        <v>199</v>
      </c>
      <c r="C181" t="s">
        <v>1214</v>
      </c>
      <c r="D181" t="str">
        <f>I181&amp;"_"&amp;Subnets[[#This Row],[SubNetNumber]]&amp;"_"&amp;Subnets[[#This Row],[Dept. (Computed)]]&amp;"_"&amp;E181&amp;"_"&amp;Subnets[[#This Row],[Location (Computed)]]</f>
        <v>Gateway_199_SLG_prod_w1</v>
      </c>
      <c r="E181" t="s">
        <v>267</v>
      </c>
      <c r="F181" t="str">
        <f>VLOOKUP(Subnets[[#This Row],[VNETID]],VNETS[#All], 8, FALSE)</f>
        <v>SLG</v>
      </c>
      <c r="G181" t="str">
        <f>VLOOKUP(Subnets[[#This Row],[VNETID]],VNETS[#All], 9, FALSE)</f>
        <v>Managed</v>
      </c>
      <c r="H181" t="str">
        <f>VLOOKUP(Subnets[[#This Row],[VNETID]],VNETS[#All],13, FALSE)</f>
        <v>w1</v>
      </c>
      <c r="I181" t="s">
        <v>500</v>
      </c>
      <c r="K181" t="s">
        <v>553</v>
      </c>
      <c r="L181" t="str">
        <f t="shared" si="3"/>
        <v>10.131.79.248</v>
      </c>
      <c r="M181" s="9" t="s">
        <v>398</v>
      </c>
      <c r="N181" t="str">
        <f>VLOOKUP(Subnets[[#This Row],[VNETID]],VNETS[#All],7, FALSE)</f>
        <v>mac_slg_managed_services</v>
      </c>
      <c r="O181">
        <f>VLOOKUP(Subnets[[#This Row],[VNETID]], VNETS[#All], 14, FALSE)</f>
        <v>10</v>
      </c>
      <c r="P181">
        <f>VLOOKUP(Subnets[[#This Row],[VNETID]], VNETS[#All], 15, FALSE)</f>
        <v>131</v>
      </c>
      <c r="Q181">
        <v>79</v>
      </c>
      <c r="R181">
        <v>248</v>
      </c>
      <c r="S181" t="str">
        <f>O181&amp;"."&amp;P181&amp;"."&amp;Q181&amp;"."&amp;R181</f>
        <v>10.131.79.248</v>
      </c>
      <c r="T181" s="9" t="s">
        <v>398</v>
      </c>
      <c r="U181" s="53" t="str">
        <f>VLOOKUP(Subnets[[#This Row],[VNETID]],VNETS[#All],11, FALSE)</f>
        <v>PROD</v>
      </c>
      <c r="V181" s="53" t="str">
        <f>VLOOKUP(Subnets[[#This Row],[VNETID]],VNETS[#All],2, FALSE)</f>
        <v>sub13</v>
      </c>
    </row>
    <row r="182" spans="1:22" x14ac:dyDescent="0.45">
      <c r="A182" t="s">
        <v>1294</v>
      </c>
      <c r="B182">
        <v>600</v>
      </c>
      <c r="C182" t="s">
        <v>1210</v>
      </c>
      <c r="D182" t="str">
        <f>I182&amp;"_"&amp;Subnets[[#This Row],[SubNetNumber]]&amp;"_"&amp;Subnets[[#This Row],[Dept. (Computed)]]&amp;"_"&amp;E182&amp;"_"&amp;Subnets[[#This Row],[Location (Computed)]]</f>
        <v>Services_600_SLG_Srvcs_w2</v>
      </c>
      <c r="E182" t="s">
        <v>373</v>
      </c>
      <c r="F182" t="str">
        <f>VLOOKUP(Subnets[[#This Row],[VNETID]],VNETS[#All], 8, FALSE)</f>
        <v>SLG</v>
      </c>
      <c r="G182" t="str">
        <f>VLOOKUP(Subnets[[#This Row],[VNETID]],VNETS[#All], 9, FALSE)</f>
        <v>Managed</v>
      </c>
      <c r="H182" t="str">
        <f>VLOOKUP(Subnets[[#This Row],[VNETID]],VNETS[#All],13, FALSE)</f>
        <v>w2</v>
      </c>
      <c r="I182" t="s">
        <v>71</v>
      </c>
      <c r="K182" t="s">
        <v>268</v>
      </c>
      <c r="L182" t="str">
        <f t="shared" si="3"/>
        <v>10.131.56.0</v>
      </c>
      <c r="M182" s="9" t="s">
        <v>77</v>
      </c>
      <c r="N182" t="str">
        <f>VLOOKUP(Subnets[[#This Row],[VNETID]],VNETS[#All],7, FALSE)</f>
        <v>mac_slg_managed_storage</v>
      </c>
      <c r="O182">
        <f>VLOOKUP(Subnets[[#This Row],[VNETID]], VNETS[#All], 14, FALSE)</f>
        <v>10</v>
      </c>
      <c r="P182">
        <f>VLOOKUP(Subnets[[#This Row],[VNETID]], VNETS[#All], 15, FALSE)</f>
        <v>131</v>
      </c>
      <c r="Q182">
        <v>56</v>
      </c>
      <c r="R182">
        <v>0</v>
      </c>
      <c r="S182" t="str">
        <f>O182&amp;"."&amp;P182&amp;"."&amp;Q182&amp;"."&amp;R182</f>
        <v>10.131.56.0</v>
      </c>
      <c r="T182" s="9" t="s">
        <v>301</v>
      </c>
      <c r="U182" s="53" t="str">
        <f>VLOOKUP(Subnets[[#This Row],[VNETID]],VNETS[#All],11, FALSE)</f>
        <v>SERVICES</v>
      </c>
      <c r="V182" s="53" t="str">
        <f>VLOOKUP(Subnets[[#This Row],[VNETID]],VNETS[#All],2, FALSE)</f>
        <v>sub14</v>
      </c>
    </row>
    <row r="183" spans="1:22" x14ac:dyDescent="0.45">
      <c r="A183" t="s">
        <v>1295</v>
      </c>
      <c r="B183">
        <v>650</v>
      </c>
      <c r="C183" t="s">
        <v>1210</v>
      </c>
      <c r="D183" t="str">
        <f>I183&amp;"_"&amp;Subnets[[#This Row],[SubNetNumber]]&amp;"_"&amp;Subnets[[#This Row],[Dept. (Computed)]]&amp;"_"&amp;E183&amp;"_"&amp;Subnets[[#This Row],[Location (Computed)]]</f>
        <v>DMZ_650_SLG_Srvcs_w2</v>
      </c>
      <c r="E183" t="s">
        <v>373</v>
      </c>
      <c r="F183" t="str">
        <f>VLOOKUP(Subnets[[#This Row],[VNETID]],VNETS[#All], 8, FALSE)</f>
        <v>SLG</v>
      </c>
      <c r="G183" t="str">
        <f>VLOOKUP(Subnets[[#This Row],[VNETID]],VNETS[#All], 9, FALSE)</f>
        <v>Managed</v>
      </c>
      <c r="H183" t="str">
        <f>VLOOKUP(Subnets[[#This Row],[VNETID]],VNETS[#All],13, FALSE)</f>
        <v>w2</v>
      </c>
      <c r="I183" t="s">
        <v>75</v>
      </c>
      <c r="K183" t="s">
        <v>269</v>
      </c>
      <c r="L183" t="str">
        <f t="shared" si="3"/>
        <v>10.131.58.0</v>
      </c>
      <c r="M183" s="9" t="s">
        <v>77</v>
      </c>
      <c r="N183" t="str">
        <f>VLOOKUP(Subnets[[#This Row],[VNETID]],VNETS[#All],7, FALSE)</f>
        <v>mac_slg_managed_storage</v>
      </c>
      <c r="O183">
        <f>VLOOKUP(Subnets[[#This Row],[VNETID]], VNETS[#All], 14, FALSE)</f>
        <v>10</v>
      </c>
      <c r="P183">
        <f>VLOOKUP(Subnets[[#This Row],[VNETID]], VNETS[#All], 15, FALSE)</f>
        <v>131</v>
      </c>
      <c r="Q183">
        <v>58</v>
      </c>
      <c r="R183">
        <v>0</v>
      </c>
      <c r="U183" s="53" t="str">
        <f>VLOOKUP(Subnets[[#This Row],[VNETID]],VNETS[#All],11, FALSE)</f>
        <v>SERVICES</v>
      </c>
      <c r="V183" s="53" t="str">
        <f>VLOOKUP(Subnets[[#This Row],[VNETID]],VNETS[#All],2, FALSE)</f>
        <v>sub14</v>
      </c>
    </row>
    <row r="184" spans="1:22" x14ac:dyDescent="0.45">
      <c r="A184" t="s">
        <v>1296</v>
      </c>
      <c r="B184" s="53">
        <v>660</v>
      </c>
      <c r="C184" t="s">
        <v>1210</v>
      </c>
      <c r="D184" s="53" t="str">
        <f>I184&amp;"_"&amp;Subnets[[#This Row],[SubNetNumber]]&amp;"_"&amp;Subnets[[#This Row],[Dept. (Computed)]]&amp;"_"&amp;E184&amp;"_"&amp;Subnets[[#This Row],[Location (Computed)]]</f>
        <v>User_Tier0_660_SLG_Srvcs_w2</v>
      </c>
      <c r="E184" t="s">
        <v>373</v>
      </c>
      <c r="F184" s="53" t="str">
        <f>VLOOKUP(Subnets[[#This Row],[VNETID]],VNETS[#All], 8, FALSE)</f>
        <v>SLG</v>
      </c>
      <c r="G184" s="29" t="str">
        <f>VLOOKUP(Subnets[[#This Row],[VNETID]],VNETS[#All], 9, FALSE)</f>
        <v>Managed</v>
      </c>
      <c r="H184" t="str">
        <f>VLOOKUP(Subnets[[#This Row],[VNETID]],VNETS[#All],13, FALSE)</f>
        <v>w2</v>
      </c>
      <c r="I184" t="s">
        <v>982</v>
      </c>
      <c r="J184">
        <v>0</v>
      </c>
      <c r="K184" t="s">
        <v>985</v>
      </c>
      <c r="L184" t="str">
        <f>O184&amp;"."&amp;P184&amp;"."&amp;Q184&amp;"."&amp;R184</f>
        <v>10.131.59.0</v>
      </c>
      <c r="M184" s="67" t="s">
        <v>389</v>
      </c>
      <c r="N184" t="str">
        <f>VLOOKUP(Subnets[[#This Row],[VNETID]],VNETS[#All],7, FALSE)</f>
        <v>mac_slg_managed_storage</v>
      </c>
      <c r="O184">
        <f>VLOOKUP(Subnets[[#This Row],[VNETID]], VNETS[#All], 14, FALSE)</f>
        <v>10</v>
      </c>
      <c r="P184">
        <f>VLOOKUP(Subnets[[#This Row],[VNETID]], VNETS[#All], 15, FALSE)</f>
        <v>131</v>
      </c>
      <c r="Q184" s="53">
        <v>59</v>
      </c>
      <c r="R184" s="53">
        <v>0</v>
      </c>
      <c r="S184" s="53"/>
      <c r="T184" s="67"/>
      <c r="U184" s="53" t="str">
        <f>VLOOKUP(Subnets[[#This Row],[VNETID]],VNETS[#All],11, FALSE)</f>
        <v>SERVICES</v>
      </c>
      <c r="V184" s="53" t="str">
        <f>VLOOKUP(Subnets[[#This Row],[VNETID]],VNETS[#All],2, FALSE)</f>
        <v>sub14</v>
      </c>
    </row>
    <row r="185" spans="1:22" x14ac:dyDescent="0.45">
      <c r="A185" t="s">
        <v>1297</v>
      </c>
      <c r="B185" s="53">
        <v>661</v>
      </c>
      <c r="C185" t="s">
        <v>1210</v>
      </c>
      <c r="D185" s="53" t="str">
        <f>I185&amp;"_"&amp;Subnets[[#This Row],[SubNetNumber]]&amp;"_"&amp;Subnets[[#This Row],[Dept. (Computed)]]&amp;"_"&amp;E185&amp;"_"&amp;Subnets[[#This Row],[Location (Computed)]]</f>
        <v>Users_Tier1_661_SLG_Srvcs_w2</v>
      </c>
      <c r="E185" t="s">
        <v>373</v>
      </c>
      <c r="F185" s="53" t="str">
        <f>VLOOKUP(Subnets[[#This Row],[VNETID]],VNETS[#All], 8, FALSE)</f>
        <v>SLG</v>
      </c>
      <c r="G185" s="29" t="str">
        <f>VLOOKUP(Subnets[[#This Row],[VNETID]],VNETS[#All], 9, FALSE)</f>
        <v>Managed</v>
      </c>
      <c r="H185" t="str">
        <f>VLOOKUP(Subnets[[#This Row],[VNETID]],VNETS[#All],13, FALSE)</f>
        <v>w2</v>
      </c>
      <c r="I185" t="s">
        <v>980</v>
      </c>
      <c r="J185">
        <v>1</v>
      </c>
      <c r="K185" t="s">
        <v>983</v>
      </c>
      <c r="L185" t="str">
        <f>O185&amp;"."&amp;P185&amp;"."&amp;Q185&amp;"."&amp;R185</f>
        <v>10.131.59.128</v>
      </c>
      <c r="M185" s="67" t="s">
        <v>389</v>
      </c>
      <c r="N185" t="str">
        <f>VLOOKUP(Subnets[[#This Row],[VNETID]],VNETS[#All],7, FALSE)</f>
        <v>mac_slg_managed_storage</v>
      </c>
      <c r="O185">
        <f>VLOOKUP(Subnets[[#This Row],[VNETID]], VNETS[#All], 14, FALSE)</f>
        <v>10</v>
      </c>
      <c r="P185">
        <f>VLOOKUP(Subnets[[#This Row],[VNETID]], VNETS[#All], 15, FALSE)</f>
        <v>131</v>
      </c>
      <c r="Q185" s="53">
        <v>59</v>
      </c>
      <c r="R185" s="53">
        <v>128</v>
      </c>
      <c r="S185" s="53"/>
      <c r="T185" s="67"/>
      <c r="U185" s="53" t="str">
        <f>VLOOKUP(Subnets[[#This Row],[VNETID]],VNETS[#All],11, FALSE)</f>
        <v>SERVICES</v>
      </c>
      <c r="V185" s="53" t="str">
        <f>VLOOKUP(Subnets[[#This Row],[VNETID]],VNETS[#All],2, FALSE)</f>
        <v>sub14</v>
      </c>
    </row>
    <row r="186" spans="1:22" x14ac:dyDescent="0.45">
      <c r="A186" t="s">
        <v>1298</v>
      </c>
      <c r="B186">
        <v>670</v>
      </c>
      <c r="C186" t="s">
        <v>1210</v>
      </c>
      <c r="D186" t="str">
        <f>I186&amp;"_"&amp;Subnets[[#This Row],[SubNetNumber]]&amp;"_"&amp;Subnets[[#This Row],[Dept. (Computed)]]&amp;"_"&amp;E186&amp;"_"&amp;Subnets[[#This Row],[Location (Computed)]]</f>
        <v>Future_670_SLG_Srvcs_w2</v>
      </c>
      <c r="E186" t="s">
        <v>373</v>
      </c>
      <c r="F186" t="str">
        <f>VLOOKUP(Subnets[[#This Row],[VNETID]],VNETS[#All], 8, FALSE)</f>
        <v>SLG</v>
      </c>
      <c r="G186" t="str">
        <f>VLOOKUP(Subnets[[#This Row],[VNETID]],VNETS[#All], 9, FALSE)</f>
        <v>Managed</v>
      </c>
      <c r="H186" t="str">
        <f>VLOOKUP(Subnets[[#This Row],[VNETID]],VNETS[#All],13, FALSE)</f>
        <v>w2</v>
      </c>
      <c r="I186" t="s">
        <v>299</v>
      </c>
      <c r="K186" t="s">
        <v>300</v>
      </c>
      <c r="L186" t="str">
        <f t="shared" ref="L186:L201" si="4">O186&amp;"."&amp;P186&amp;"."&amp;Q186&amp;"."&amp;R186</f>
        <v>10.131.60.0</v>
      </c>
      <c r="M186" s="9" t="s">
        <v>372</v>
      </c>
      <c r="N186" t="str">
        <f>VLOOKUP(Subnets[[#This Row],[VNETID]],VNETS[#All],7, FALSE)</f>
        <v>mac_slg_managed_storage</v>
      </c>
      <c r="O186">
        <f>VLOOKUP(Subnets[[#This Row],[VNETID]], VNETS[#All], 14, FALSE)</f>
        <v>10</v>
      </c>
      <c r="P186">
        <f>VLOOKUP(Subnets[[#This Row],[VNETID]], VNETS[#All], 15, FALSE)</f>
        <v>131</v>
      </c>
      <c r="Q186">
        <v>60</v>
      </c>
      <c r="R186">
        <v>0</v>
      </c>
      <c r="U186" s="53" t="str">
        <f>VLOOKUP(Subnets[[#This Row],[VNETID]],VNETS[#All],11, FALSE)</f>
        <v>SERVICES</v>
      </c>
      <c r="V186" s="53" t="str">
        <f>VLOOKUP(Subnets[[#This Row],[VNETID]],VNETS[#All],2, FALSE)</f>
        <v>sub14</v>
      </c>
    </row>
    <row r="187" spans="1:22" x14ac:dyDescent="0.45">
      <c r="A187" t="s">
        <v>1299</v>
      </c>
      <c r="B187">
        <v>699</v>
      </c>
      <c r="C187" t="s">
        <v>1210</v>
      </c>
      <c r="D187" t="str">
        <f>I187&amp;"_"&amp;Subnets[[#This Row],[SubNetNumber]]&amp;"_"&amp;Subnets[[#This Row],[Dept. (Computed)]]&amp;"_"&amp;E187&amp;"_"&amp;Subnets[[#This Row],[Location (Computed)]]</f>
        <v>Gateway_699_SLG_Srvcs_w2</v>
      </c>
      <c r="E187" t="s">
        <v>373</v>
      </c>
      <c r="F187" t="str">
        <f>VLOOKUP(Subnets[[#This Row],[VNETID]],VNETS[#All], 8, FALSE)</f>
        <v>SLG</v>
      </c>
      <c r="G187" t="str">
        <f>VLOOKUP(Subnets[[#This Row],[VNETID]],VNETS[#All], 9, FALSE)</f>
        <v>Managed</v>
      </c>
      <c r="H187" t="str">
        <f>VLOOKUP(Subnets[[#This Row],[VNETID]],VNETS[#All],13, FALSE)</f>
        <v>w2</v>
      </c>
      <c r="I187" t="s">
        <v>500</v>
      </c>
      <c r="K187" t="s">
        <v>553</v>
      </c>
      <c r="L187" t="str">
        <f t="shared" si="4"/>
        <v>10.131.63.248</v>
      </c>
      <c r="M187" s="9" t="s">
        <v>398</v>
      </c>
      <c r="N187" t="str">
        <f>VLOOKUP(Subnets[[#This Row],[VNETID]],VNETS[#All],7, FALSE)</f>
        <v>mac_slg_managed_storage</v>
      </c>
      <c r="O187">
        <f>VLOOKUP(Subnets[[#This Row],[VNETID]], VNETS[#All], 14, FALSE)</f>
        <v>10</v>
      </c>
      <c r="P187">
        <f>VLOOKUP(Subnets[[#This Row],[VNETID]], VNETS[#All], 15, FALSE)</f>
        <v>131</v>
      </c>
      <c r="Q187">
        <v>63</v>
      </c>
      <c r="R187">
        <v>248</v>
      </c>
      <c r="S187" t="str">
        <f>O187&amp;"."&amp;P187&amp;"."&amp;Q187&amp;"."&amp;R187</f>
        <v>10.131.63.248</v>
      </c>
      <c r="T187" s="9" t="s">
        <v>398</v>
      </c>
      <c r="U187" s="53" t="str">
        <f>VLOOKUP(Subnets[[#This Row],[VNETID]],VNETS[#All],11, FALSE)</f>
        <v>SERVICES</v>
      </c>
      <c r="V187" s="53" t="str">
        <f>VLOOKUP(Subnets[[#This Row],[VNETID]],VNETS[#All],2, FALSE)</f>
        <v>sub14</v>
      </c>
    </row>
    <row r="188" spans="1:22" x14ac:dyDescent="0.45">
      <c r="A188" t="s">
        <v>1300</v>
      </c>
      <c r="B188">
        <v>600</v>
      </c>
      <c r="C188" t="s">
        <v>1215</v>
      </c>
      <c r="D188" t="str">
        <f>I188&amp;"_"&amp;Subnets[[#This Row],[SubNetNumber]]&amp;"_"&amp;Subnets[[#This Row],[Dept. (Computed)]]&amp;"_"&amp;E188&amp;"_"&amp;Subnets[[#This Row],[Location (Computed)]]</f>
        <v>Services_600_SLG_Srvcs_w1</v>
      </c>
      <c r="E188" t="s">
        <v>373</v>
      </c>
      <c r="F188" t="str">
        <f>VLOOKUP(Subnets[[#This Row],[VNETID]],VNETS[#All], 8, FALSE)</f>
        <v>SLG</v>
      </c>
      <c r="G188" t="str">
        <f>VLOOKUP(Subnets[[#This Row],[VNETID]],VNETS[#All], 9, FALSE)</f>
        <v>Managed</v>
      </c>
      <c r="H188" t="str">
        <f>VLOOKUP(Subnets[[#This Row],[VNETID]],VNETS[#All],13, FALSE)</f>
        <v>w1</v>
      </c>
      <c r="I188" t="s">
        <v>71</v>
      </c>
      <c r="K188" t="s">
        <v>268</v>
      </c>
      <c r="L188" t="str">
        <f t="shared" si="4"/>
        <v>10.131.120.0</v>
      </c>
      <c r="M188" s="9" t="s">
        <v>77</v>
      </c>
      <c r="N188" t="str">
        <f>VLOOKUP(Subnets[[#This Row],[VNETID]],VNETS[#All],7, FALSE)</f>
        <v>mac_slg_managed_storage</v>
      </c>
      <c r="O188">
        <f>VLOOKUP(Subnets[[#This Row],[VNETID]], VNETS[#All], 14, FALSE)</f>
        <v>10</v>
      </c>
      <c r="P188">
        <f>VLOOKUP(Subnets[[#This Row],[VNETID]], VNETS[#All], 15, FALSE)</f>
        <v>131</v>
      </c>
      <c r="Q188">
        <v>120</v>
      </c>
      <c r="R188">
        <v>0</v>
      </c>
      <c r="S188" t="str">
        <f>O188&amp;"."&amp;P188&amp;"."&amp;Q188&amp;"."&amp;R188</f>
        <v>10.131.120.0</v>
      </c>
      <c r="T188" s="9" t="s">
        <v>301</v>
      </c>
      <c r="U188" s="53" t="str">
        <f>VLOOKUP(Subnets[[#This Row],[VNETID]],VNETS[#All],11, FALSE)</f>
        <v>SERVICES</v>
      </c>
      <c r="V188" s="53" t="str">
        <f>VLOOKUP(Subnets[[#This Row],[VNETID]],VNETS[#All],2, FALSE)</f>
        <v>sub14</v>
      </c>
    </row>
    <row r="189" spans="1:22" x14ac:dyDescent="0.45">
      <c r="A189" t="s">
        <v>1301</v>
      </c>
      <c r="B189">
        <v>650</v>
      </c>
      <c r="C189" t="s">
        <v>1215</v>
      </c>
      <c r="D189" t="str">
        <f>I189&amp;"_"&amp;Subnets[[#This Row],[SubNetNumber]]&amp;"_"&amp;Subnets[[#This Row],[Dept. (Computed)]]&amp;"_"&amp;E189&amp;"_"&amp;Subnets[[#This Row],[Location (Computed)]]</f>
        <v>DMZ_650_SLG_Srvcs_w1</v>
      </c>
      <c r="E189" t="s">
        <v>373</v>
      </c>
      <c r="F189" t="str">
        <f>VLOOKUP(Subnets[[#This Row],[VNETID]],VNETS[#All], 8, FALSE)</f>
        <v>SLG</v>
      </c>
      <c r="G189" t="str">
        <f>VLOOKUP(Subnets[[#This Row],[VNETID]],VNETS[#All], 9, FALSE)</f>
        <v>Managed</v>
      </c>
      <c r="H189" t="str">
        <f>VLOOKUP(Subnets[[#This Row],[VNETID]],VNETS[#All],13, FALSE)</f>
        <v>w1</v>
      </c>
      <c r="I189" t="s">
        <v>75</v>
      </c>
      <c r="K189" t="s">
        <v>269</v>
      </c>
      <c r="L189" t="str">
        <f t="shared" si="4"/>
        <v>10.131.122.0</v>
      </c>
      <c r="M189" s="9" t="s">
        <v>77</v>
      </c>
      <c r="N189" t="str">
        <f>VLOOKUP(Subnets[[#This Row],[VNETID]],VNETS[#All],7, FALSE)</f>
        <v>mac_slg_managed_storage</v>
      </c>
      <c r="O189">
        <f>VLOOKUP(Subnets[[#This Row],[VNETID]], VNETS[#All], 14, FALSE)</f>
        <v>10</v>
      </c>
      <c r="P189">
        <f>VLOOKUP(Subnets[[#This Row],[VNETID]], VNETS[#All], 15, FALSE)</f>
        <v>131</v>
      </c>
      <c r="Q189">
        <v>122</v>
      </c>
      <c r="R189">
        <v>0</v>
      </c>
      <c r="U189" s="53" t="str">
        <f>VLOOKUP(Subnets[[#This Row],[VNETID]],VNETS[#All],11, FALSE)</f>
        <v>SERVICES</v>
      </c>
      <c r="V189" s="53" t="str">
        <f>VLOOKUP(Subnets[[#This Row],[VNETID]],VNETS[#All],2, FALSE)</f>
        <v>sub14</v>
      </c>
    </row>
    <row r="190" spans="1:22" x14ac:dyDescent="0.45">
      <c r="A190" t="s">
        <v>1302</v>
      </c>
      <c r="B190" s="53">
        <v>660</v>
      </c>
      <c r="C190" t="s">
        <v>1215</v>
      </c>
      <c r="D190" s="53" t="str">
        <f>I190&amp;"_"&amp;Subnets[[#This Row],[SubNetNumber]]&amp;"_"&amp;Subnets[[#This Row],[Dept. (Computed)]]&amp;"_"&amp;E190&amp;"_"&amp;Subnets[[#This Row],[Location (Computed)]]</f>
        <v>User_Tier0_660_SLG_Srvcs_w1</v>
      </c>
      <c r="E190" t="s">
        <v>373</v>
      </c>
      <c r="F190" s="53" t="str">
        <f>VLOOKUP(Subnets[[#This Row],[VNETID]],VNETS[#All], 8, FALSE)</f>
        <v>SLG</v>
      </c>
      <c r="G190" s="29" t="str">
        <f>VLOOKUP(Subnets[[#This Row],[VNETID]],VNETS[#All], 9, FALSE)</f>
        <v>Managed</v>
      </c>
      <c r="H190" t="str">
        <f>VLOOKUP(Subnets[[#This Row],[VNETID]],VNETS[#All],13, FALSE)</f>
        <v>w1</v>
      </c>
      <c r="I190" t="s">
        <v>982</v>
      </c>
      <c r="J190">
        <v>0</v>
      </c>
      <c r="K190" t="s">
        <v>985</v>
      </c>
      <c r="L190" t="str">
        <f t="shared" si="4"/>
        <v>10.131.123.0</v>
      </c>
      <c r="M190" s="67" t="s">
        <v>389</v>
      </c>
      <c r="N190" t="str">
        <f>VLOOKUP(Subnets[[#This Row],[VNETID]],VNETS[#All],7, FALSE)</f>
        <v>mac_slg_managed_storage</v>
      </c>
      <c r="O190">
        <f>VLOOKUP(Subnets[[#This Row],[VNETID]], VNETS[#All], 14, FALSE)</f>
        <v>10</v>
      </c>
      <c r="P190">
        <f>VLOOKUP(Subnets[[#This Row],[VNETID]], VNETS[#All], 15, FALSE)</f>
        <v>131</v>
      </c>
      <c r="Q190" s="53">
        <v>123</v>
      </c>
      <c r="R190" s="53">
        <v>0</v>
      </c>
      <c r="S190" s="53"/>
      <c r="T190" s="67"/>
      <c r="U190" s="53" t="str">
        <f>VLOOKUP(Subnets[[#This Row],[VNETID]],VNETS[#All],11, FALSE)</f>
        <v>SERVICES</v>
      </c>
      <c r="V190" s="53" t="str">
        <f>VLOOKUP(Subnets[[#This Row],[VNETID]],VNETS[#All],2, FALSE)</f>
        <v>sub14</v>
      </c>
    </row>
    <row r="191" spans="1:22" x14ac:dyDescent="0.45">
      <c r="A191" t="s">
        <v>1303</v>
      </c>
      <c r="B191" s="53">
        <v>661</v>
      </c>
      <c r="C191" t="s">
        <v>1215</v>
      </c>
      <c r="D191" s="53" t="str">
        <f>I191&amp;"_"&amp;Subnets[[#This Row],[SubNetNumber]]&amp;"_"&amp;Subnets[[#This Row],[Dept. (Computed)]]&amp;"_"&amp;E191&amp;"_"&amp;Subnets[[#This Row],[Location (Computed)]]</f>
        <v>Users_Tier1_661_SLG_Srvcs_w1</v>
      </c>
      <c r="E191" t="s">
        <v>373</v>
      </c>
      <c r="F191" s="53" t="str">
        <f>VLOOKUP(Subnets[[#This Row],[VNETID]],VNETS[#All], 8, FALSE)</f>
        <v>SLG</v>
      </c>
      <c r="G191" s="29" t="str">
        <f>VLOOKUP(Subnets[[#This Row],[VNETID]],VNETS[#All], 9, FALSE)</f>
        <v>Managed</v>
      </c>
      <c r="H191" t="str">
        <f>VLOOKUP(Subnets[[#This Row],[VNETID]],VNETS[#All],13, FALSE)</f>
        <v>w1</v>
      </c>
      <c r="I191" t="s">
        <v>980</v>
      </c>
      <c r="J191">
        <v>1</v>
      </c>
      <c r="K191" t="s">
        <v>983</v>
      </c>
      <c r="L191" t="str">
        <f t="shared" si="4"/>
        <v>10.131.123.128</v>
      </c>
      <c r="M191" s="67" t="s">
        <v>389</v>
      </c>
      <c r="N191" t="str">
        <f>VLOOKUP(Subnets[[#This Row],[VNETID]],VNETS[#All],7, FALSE)</f>
        <v>mac_slg_managed_storage</v>
      </c>
      <c r="O191">
        <f>VLOOKUP(Subnets[[#This Row],[VNETID]], VNETS[#All], 14, FALSE)</f>
        <v>10</v>
      </c>
      <c r="P191">
        <f>VLOOKUP(Subnets[[#This Row],[VNETID]], VNETS[#All], 15, FALSE)</f>
        <v>131</v>
      </c>
      <c r="Q191" s="53">
        <v>123</v>
      </c>
      <c r="R191" s="53">
        <v>128</v>
      </c>
      <c r="S191" s="53"/>
      <c r="T191" s="67"/>
      <c r="U191" s="53" t="str">
        <f>VLOOKUP(Subnets[[#This Row],[VNETID]],VNETS[#All],11, FALSE)</f>
        <v>SERVICES</v>
      </c>
      <c r="V191" s="53" t="str">
        <f>VLOOKUP(Subnets[[#This Row],[VNETID]],VNETS[#All],2, FALSE)</f>
        <v>sub14</v>
      </c>
    </row>
    <row r="192" spans="1:22" x14ac:dyDescent="0.45">
      <c r="A192" t="s">
        <v>1304</v>
      </c>
      <c r="B192">
        <v>670</v>
      </c>
      <c r="C192" t="s">
        <v>1215</v>
      </c>
      <c r="D192" t="str">
        <f>I192&amp;"_"&amp;Subnets[[#This Row],[SubNetNumber]]&amp;"_"&amp;Subnets[[#This Row],[Dept. (Computed)]]&amp;"_"&amp;E192&amp;"_"&amp;Subnets[[#This Row],[Location (Computed)]]</f>
        <v>Future_670_SLG_Srvcs_w1</v>
      </c>
      <c r="E192" t="s">
        <v>373</v>
      </c>
      <c r="F192" t="str">
        <f>VLOOKUP(Subnets[[#This Row],[VNETID]],VNETS[#All], 8, FALSE)</f>
        <v>SLG</v>
      </c>
      <c r="G192" t="str">
        <f>VLOOKUP(Subnets[[#This Row],[VNETID]],VNETS[#All], 9, FALSE)</f>
        <v>Managed</v>
      </c>
      <c r="H192" t="str">
        <f>VLOOKUP(Subnets[[#This Row],[VNETID]],VNETS[#All],13, FALSE)</f>
        <v>w1</v>
      </c>
      <c r="I192" t="s">
        <v>299</v>
      </c>
      <c r="K192" t="s">
        <v>300</v>
      </c>
      <c r="L192" t="str">
        <f t="shared" si="4"/>
        <v>10.131.124.0</v>
      </c>
      <c r="M192" s="9" t="s">
        <v>372</v>
      </c>
      <c r="N192" t="str">
        <f>VLOOKUP(Subnets[[#This Row],[VNETID]],VNETS[#All],7, FALSE)</f>
        <v>mac_slg_managed_storage</v>
      </c>
      <c r="O192">
        <f>VLOOKUP(Subnets[[#This Row],[VNETID]], VNETS[#All], 14, FALSE)</f>
        <v>10</v>
      </c>
      <c r="P192">
        <f>VLOOKUP(Subnets[[#This Row],[VNETID]], VNETS[#All], 15, FALSE)</f>
        <v>131</v>
      </c>
      <c r="Q192">
        <v>124</v>
      </c>
      <c r="R192">
        <v>0</v>
      </c>
      <c r="U192" s="53" t="str">
        <f>VLOOKUP(Subnets[[#This Row],[VNETID]],VNETS[#All],11, FALSE)</f>
        <v>SERVICES</v>
      </c>
      <c r="V192" s="53" t="str">
        <f>VLOOKUP(Subnets[[#This Row],[VNETID]],VNETS[#All],2, FALSE)</f>
        <v>sub14</v>
      </c>
    </row>
    <row r="193" spans="1:22" x14ac:dyDescent="0.45">
      <c r="A193" t="s">
        <v>1305</v>
      </c>
      <c r="B193">
        <v>699</v>
      </c>
      <c r="C193" t="s">
        <v>1215</v>
      </c>
      <c r="D193" t="str">
        <f>I193&amp;"_"&amp;Subnets[[#This Row],[SubNetNumber]]&amp;"_"&amp;Subnets[[#This Row],[Dept. (Computed)]]&amp;"_"&amp;E193&amp;"_"&amp;Subnets[[#This Row],[Location (Computed)]]</f>
        <v>Gateway_699_SLG_Srvcs_w1</v>
      </c>
      <c r="E193" t="s">
        <v>373</v>
      </c>
      <c r="F193" t="str">
        <f>VLOOKUP(Subnets[[#This Row],[VNETID]],VNETS[#All], 8, FALSE)</f>
        <v>SLG</v>
      </c>
      <c r="G193" t="str">
        <f>VLOOKUP(Subnets[[#This Row],[VNETID]],VNETS[#All], 9, FALSE)</f>
        <v>Managed</v>
      </c>
      <c r="H193" t="str">
        <f>VLOOKUP(Subnets[[#This Row],[VNETID]],VNETS[#All],13, FALSE)</f>
        <v>w1</v>
      </c>
      <c r="I193" t="s">
        <v>500</v>
      </c>
      <c r="K193" t="s">
        <v>553</v>
      </c>
      <c r="L193" t="str">
        <f t="shared" si="4"/>
        <v>10.131.127.248</v>
      </c>
      <c r="M193" s="9" t="s">
        <v>398</v>
      </c>
      <c r="N193" t="str">
        <f>VLOOKUP(Subnets[[#This Row],[VNETID]],VNETS[#All],7, FALSE)</f>
        <v>mac_slg_managed_storage</v>
      </c>
      <c r="O193">
        <f>VLOOKUP(Subnets[[#This Row],[VNETID]], VNETS[#All], 14, FALSE)</f>
        <v>10</v>
      </c>
      <c r="P193">
        <f>VLOOKUP(Subnets[[#This Row],[VNETID]], VNETS[#All], 15, FALSE)</f>
        <v>131</v>
      </c>
      <c r="Q193">
        <v>127</v>
      </c>
      <c r="R193">
        <v>248</v>
      </c>
      <c r="S193" t="str">
        <f>O193&amp;"."&amp;P193&amp;"."&amp;Q193&amp;"."&amp;R193</f>
        <v>10.131.127.248</v>
      </c>
      <c r="T193" s="9" t="s">
        <v>398</v>
      </c>
      <c r="U193" s="53" t="str">
        <f>VLOOKUP(Subnets[[#This Row],[VNETID]],VNETS[#All],11, FALSE)</f>
        <v>SERVICES</v>
      </c>
      <c r="V193" s="53" t="str">
        <f>VLOOKUP(Subnets[[#This Row],[VNETID]],VNETS[#All],2, FALSE)</f>
        <v>sub14</v>
      </c>
    </row>
    <row r="194" spans="1:22" x14ac:dyDescent="0.45">
      <c r="A194" t="s">
        <v>1306</v>
      </c>
      <c r="B194">
        <v>500</v>
      </c>
      <c r="C194" t="s">
        <v>1211</v>
      </c>
      <c r="D194" t="str">
        <f>I194&amp;"_"&amp;Subnets[[#This Row],[SubNetNumber]]&amp;"_"&amp;Subnets[[#This Row],[Dept. (Computed)]]&amp;"_"&amp;E194&amp;"_"&amp;Subnets[[#This Row],[Location (Computed)]]</f>
        <v>Storage_500_SLG_Storage_w2</v>
      </c>
      <c r="E194" t="s">
        <v>210</v>
      </c>
      <c r="F194" t="str">
        <f>VLOOKUP(Subnets[[#This Row],[VNETID]],VNETS[#All], 8, FALSE)</f>
        <v>SLG</v>
      </c>
      <c r="G194" t="str">
        <f>VLOOKUP(Subnets[[#This Row],[VNETID]],VNETS[#All], 9, FALSE)</f>
        <v>Sandbox</v>
      </c>
      <c r="H194" t="str">
        <f>VLOOKUP(Subnets[[#This Row],[VNETID]],VNETS[#All],13, FALSE)</f>
        <v>w2</v>
      </c>
      <c r="I194" t="s">
        <v>210</v>
      </c>
      <c r="K194" t="s">
        <v>489</v>
      </c>
      <c r="L194" t="str">
        <f t="shared" si="4"/>
        <v>10.131.48.0</v>
      </c>
      <c r="M194" s="9" t="s">
        <v>77</v>
      </c>
      <c r="N194" t="str">
        <f>VLOOKUP(Subnets[[#This Row],[VNETID]],VNETS[#All],7, FALSE)</f>
        <v>mac_slg_sandbox_devteama</v>
      </c>
      <c r="O194">
        <f>VLOOKUP(Subnets[[#This Row],[VNETID]], VNETS[#All], 14, FALSE)</f>
        <v>10</v>
      </c>
      <c r="P194">
        <f>VLOOKUP(Subnets[[#This Row],[VNETID]], VNETS[#All], 15, FALSE)</f>
        <v>131</v>
      </c>
      <c r="Q194">
        <v>48</v>
      </c>
      <c r="R194">
        <v>0</v>
      </c>
      <c r="S194" t="str">
        <f>O194&amp;"."&amp;P194&amp;"."&amp;Q194&amp;"."&amp;R194</f>
        <v>10.131.48.0</v>
      </c>
      <c r="T194" s="9" t="s">
        <v>301</v>
      </c>
      <c r="U194" s="53" t="str">
        <f>VLOOKUP(Subnets[[#This Row],[VNETID]],VNETS[#All],11, FALSE)</f>
        <v>STORAGE</v>
      </c>
      <c r="V194" s="53" t="str">
        <f>VLOOKUP(Subnets[[#This Row],[VNETID]],VNETS[#All],2, FALSE)</f>
        <v>sub15</v>
      </c>
    </row>
    <row r="195" spans="1:22" x14ac:dyDescent="0.45">
      <c r="A195" t="s">
        <v>1307</v>
      </c>
      <c r="B195" s="53">
        <v>560</v>
      </c>
      <c r="C195" t="s">
        <v>1211</v>
      </c>
      <c r="D195" s="53" t="str">
        <f>I195&amp;"_"&amp;Subnets[[#This Row],[SubNetNumber]]&amp;"_"&amp;Subnets[[#This Row],[Dept. (Computed)]]&amp;"_"&amp;E195&amp;"_"&amp;Subnets[[#This Row],[Location (Computed)]]</f>
        <v>User_Tier0_560_SLG_Storage_w2</v>
      </c>
      <c r="E195" t="s">
        <v>210</v>
      </c>
      <c r="F195" s="53" t="str">
        <f>VLOOKUP(Subnets[[#This Row],[VNETID]],VNETS[#All], 8, FALSE)</f>
        <v>SLG</v>
      </c>
      <c r="G195" s="29" t="str">
        <f>VLOOKUP(Subnets[[#This Row],[VNETID]],VNETS[#All], 9, FALSE)</f>
        <v>Sandbox</v>
      </c>
      <c r="H195" t="str">
        <f>VLOOKUP(Subnets[[#This Row],[VNETID]],VNETS[#All],13, FALSE)</f>
        <v>w2</v>
      </c>
      <c r="I195" t="s">
        <v>982</v>
      </c>
      <c r="K195" t="s">
        <v>985</v>
      </c>
      <c r="L195" t="str">
        <f t="shared" si="4"/>
        <v>10.131.49.0</v>
      </c>
      <c r="M195" s="67" t="s">
        <v>389</v>
      </c>
      <c r="N195" t="str">
        <f>VLOOKUP(Subnets[[#This Row],[VNETID]],VNETS[#All],7, FALSE)</f>
        <v>mac_slg_sandbox_devteama</v>
      </c>
      <c r="O195">
        <f>VLOOKUP(Subnets[[#This Row],[VNETID]], VNETS[#All], 14, FALSE)</f>
        <v>10</v>
      </c>
      <c r="P195">
        <f>VLOOKUP(Subnets[[#This Row],[VNETID]], VNETS[#All], 15, FALSE)</f>
        <v>131</v>
      </c>
      <c r="Q195" s="53">
        <v>49</v>
      </c>
      <c r="R195" s="53">
        <v>0</v>
      </c>
      <c r="S195" s="53"/>
      <c r="T195" s="67"/>
      <c r="U195" s="53" t="str">
        <f>VLOOKUP(Subnets[[#This Row],[VNETID]],VNETS[#All],11, FALSE)</f>
        <v>STORAGE</v>
      </c>
      <c r="V195" s="53" t="str">
        <f>VLOOKUP(Subnets[[#This Row],[VNETID]],VNETS[#All],2, FALSE)</f>
        <v>sub15</v>
      </c>
    </row>
    <row r="196" spans="1:22" x14ac:dyDescent="0.45">
      <c r="A196" t="s">
        <v>1308</v>
      </c>
      <c r="B196" s="53">
        <v>561</v>
      </c>
      <c r="C196" t="s">
        <v>1211</v>
      </c>
      <c r="D196" s="53" t="str">
        <f>I196&amp;"_"&amp;Subnets[[#This Row],[SubNetNumber]]&amp;"_"&amp;Subnets[[#This Row],[Dept. (Computed)]]&amp;"_"&amp;E196&amp;"_"&amp;Subnets[[#This Row],[Location (Computed)]]</f>
        <v>Users_Tier1_561_SLG_Storage_w2</v>
      </c>
      <c r="E196" t="s">
        <v>210</v>
      </c>
      <c r="F196" s="53" t="str">
        <f>VLOOKUP(Subnets[[#This Row],[VNETID]],VNETS[#All], 8, FALSE)</f>
        <v>SLG</v>
      </c>
      <c r="G196" s="29" t="str">
        <f>VLOOKUP(Subnets[[#This Row],[VNETID]],VNETS[#All], 9, FALSE)</f>
        <v>Sandbox</v>
      </c>
      <c r="H196" t="str">
        <f>VLOOKUP(Subnets[[#This Row],[VNETID]],VNETS[#All],13, FALSE)</f>
        <v>w2</v>
      </c>
      <c r="I196" t="s">
        <v>980</v>
      </c>
      <c r="K196" t="s">
        <v>983</v>
      </c>
      <c r="L196" t="str">
        <f t="shared" si="4"/>
        <v>10.131.49.128</v>
      </c>
      <c r="M196" s="67" t="s">
        <v>389</v>
      </c>
      <c r="N196" t="str">
        <f>VLOOKUP(Subnets[[#This Row],[VNETID]],VNETS[#All],7, FALSE)</f>
        <v>mac_slg_sandbox_devteama</v>
      </c>
      <c r="O196">
        <f>VLOOKUP(Subnets[[#This Row],[VNETID]], VNETS[#All], 14, FALSE)</f>
        <v>10</v>
      </c>
      <c r="P196">
        <f>VLOOKUP(Subnets[[#This Row],[VNETID]], VNETS[#All], 15, FALSE)</f>
        <v>131</v>
      </c>
      <c r="Q196" s="53">
        <v>49</v>
      </c>
      <c r="R196" s="53">
        <v>128</v>
      </c>
      <c r="S196" s="53"/>
      <c r="T196" s="67"/>
      <c r="U196" s="53" t="str">
        <f>VLOOKUP(Subnets[[#This Row],[VNETID]],VNETS[#All],11, FALSE)</f>
        <v>STORAGE</v>
      </c>
      <c r="V196" s="53" t="str">
        <f>VLOOKUP(Subnets[[#This Row],[VNETID]],VNETS[#All],2, FALSE)</f>
        <v>sub15</v>
      </c>
    </row>
    <row r="197" spans="1:22" x14ac:dyDescent="0.45">
      <c r="A197" t="s">
        <v>1309</v>
      </c>
      <c r="B197">
        <v>570</v>
      </c>
      <c r="C197" t="s">
        <v>1211</v>
      </c>
      <c r="D197" t="str">
        <f>I197&amp;"_"&amp;Subnets[[#This Row],[SubNetNumber]]&amp;"_"&amp;Subnets[[#This Row],[Dept. (Computed)]]&amp;"_"&amp;E197&amp;"_"&amp;Subnets[[#This Row],[Location (Computed)]]</f>
        <v>Future_570_SLG_Storage_w2</v>
      </c>
      <c r="E197" t="s">
        <v>210</v>
      </c>
      <c r="F197" t="str">
        <f>VLOOKUP(Subnets[[#This Row],[VNETID]],VNETS[#All], 8, FALSE)</f>
        <v>SLG</v>
      </c>
      <c r="G197" t="str">
        <f>VLOOKUP(Subnets[[#This Row],[VNETID]],VNETS[#All], 9, FALSE)</f>
        <v>Sandbox</v>
      </c>
      <c r="H197" t="str">
        <f>VLOOKUP(Subnets[[#This Row],[VNETID]],VNETS[#All],13, FALSE)</f>
        <v>w2</v>
      </c>
      <c r="I197" t="s">
        <v>299</v>
      </c>
      <c r="K197" t="s">
        <v>300</v>
      </c>
      <c r="L197" t="str">
        <f t="shared" si="4"/>
        <v>10.131.50.0</v>
      </c>
      <c r="M197" s="9" t="s">
        <v>488</v>
      </c>
      <c r="N197" t="str">
        <f>VLOOKUP(Subnets[[#This Row],[VNETID]],VNETS[#All],7, FALSE)</f>
        <v>mac_slg_sandbox_devteama</v>
      </c>
      <c r="O197">
        <f>VLOOKUP(Subnets[[#This Row],[VNETID]], VNETS[#All], 14, FALSE)</f>
        <v>10</v>
      </c>
      <c r="P197">
        <f>VLOOKUP(Subnets[[#This Row],[VNETID]], VNETS[#All], 15, FALSE)</f>
        <v>131</v>
      </c>
      <c r="Q197">
        <v>50</v>
      </c>
      <c r="R197">
        <v>0</v>
      </c>
      <c r="U197" s="53" t="str">
        <f>VLOOKUP(Subnets[[#This Row],[VNETID]],VNETS[#All],11, FALSE)</f>
        <v>STORAGE</v>
      </c>
      <c r="V197" s="53" t="str">
        <f>VLOOKUP(Subnets[[#This Row],[VNETID]],VNETS[#All],2, FALSE)</f>
        <v>sub15</v>
      </c>
    </row>
    <row r="198" spans="1:22" x14ac:dyDescent="0.45">
      <c r="A198" t="s">
        <v>1310</v>
      </c>
      <c r="B198">
        <v>570</v>
      </c>
      <c r="C198" t="s">
        <v>1211</v>
      </c>
      <c r="D198" t="str">
        <f>I198&amp;"_"&amp;Subnets[[#This Row],[SubNetNumber]]&amp;"_"&amp;Subnets[[#This Row],[Dept. (Computed)]]&amp;"_"&amp;E198&amp;"_"&amp;Subnets[[#This Row],[Location (Computed)]]</f>
        <v>Future_570_SLG_Storage_w2</v>
      </c>
      <c r="E198" t="s">
        <v>210</v>
      </c>
      <c r="F198" t="str">
        <f>VLOOKUP(Subnets[[#This Row],[VNETID]],VNETS[#All], 8, FALSE)</f>
        <v>SLG</v>
      </c>
      <c r="G198" t="str">
        <f>VLOOKUP(Subnets[[#This Row],[VNETID]],VNETS[#All], 9, FALSE)</f>
        <v>Sandbox</v>
      </c>
      <c r="H198" t="str">
        <f>VLOOKUP(Subnets[[#This Row],[VNETID]],VNETS[#All],13, FALSE)</f>
        <v>w2</v>
      </c>
      <c r="I198" t="s">
        <v>299</v>
      </c>
      <c r="K198" t="s">
        <v>300</v>
      </c>
      <c r="L198" t="str">
        <f t="shared" si="4"/>
        <v>10.131.52.0</v>
      </c>
      <c r="M198" s="9" t="s">
        <v>488</v>
      </c>
      <c r="N198" t="str">
        <f>VLOOKUP(Subnets[[#This Row],[VNETID]],VNETS[#All],7, FALSE)</f>
        <v>mac_slg_sandbox_devteama</v>
      </c>
      <c r="O198">
        <f>VLOOKUP(Subnets[[#This Row],[VNETID]], VNETS[#All], 14, FALSE)</f>
        <v>10</v>
      </c>
      <c r="P198">
        <f>VLOOKUP(Subnets[[#This Row],[VNETID]], VNETS[#All], 15, FALSE)</f>
        <v>131</v>
      </c>
      <c r="Q198">
        <v>52</v>
      </c>
      <c r="R198">
        <v>0</v>
      </c>
      <c r="U198" s="53" t="str">
        <f>VLOOKUP(Subnets[[#This Row],[VNETID]],VNETS[#All],11, FALSE)</f>
        <v>STORAGE</v>
      </c>
      <c r="V198" s="53" t="str">
        <f>VLOOKUP(Subnets[[#This Row],[VNETID]],VNETS[#All],2, FALSE)</f>
        <v>sub15</v>
      </c>
    </row>
    <row r="199" spans="1:22" x14ac:dyDescent="0.45">
      <c r="A199" t="s">
        <v>1311</v>
      </c>
      <c r="B199">
        <v>570</v>
      </c>
      <c r="C199" t="s">
        <v>1211</v>
      </c>
      <c r="D199" t="str">
        <f>I199&amp;"_"&amp;Subnets[[#This Row],[SubNetNumber]]&amp;"_"&amp;Subnets[[#This Row],[Dept. (Computed)]]&amp;"_"&amp;E199&amp;"_"&amp;Subnets[[#This Row],[Location (Computed)]]</f>
        <v>Future_570_SLG_Storage_w2</v>
      </c>
      <c r="E199" t="s">
        <v>210</v>
      </c>
      <c r="F199" t="str">
        <f>VLOOKUP(Subnets[[#This Row],[VNETID]],VNETS[#All], 8, FALSE)</f>
        <v>SLG</v>
      </c>
      <c r="G199" t="str">
        <f>VLOOKUP(Subnets[[#This Row],[VNETID]],VNETS[#All], 9, FALSE)</f>
        <v>Sandbox</v>
      </c>
      <c r="H199" t="str">
        <f>VLOOKUP(Subnets[[#This Row],[VNETID]],VNETS[#All],13, FALSE)</f>
        <v>w2</v>
      </c>
      <c r="I199" t="s">
        <v>299</v>
      </c>
      <c r="K199" t="s">
        <v>300</v>
      </c>
      <c r="L199" t="str">
        <f t="shared" si="4"/>
        <v>10.131.54.0</v>
      </c>
      <c r="M199" s="9" t="s">
        <v>77</v>
      </c>
      <c r="N199" t="str">
        <f>VLOOKUP(Subnets[[#This Row],[VNETID]],VNETS[#All],7, FALSE)</f>
        <v>mac_slg_sandbox_devteama</v>
      </c>
      <c r="O199">
        <f>VLOOKUP(Subnets[[#This Row],[VNETID]], VNETS[#All], 14, FALSE)</f>
        <v>10</v>
      </c>
      <c r="P199">
        <f>VLOOKUP(Subnets[[#This Row],[VNETID]], VNETS[#All], 15, FALSE)</f>
        <v>131</v>
      </c>
      <c r="Q199">
        <v>54</v>
      </c>
      <c r="R199">
        <v>0</v>
      </c>
      <c r="U199" s="53" t="str">
        <f>VLOOKUP(Subnets[[#This Row],[VNETID]],VNETS[#All],11, FALSE)</f>
        <v>STORAGE</v>
      </c>
      <c r="V199" s="53" t="str">
        <f>VLOOKUP(Subnets[[#This Row],[VNETID]],VNETS[#All],2, FALSE)</f>
        <v>sub15</v>
      </c>
    </row>
    <row r="200" spans="1:22" x14ac:dyDescent="0.45">
      <c r="A200" t="s">
        <v>1312</v>
      </c>
      <c r="B200">
        <v>599</v>
      </c>
      <c r="C200" t="s">
        <v>1211</v>
      </c>
      <c r="D200" t="str">
        <f>I200&amp;"_"&amp;Subnets[[#This Row],[SubNetNumber]]&amp;"_"&amp;Subnets[[#This Row],[Dept. (Computed)]]&amp;"_"&amp;E200&amp;"_"&amp;Subnets[[#This Row],[Location (Computed)]]</f>
        <v>Gateway_599_SLG_Storage_w2</v>
      </c>
      <c r="E200" t="s">
        <v>210</v>
      </c>
      <c r="F200" t="str">
        <f>VLOOKUP(Subnets[[#This Row],[VNETID]],VNETS[#All], 8, FALSE)</f>
        <v>SLG</v>
      </c>
      <c r="G200" t="str">
        <f>VLOOKUP(Subnets[[#This Row],[VNETID]],VNETS[#All], 9, FALSE)</f>
        <v>Sandbox</v>
      </c>
      <c r="H200" t="str">
        <f>VLOOKUP(Subnets[[#This Row],[VNETID]],VNETS[#All],13, FALSE)</f>
        <v>w2</v>
      </c>
      <c r="I200" t="s">
        <v>500</v>
      </c>
      <c r="K200" t="s">
        <v>553</v>
      </c>
      <c r="L200" t="str">
        <f t="shared" si="4"/>
        <v>10.131.55.248</v>
      </c>
      <c r="M200" s="9" t="s">
        <v>398</v>
      </c>
      <c r="N200" t="str">
        <f>VLOOKUP(Subnets[[#This Row],[VNETID]],VNETS[#All],7, FALSE)</f>
        <v>mac_slg_sandbox_devteama</v>
      </c>
      <c r="O200">
        <f>VLOOKUP(Subnets[[#This Row],[VNETID]], VNETS[#All], 14, FALSE)</f>
        <v>10</v>
      </c>
      <c r="P200">
        <f>VLOOKUP(Subnets[[#This Row],[VNETID]], VNETS[#All], 15, FALSE)</f>
        <v>131</v>
      </c>
      <c r="Q200">
        <v>55</v>
      </c>
      <c r="R200">
        <v>248</v>
      </c>
      <c r="S200" t="str">
        <f>O200&amp;"."&amp;P200&amp;"."&amp;Q200&amp;"."&amp;R200</f>
        <v>10.131.55.248</v>
      </c>
      <c r="T200" s="9" t="s">
        <v>398</v>
      </c>
      <c r="U200" s="53" t="str">
        <f>VLOOKUP(Subnets[[#This Row],[VNETID]],VNETS[#All],11, FALSE)</f>
        <v>STORAGE</v>
      </c>
      <c r="V200" s="53" t="str">
        <f>VLOOKUP(Subnets[[#This Row],[VNETID]],VNETS[#All],2, FALSE)</f>
        <v>sub15</v>
      </c>
    </row>
    <row r="201" spans="1:22" x14ac:dyDescent="0.45">
      <c r="A201" t="s">
        <v>1313</v>
      </c>
      <c r="B201">
        <v>500</v>
      </c>
      <c r="C201" t="s">
        <v>1216</v>
      </c>
      <c r="D201" t="str">
        <f>I201&amp;"_"&amp;Subnets[[#This Row],[SubNetNumber]]&amp;"_"&amp;Subnets[[#This Row],[Dept. (Computed)]]&amp;"_"&amp;E201&amp;"_"&amp;Subnets[[#This Row],[Location (Computed)]]</f>
        <v>Storage_500_SLG_Storage_w1</v>
      </c>
      <c r="E201" t="s">
        <v>210</v>
      </c>
      <c r="F201" t="str">
        <f>VLOOKUP(Subnets[[#This Row],[VNETID]],VNETS[#All], 8, FALSE)</f>
        <v>SLG</v>
      </c>
      <c r="G201" t="str">
        <f>VLOOKUP(Subnets[[#This Row],[VNETID]],VNETS[#All], 9, FALSE)</f>
        <v>Sandbox</v>
      </c>
      <c r="H201" t="str">
        <f>VLOOKUP(Subnets[[#This Row],[VNETID]],VNETS[#All],13, FALSE)</f>
        <v>w1</v>
      </c>
      <c r="I201" t="s">
        <v>210</v>
      </c>
      <c r="K201" t="s">
        <v>300</v>
      </c>
      <c r="L201" t="str">
        <f t="shared" si="4"/>
        <v>10.131.112.0</v>
      </c>
      <c r="M201" s="9" t="s">
        <v>77</v>
      </c>
      <c r="N201" t="str">
        <f>VLOOKUP(Subnets[[#This Row],[VNETID]],VNETS[#All],7, FALSE)</f>
        <v>mac_slg_sandbox_devteama</v>
      </c>
      <c r="O201">
        <f>VLOOKUP(Subnets[[#This Row],[VNETID]], VNETS[#All], 14, FALSE)</f>
        <v>10</v>
      </c>
      <c r="P201">
        <f>VLOOKUP(Subnets[[#This Row],[VNETID]], VNETS[#All], 15, FALSE)</f>
        <v>131</v>
      </c>
      <c r="Q201">
        <v>112</v>
      </c>
      <c r="R201">
        <v>0</v>
      </c>
      <c r="S201" t="str">
        <f>O201&amp;"."&amp;P201&amp;"."&amp;Q201&amp;"."&amp;R201</f>
        <v>10.131.112.0</v>
      </c>
      <c r="T201" s="9" t="s">
        <v>301</v>
      </c>
      <c r="U201" s="53" t="str">
        <f>VLOOKUP(Subnets[[#This Row],[VNETID]],VNETS[#All],11, FALSE)</f>
        <v>STORAGE</v>
      </c>
      <c r="V201" s="53" t="str">
        <f>VLOOKUP(Subnets[[#This Row],[VNETID]],VNETS[#All],2, FALSE)</f>
        <v>sub15</v>
      </c>
    </row>
    <row r="202" spans="1:22" x14ac:dyDescent="0.45">
      <c r="A202" t="s">
        <v>1314</v>
      </c>
      <c r="B202" s="53">
        <v>560</v>
      </c>
      <c r="C202" t="s">
        <v>1216</v>
      </c>
      <c r="D202" s="53" t="str">
        <f>I202&amp;"_"&amp;Subnets[[#This Row],[SubNetNumber]]&amp;"_"&amp;Subnets[[#This Row],[Dept. (Computed)]]&amp;"_"&amp;E202&amp;"_"&amp;Subnets[[#This Row],[Location (Computed)]]</f>
        <v>User_Tier0_560_SLG_Storage_w1</v>
      </c>
      <c r="E202" t="s">
        <v>210</v>
      </c>
      <c r="F202" s="53" t="str">
        <f>VLOOKUP(Subnets[[#This Row],[VNETID]],VNETS[#All], 8, FALSE)</f>
        <v>SLG</v>
      </c>
      <c r="G202" s="29" t="str">
        <f>VLOOKUP(Subnets[[#This Row],[VNETID]],VNETS[#All], 9, FALSE)</f>
        <v>Sandbox</v>
      </c>
      <c r="H202" t="str">
        <f>VLOOKUP(Subnets[[#This Row],[VNETID]],VNETS[#All],13, FALSE)</f>
        <v>w1</v>
      </c>
      <c r="I202" t="s">
        <v>982</v>
      </c>
      <c r="K202" t="s">
        <v>985</v>
      </c>
      <c r="L202" t="str">
        <f>O202&amp;"."&amp;P202&amp;"."&amp;Q202&amp;"."&amp;R202</f>
        <v>10.131.113.0</v>
      </c>
      <c r="M202" s="67" t="s">
        <v>389</v>
      </c>
      <c r="N202" t="str">
        <f>VLOOKUP(Subnets[[#This Row],[VNETID]],VNETS[#All],7, FALSE)</f>
        <v>mac_slg_sandbox_devteama</v>
      </c>
      <c r="O202">
        <f>VLOOKUP(Subnets[[#This Row],[VNETID]], VNETS[#All], 14, FALSE)</f>
        <v>10</v>
      </c>
      <c r="P202">
        <f>VLOOKUP(Subnets[[#This Row],[VNETID]], VNETS[#All], 15, FALSE)</f>
        <v>131</v>
      </c>
      <c r="Q202" s="53">
        <v>113</v>
      </c>
      <c r="R202" s="53">
        <v>0</v>
      </c>
      <c r="S202" s="53"/>
      <c r="T202" s="67"/>
      <c r="U202" s="53" t="str">
        <f>VLOOKUP(Subnets[[#This Row],[VNETID]],VNETS[#All],11, FALSE)</f>
        <v>STORAGE</v>
      </c>
      <c r="V202" s="53" t="str">
        <f>VLOOKUP(Subnets[[#This Row],[VNETID]],VNETS[#All],2, FALSE)</f>
        <v>sub15</v>
      </c>
    </row>
    <row r="203" spans="1:22" x14ac:dyDescent="0.45">
      <c r="A203" t="s">
        <v>1315</v>
      </c>
      <c r="B203" s="53">
        <v>561</v>
      </c>
      <c r="C203" t="s">
        <v>1216</v>
      </c>
      <c r="D203" s="53" t="str">
        <f>I203&amp;"_"&amp;Subnets[[#This Row],[SubNetNumber]]&amp;"_"&amp;Subnets[[#This Row],[Dept. (Computed)]]&amp;"_"&amp;E203&amp;"_"&amp;Subnets[[#This Row],[Location (Computed)]]</f>
        <v>Users_Tier1_561_SLG_Storage_w1</v>
      </c>
      <c r="E203" t="s">
        <v>210</v>
      </c>
      <c r="F203" s="53" t="str">
        <f>VLOOKUP(Subnets[[#This Row],[VNETID]],VNETS[#All], 8, FALSE)</f>
        <v>SLG</v>
      </c>
      <c r="G203" s="29" t="str">
        <f>VLOOKUP(Subnets[[#This Row],[VNETID]],VNETS[#All], 9, FALSE)</f>
        <v>Sandbox</v>
      </c>
      <c r="H203" t="str">
        <f>VLOOKUP(Subnets[[#This Row],[VNETID]],VNETS[#All],13, FALSE)</f>
        <v>w1</v>
      </c>
      <c r="I203" t="s">
        <v>980</v>
      </c>
      <c r="K203" t="s">
        <v>983</v>
      </c>
      <c r="L203" t="str">
        <f>O203&amp;"."&amp;P203&amp;"."&amp;Q203&amp;"."&amp;R203</f>
        <v>10.131.113.128</v>
      </c>
      <c r="M203" s="67" t="s">
        <v>389</v>
      </c>
      <c r="N203" t="str">
        <f>VLOOKUP(Subnets[[#This Row],[VNETID]],VNETS[#All],7, FALSE)</f>
        <v>mac_slg_sandbox_devteama</v>
      </c>
      <c r="O203">
        <f>VLOOKUP(Subnets[[#This Row],[VNETID]], VNETS[#All], 14, FALSE)</f>
        <v>10</v>
      </c>
      <c r="P203">
        <f>VLOOKUP(Subnets[[#This Row],[VNETID]], VNETS[#All], 15, FALSE)</f>
        <v>131</v>
      </c>
      <c r="Q203" s="53">
        <v>113</v>
      </c>
      <c r="R203" s="53">
        <v>128</v>
      </c>
      <c r="S203" s="53"/>
      <c r="T203" s="67"/>
      <c r="U203" s="53" t="str">
        <f>VLOOKUP(Subnets[[#This Row],[VNETID]],VNETS[#All],11, FALSE)</f>
        <v>STORAGE</v>
      </c>
      <c r="V203" s="53" t="str">
        <f>VLOOKUP(Subnets[[#This Row],[VNETID]],VNETS[#All],2, FALSE)</f>
        <v>sub15</v>
      </c>
    </row>
    <row r="204" spans="1:22" x14ac:dyDescent="0.45">
      <c r="A204" t="s">
        <v>1316</v>
      </c>
      <c r="B204">
        <v>570</v>
      </c>
      <c r="C204" t="s">
        <v>1216</v>
      </c>
      <c r="D204" t="str">
        <f>I204&amp;"_"&amp;Subnets[[#This Row],[SubNetNumber]]&amp;"_"&amp;Subnets[[#This Row],[Dept. (Computed)]]&amp;"_"&amp;E204&amp;"_"&amp;Subnets[[#This Row],[Location (Computed)]]</f>
        <v>Future_570_SLG_Storage_w1</v>
      </c>
      <c r="E204" t="s">
        <v>210</v>
      </c>
      <c r="F204" t="str">
        <f>VLOOKUP(Subnets[[#This Row],[VNETID]],VNETS[#All], 8, FALSE)</f>
        <v>SLG</v>
      </c>
      <c r="G204" t="str">
        <f>VLOOKUP(Subnets[[#This Row],[VNETID]],VNETS[#All], 9, FALSE)</f>
        <v>Sandbox</v>
      </c>
      <c r="H204" t="str">
        <f>VLOOKUP(Subnets[[#This Row],[VNETID]],VNETS[#All],13, FALSE)</f>
        <v>w1</v>
      </c>
      <c r="I204" t="s">
        <v>299</v>
      </c>
      <c r="K204" t="s">
        <v>300</v>
      </c>
      <c r="L204" t="str">
        <f t="shared" ref="L204:L207" si="5">O204&amp;"."&amp;P204&amp;"."&amp;Q204&amp;"."&amp;R204</f>
        <v>10.131.114.0</v>
      </c>
      <c r="M204" s="9" t="s">
        <v>372</v>
      </c>
      <c r="N204" t="str">
        <f>VLOOKUP(Subnets[[#This Row],[VNETID]],VNETS[#All],7, FALSE)</f>
        <v>mac_slg_sandbox_devteama</v>
      </c>
      <c r="O204">
        <f>VLOOKUP(Subnets[[#This Row],[VNETID]], VNETS[#All], 14, FALSE)</f>
        <v>10</v>
      </c>
      <c r="P204">
        <f>VLOOKUP(Subnets[[#This Row],[VNETID]], VNETS[#All], 15, FALSE)</f>
        <v>131</v>
      </c>
      <c r="Q204">
        <v>114</v>
      </c>
      <c r="R204">
        <v>0</v>
      </c>
      <c r="U204" s="53" t="str">
        <f>VLOOKUP(Subnets[[#This Row],[VNETID]],VNETS[#All],11, FALSE)</f>
        <v>STORAGE</v>
      </c>
      <c r="V204" s="53" t="str">
        <f>VLOOKUP(Subnets[[#This Row],[VNETID]],VNETS[#All],2, FALSE)</f>
        <v>sub15</v>
      </c>
    </row>
    <row r="205" spans="1:22" x14ac:dyDescent="0.45">
      <c r="A205" t="s">
        <v>1317</v>
      </c>
      <c r="B205">
        <v>570</v>
      </c>
      <c r="C205" t="s">
        <v>1216</v>
      </c>
      <c r="D205" t="str">
        <f>I205&amp;"_"&amp;Subnets[[#This Row],[SubNetNumber]]&amp;"_"&amp;Subnets[[#This Row],[Dept. (Computed)]]&amp;"_"&amp;E205&amp;"_"&amp;Subnets[[#This Row],[Location (Computed)]]</f>
        <v>Future_570_SLG_Storage_w1</v>
      </c>
      <c r="E205" t="s">
        <v>210</v>
      </c>
      <c r="F205" t="str">
        <f>VLOOKUP(Subnets[[#This Row],[VNETID]],VNETS[#All], 8, FALSE)</f>
        <v>SLG</v>
      </c>
      <c r="G205" t="str">
        <f>VLOOKUP(Subnets[[#This Row],[VNETID]],VNETS[#All], 9, FALSE)</f>
        <v>Sandbox</v>
      </c>
      <c r="H205" t="str">
        <f>VLOOKUP(Subnets[[#This Row],[VNETID]],VNETS[#All],13, FALSE)</f>
        <v>w1</v>
      </c>
      <c r="I205" t="s">
        <v>299</v>
      </c>
      <c r="K205" t="s">
        <v>300</v>
      </c>
      <c r="L205" t="str">
        <f t="shared" si="5"/>
        <v>10.131.116.0</v>
      </c>
      <c r="M205" s="9" t="s">
        <v>372</v>
      </c>
      <c r="N205" t="str">
        <f>VLOOKUP(Subnets[[#This Row],[VNETID]],VNETS[#All],7, FALSE)</f>
        <v>mac_slg_sandbox_devteama</v>
      </c>
      <c r="O205">
        <f>VLOOKUP(Subnets[[#This Row],[VNETID]], VNETS[#All], 14, FALSE)</f>
        <v>10</v>
      </c>
      <c r="P205">
        <f>VLOOKUP(Subnets[[#This Row],[VNETID]], VNETS[#All], 15, FALSE)</f>
        <v>131</v>
      </c>
      <c r="Q205">
        <v>116</v>
      </c>
      <c r="R205">
        <v>0</v>
      </c>
      <c r="U205" s="53" t="str">
        <f>VLOOKUP(Subnets[[#This Row],[VNETID]],VNETS[#All],11, FALSE)</f>
        <v>STORAGE</v>
      </c>
      <c r="V205" s="53" t="str">
        <f>VLOOKUP(Subnets[[#This Row],[VNETID]],VNETS[#All],2, FALSE)</f>
        <v>sub15</v>
      </c>
    </row>
    <row r="206" spans="1:22" x14ac:dyDescent="0.45">
      <c r="A206" t="s">
        <v>1318</v>
      </c>
      <c r="B206">
        <v>570</v>
      </c>
      <c r="C206" t="s">
        <v>1216</v>
      </c>
      <c r="D206" t="str">
        <f>I206&amp;"_"&amp;Subnets[[#This Row],[SubNetNumber]]&amp;"_"&amp;Subnets[[#This Row],[Dept. (Computed)]]&amp;"_"&amp;E206&amp;"_"&amp;Subnets[[#This Row],[Location (Computed)]]</f>
        <v>Future_570_SLG_Storage_w1</v>
      </c>
      <c r="E206" t="s">
        <v>210</v>
      </c>
      <c r="F206" t="str">
        <f>VLOOKUP(Subnets[[#This Row],[VNETID]],VNETS[#All], 8, FALSE)</f>
        <v>SLG</v>
      </c>
      <c r="G206" t="str">
        <f>VLOOKUP(Subnets[[#This Row],[VNETID]],VNETS[#All], 9, FALSE)</f>
        <v>Sandbox</v>
      </c>
      <c r="H206" t="str">
        <f>VLOOKUP(Subnets[[#This Row],[VNETID]],VNETS[#All],13, FALSE)</f>
        <v>w1</v>
      </c>
      <c r="I206" t="s">
        <v>299</v>
      </c>
      <c r="K206" t="s">
        <v>300</v>
      </c>
      <c r="L206" t="str">
        <f t="shared" si="5"/>
        <v>10.131.118.0</v>
      </c>
      <c r="M206" s="9" t="s">
        <v>77</v>
      </c>
      <c r="N206" t="str">
        <f>VLOOKUP(Subnets[[#This Row],[VNETID]],VNETS[#All],7, FALSE)</f>
        <v>mac_slg_sandbox_devteama</v>
      </c>
      <c r="O206">
        <f>VLOOKUP(Subnets[[#This Row],[VNETID]], VNETS[#All], 14, FALSE)</f>
        <v>10</v>
      </c>
      <c r="P206">
        <f>VLOOKUP(Subnets[[#This Row],[VNETID]], VNETS[#All], 15, FALSE)</f>
        <v>131</v>
      </c>
      <c r="Q206">
        <v>118</v>
      </c>
      <c r="R206">
        <v>0</v>
      </c>
      <c r="U206" s="53" t="str">
        <f>VLOOKUP(Subnets[[#This Row],[VNETID]],VNETS[#All],11, FALSE)</f>
        <v>STORAGE</v>
      </c>
      <c r="V206" s="53" t="str">
        <f>VLOOKUP(Subnets[[#This Row],[VNETID]],VNETS[#All],2, FALSE)</f>
        <v>sub15</v>
      </c>
    </row>
    <row r="207" spans="1:22" x14ac:dyDescent="0.45">
      <c r="A207" t="s">
        <v>1456</v>
      </c>
      <c r="B207">
        <v>599</v>
      </c>
      <c r="C207" t="s">
        <v>1216</v>
      </c>
      <c r="D207" t="str">
        <f>I207&amp;"_"&amp;Subnets[[#This Row],[SubNetNumber]]&amp;"_"&amp;Subnets[[#This Row],[Dept. (Computed)]]&amp;"_"&amp;E207&amp;"_"&amp;Subnets[[#This Row],[Location (Computed)]]</f>
        <v>Gateway_599_SLG_Storage_w1</v>
      </c>
      <c r="E207" t="s">
        <v>210</v>
      </c>
      <c r="F207" t="str">
        <f>VLOOKUP(Subnets[[#This Row],[VNETID]],VNETS[#All], 8, FALSE)</f>
        <v>SLG</v>
      </c>
      <c r="G207" t="str">
        <f>VLOOKUP(Subnets[[#This Row],[VNETID]],VNETS[#All], 9, FALSE)</f>
        <v>Sandbox</v>
      </c>
      <c r="H207" t="str">
        <f>VLOOKUP(Subnets[[#This Row],[VNETID]],VNETS[#All],13, FALSE)</f>
        <v>w1</v>
      </c>
      <c r="I207" t="s">
        <v>500</v>
      </c>
      <c r="K207" t="s">
        <v>553</v>
      </c>
      <c r="L207" t="str">
        <f t="shared" si="5"/>
        <v>10.131.119.248</v>
      </c>
      <c r="M207" s="9" t="s">
        <v>398</v>
      </c>
      <c r="N207" t="str">
        <f>VLOOKUP(Subnets[[#This Row],[VNETID]],VNETS[#All],7, FALSE)</f>
        <v>mac_slg_sandbox_devteama</v>
      </c>
      <c r="O207">
        <f>VLOOKUP(Subnets[[#This Row],[VNETID]], VNETS[#All], 14, FALSE)</f>
        <v>10</v>
      </c>
      <c r="P207">
        <f>VLOOKUP(Subnets[[#This Row],[VNETID]], VNETS[#All], 15, FALSE)</f>
        <v>131</v>
      </c>
      <c r="Q207">
        <v>119</v>
      </c>
      <c r="R207">
        <v>248</v>
      </c>
      <c r="S207" t="str">
        <f>O207&amp;"."&amp;P207&amp;"."&amp;Q207&amp;"."&amp;R207</f>
        <v>10.131.119.248</v>
      </c>
      <c r="T207" s="9" t="s">
        <v>398</v>
      </c>
      <c r="U207" s="53" t="str">
        <f>VLOOKUP(Subnets[[#This Row],[VNETID]],VNETS[#All],11, FALSE)</f>
        <v>STORAGE</v>
      </c>
      <c r="V207" s="53" t="str">
        <f>VLOOKUP(Subnets[[#This Row],[VNETID]],VNETS[#All],2, FALSE)</f>
        <v>sub15</v>
      </c>
    </row>
  </sheetData>
  <conditionalFormatting sqref="A2:A104">
    <cfRule type="duplicateValues" dxfId="81" priority="3"/>
  </conditionalFormatting>
  <conditionalFormatting sqref="A105:A207">
    <cfRule type="duplicateValues" dxfId="80" priority="2"/>
  </conditionalFormatting>
  <conditionalFormatting sqref="A2:A207">
    <cfRule type="duplicateValues" dxfId="79" priority="1"/>
  </conditionalFormatting>
  <pageMargins left="0.7" right="0.7" top="0.75" bottom="0.75" header="0.3" footer="0.3"/>
  <pageSetup orientation="portrait"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388</v>
      </c>
      <c r="B1" t="s">
        <v>307</v>
      </c>
      <c r="C1" t="s">
        <v>502</v>
      </c>
      <c r="D1" t="s">
        <v>273</v>
      </c>
      <c r="E1" t="s">
        <v>64</v>
      </c>
      <c r="F1" t="s">
        <v>500</v>
      </c>
    </row>
    <row r="2" spans="1:6" x14ac:dyDescent="0.45">
      <c r="A2" t="s">
        <v>391</v>
      </c>
      <c r="B2" t="s">
        <v>397</v>
      </c>
      <c r="C2" t="s">
        <v>503</v>
      </c>
      <c r="D2" t="e">
        <f>VLOOKUP(LclNtwrk!B2, VNETS[#All], 4, FALSE)</f>
        <v>#N/A</v>
      </c>
      <c r="E2" t="s">
        <v>499</v>
      </c>
      <c r="F2" s="38" t="s">
        <v>645</v>
      </c>
    </row>
    <row r="3" spans="1:6" x14ac:dyDescent="0.45">
      <c r="A3" t="s">
        <v>491</v>
      </c>
      <c r="B3" t="s">
        <v>397</v>
      </c>
      <c r="C3" t="s">
        <v>504</v>
      </c>
      <c r="D3" t="e">
        <f>VLOOKUP(LclNtwrk!B3, VNETS[#All], 4, FALSE)</f>
        <v>#N/A</v>
      </c>
      <c r="E3" t="s">
        <v>501</v>
      </c>
      <c r="F3" s="38" t="s">
        <v>645</v>
      </c>
    </row>
    <row r="4" spans="1:6" x14ac:dyDescent="0.45">
      <c r="A4" t="s">
        <v>492</v>
      </c>
      <c r="B4" t="s">
        <v>397</v>
      </c>
      <c r="C4" t="s">
        <v>632</v>
      </c>
      <c r="D4" t="e">
        <f>VLOOKUP(LclNtwrk!B4, VNETS[#All], 4, FALSE)</f>
        <v>#N/A</v>
      </c>
      <c r="E4" t="s">
        <v>505</v>
      </c>
      <c r="F4" s="38" t="s">
        <v>645</v>
      </c>
    </row>
    <row r="5" spans="1:6" x14ac:dyDescent="0.45">
      <c r="A5" t="s">
        <v>493</v>
      </c>
      <c r="B5" t="s">
        <v>397</v>
      </c>
      <c r="C5" t="s">
        <v>632</v>
      </c>
      <c r="D5" t="e">
        <f>VLOOKUP(LclNtwrk!B5, VNETS[#All], 4, FALSE)</f>
        <v>#N/A</v>
      </c>
      <c r="E5" t="s">
        <v>506</v>
      </c>
      <c r="F5" s="38" t="s">
        <v>645</v>
      </c>
    </row>
    <row r="6" spans="1:6" x14ac:dyDescent="0.45">
      <c r="A6" t="s">
        <v>494</v>
      </c>
      <c r="B6" t="s">
        <v>397</v>
      </c>
      <c r="C6" t="s">
        <v>632</v>
      </c>
      <c r="D6" t="e">
        <f>VLOOKUP(LclNtwrk!B6, VNETS[#All], 4, FALSE)</f>
        <v>#N/A</v>
      </c>
      <c r="E6" t="s">
        <v>507</v>
      </c>
      <c r="F6" s="38" t="s">
        <v>645</v>
      </c>
    </row>
    <row r="7" spans="1:6" x14ac:dyDescent="0.45">
      <c r="A7" t="s">
        <v>495</v>
      </c>
      <c r="B7" t="s">
        <v>397</v>
      </c>
      <c r="C7" t="s">
        <v>632</v>
      </c>
      <c r="D7" t="e">
        <f>VLOOKUP(LclNtwrk!B7, VNETS[#All], 4, FALSE)</f>
        <v>#N/A</v>
      </c>
      <c r="E7" t="s">
        <v>508</v>
      </c>
      <c r="F7" s="38" t="s">
        <v>645</v>
      </c>
    </row>
    <row r="8" spans="1:6" x14ac:dyDescent="0.45">
      <c r="A8" t="s">
        <v>496</v>
      </c>
      <c r="B8" t="s">
        <v>397</v>
      </c>
      <c r="C8" t="s">
        <v>632</v>
      </c>
      <c r="D8" t="e">
        <f>VLOOKUP(LclNtwrk!B8, VNETS[#All], 4, FALSE)</f>
        <v>#N/A</v>
      </c>
      <c r="E8" t="s">
        <v>509</v>
      </c>
      <c r="F8" s="38" t="s">
        <v>645</v>
      </c>
    </row>
    <row r="9" spans="1:6" x14ac:dyDescent="0.45">
      <c r="A9" t="s">
        <v>497</v>
      </c>
      <c r="B9" t="s">
        <v>397</v>
      </c>
      <c r="C9" t="s">
        <v>632</v>
      </c>
      <c r="D9" t="e">
        <f>VLOOKUP(LclNtwrk!B9, VNETS[#All], 4, FALSE)</f>
        <v>#N/A</v>
      </c>
      <c r="E9" t="s">
        <v>510</v>
      </c>
      <c r="F9" s="38" t="s">
        <v>645</v>
      </c>
    </row>
    <row r="10" spans="1:6" x14ac:dyDescent="0.45">
      <c r="A10" t="s">
        <v>498</v>
      </c>
      <c r="B10" t="s">
        <v>397</v>
      </c>
      <c r="C10" t="s">
        <v>632</v>
      </c>
      <c r="D10" t="e">
        <f>VLOOKUP(LclNtwrk!B10, VNETS[#All], 4, FALSE)</f>
        <v>#N/A</v>
      </c>
      <c r="E10" t="s">
        <v>511</v>
      </c>
      <c r="F10" s="38" t="s">
        <v>645</v>
      </c>
    </row>
    <row r="11" spans="1:6" x14ac:dyDescent="0.45">
      <c r="A11" t="s">
        <v>522</v>
      </c>
      <c r="B11" t="s">
        <v>397</v>
      </c>
      <c r="C11" t="s">
        <v>632</v>
      </c>
      <c r="D11" t="e">
        <f>VLOOKUP(LclNtwrk!B11, VNETS[#All], 4, FALSE)</f>
        <v>#N/A</v>
      </c>
      <c r="E11" t="s">
        <v>512</v>
      </c>
      <c r="F11" s="38" t="s">
        <v>645</v>
      </c>
    </row>
    <row r="12" spans="1:6" x14ac:dyDescent="0.45">
      <c r="A12" t="s">
        <v>523</v>
      </c>
      <c r="B12" t="s">
        <v>397</v>
      </c>
      <c r="C12" t="s">
        <v>632</v>
      </c>
      <c r="D12" t="e">
        <f>VLOOKUP(LclNtwrk!B12, VNETS[#All], 4, FALSE)</f>
        <v>#N/A</v>
      </c>
      <c r="E12" t="s">
        <v>513</v>
      </c>
      <c r="F12" s="38" t="s">
        <v>645</v>
      </c>
    </row>
    <row r="13" spans="1:6" x14ac:dyDescent="0.45">
      <c r="A13" t="s">
        <v>524</v>
      </c>
      <c r="B13" t="s">
        <v>397</v>
      </c>
      <c r="C13" t="s">
        <v>632</v>
      </c>
      <c r="D13" t="e">
        <f>VLOOKUP(LclNtwrk!B13, VNETS[#All], 4, FALSE)</f>
        <v>#N/A</v>
      </c>
      <c r="E13" t="s">
        <v>514</v>
      </c>
      <c r="F13" s="38" t="s">
        <v>645</v>
      </c>
    </row>
    <row r="14" spans="1:6" x14ac:dyDescent="0.45">
      <c r="A14" t="s">
        <v>525</v>
      </c>
      <c r="B14" t="s">
        <v>397</v>
      </c>
      <c r="C14" t="s">
        <v>632</v>
      </c>
      <c r="D14" t="e">
        <f>VLOOKUP(LclNtwrk!B14, VNETS[#All], 4, FALSE)</f>
        <v>#N/A</v>
      </c>
      <c r="E14" t="s">
        <v>515</v>
      </c>
      <c r="F14" s="38" t="s">
        <v>645</v>
      </c>
    </row>
    <row r="15" spans="1:6" x14ac:dyDescent="0.45">
      <c r="A15" t="s">
        <v>526</v>
      </c>
      <c r="B15" t="s">
        <v>397</v>
      </c>
      <c r="C15" t="s">
        <v>632</v>
      </c>
      <c r="D15" t="e">
        <f>VLOOKUP(LclNtwrk!B15, VNETS[#All], 4, FALSE)</f>
        <v>#N/A</v>
      </c>
      <c r="E15" t="s">
        <v>516</v>
      </c>
      <c r="F15" s="38" t="s">
        <v>645</v>
      </c>
    </row>
    <row r="16" spans="1:6" x14ac:dyDescent="0.45">
      <c r="A16" t="s">
        <v>527</v>
      </c>
      <c r="B16" t="s">
        <v>397</v>
      </c>
      <c r="C16" t="s">
        <v>632</v>
      </c>
      <c r="D16" t="e">
        <f>VLOOKUP(LclNtwrk!B16, VNETS[#All], 4, FALSE)</f>
        <v>#N/A</v>
      </c>
      <c r="E16" t="s">
        <v>517</v>
      </c>
      <c r="F16" s="38" t="s">
        <v>645</v>
      </c>
    </row>
    <row r="17" spans="1:6" x14ac:dyDescent="0.45">
      <c r="A17" t="s">
        <v>528</v>
      </c>
      <c r="B17" t="s">
        <v>397</v>
      </c>
      <c r="C17" t="s">
        <v>632</v>
      </c>
      <c r="D17" t="e">
        <f>VLOOKUP(LclNtwrk!B17, VNETS[#All], 4, FALSE)</f>
        <v>#N/A</v>
      </c>
      <c r="E17" t="s">
        <v>518</v>
      </c>
      <c r="F17" s="38" t="s">
        <v>645</v>
      </c>
    </row>
    <row r="18" spans="1:6" x14ac:dyDescent="0.45">
      <c r="A18" t="s">
        <v>529</v>
      </c>
      <c r="B18" t="s">
        <v>397</v>
      </c>
      <c r="C18" t="s">
        <v>632</v>
      </c>
      <c r="D18" t="e">
        <f>VLOOKUP(LclNtwrk!B18, VNETS[#All], 4, FALSE)</f>
        <v>#N/A</v>
      </c>
      <c r="E18" t="s">
        <v>519</v>
      </c>
      <c r="F18" s="38" t="s">
        <v>645</v>
      </c>
    </row>
    <row r="19" spans="1:6" x14ac:dyDescent="0.45">
      <c r="A19" t="s">
        <v>530</v>
      </c>
      <c r="B19" t="s">
        <v>397</v>
      </c>
      <c r="C19" t="s">
        <v>632</v>
      </c>
      <c r="D19" t="e">
        <f>VLOOKUP(LclNtwrk!B19, VNETS[#All], 4, FALSE)</f>
        <v>#N/A</v>
      </c>
      <c r="E19" t="s">
        <v>520</v>
      </c>
      <c r="F19" s="38" t="s">
        <v>645</v>
      </c>
    </row>
    <row r="20" spans="1:6" x14ac:dyDescent="0.45">
      <c r="A20" t="s">
        <v>531</v>
      </c>
      <c r="B20" t="s">
        <v>397</v>
      </c>
      <c r="C20" t="s">
        <v>632</v>
      </c>
      <c r="D20" t="e">
        <f>VLOOKUP(LclNtwrk!B20, VNETS[#All], 4, FALSE)</f>
        <v>#N/A</v>
      </c>
      <c r="E20" t="s">
        <v>521</v>
      </c>
      <c r="F20" s="38" t="s">
        <v>645</v>
      </c>
    </row>
    <row r="21" spans="1:6" x14ac:dyDescent="0.45">
      <c r="A21" t="s">
        <v>532</v>
      </c>
      <c r="B21" t="s">
        <v>397</v>
      </c>
      <c r="C21" t="s">
        <v>632</v>
      </c>
      <c r="D21" t="e">
        <f>VLOOKUP(LclNtwrk!B21, VNETS[#All], 4, FALSE)</f>
        <v>#N/A</v>
      </c>
      <c r="E21" t="s">
        <v>520</v>
      </c>
      <c r="F21" s="38" t="s">
        <v>645</v>
      </c>
    </row>
    <row r="22" spans="1:6" x14ac:dyDescent="0.45">
      <c r="A22" t="s">
        <v>533</v>
      </c>
      <c r="B22" t="s">
        <v>397</v>
      </c>
      <c r="C22" t="s">
        <v>632</v>
      </c>
      <c r="D22" t="e">
        <f>VLOOKUP(LclNtwrk!B22, VNETS[#All], 4, FALSE)</f>
        <v>#N/A</v>
      </c>
      <c r="E22" t="s">
        <v>521</v>
      </c>
      <c r="F22" s="38" t="s">
        <v>645</v>
      </c>
    </row>
    <row r="23" spans="1:6" x14ac:dyDescent="0.45">
      <c r="A23" t="s">
        <v>534</v>
      </c>
      <c r="B23" t="s">
        <v>397</v>
      </c>
      <c r="C23" t="s">
        <v>633</v>
      </c>
      <c r="D23" t="e">
        <f>VLOOKUP(LclNtwrk!B23, VNETS[#All], 4, FALSE)</f>
        <v>#N/A</v>
      </c>
      <c r="E23" t="s">
        <v>535</v>
      </c>
      <c r="F23" s="38" t="s">
        <v>645</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topLeftCell="A106" workbookViewId="0">
      <selection activeCell="A70" sqref="A70:A137"/>
    </sheetView>
  </sheetViews>
  <sheetFormatPr defaultRowHeight="14.25" x14ac:dyDescent="0.45"/>
  <cols>
    <col min="1" max="2" width="11.59765625" customWidth="1"/>
    <col min="3" max="3" width="5.86328125" customWidth="1"/>
    <col min="4" max="4" width="32.265625" customWidth="1"/>
    <col min="5" max="5" width="35.19921875" customWidth="1"/>
    <col min="6" max="6" width="39.3984375" customWidth="1"/>
    <col min="7" max="7" width="11" customWidth="1"/>
    <col min="8" max="8" width="6.19921875" customWidth="1"/>
    <col min="9" max="11" width="11.265625" customWidth="1"/>
    <col min="12" max="12" width="9.06640625" customWidth="1"/>
    <col min="13" max="13" width="13.33203125" customWidth="1"/>
    <col min="15" max="15" width="31" customWidth="1"/>
  </cols>
  <sheetData>
    <row r="1" spans="1:14" x14ac:dyDescent="0.45">
      <c r="A1" t="s">
        <v>589</v>
      </c>
      <c r="B1" t="s">
        <v>601</v>
      </c>
      <c r="C1" t="s">
        <v>1039</v>
      </c>
      <c r="D1" t="s">
        <v>0</v>
      </c>
      <c r="E1" t="s">
        <v>1</v>
      </c>
      <c r="F1" t="s">
        <v>1158</v>
      </c>
      <c r="G1" t="s">
        <v>1156</v>
      </c>
      <c r="H1" t="s">
        <v>228</v>
      </c>
      <c r="I1" t="s">
        <v>1157</v>
      </c>
      <c r="J1" t="s">
        <v>1098</v>
      </c>
      <c r="K1" t="s">
        <v>1159</v>
      </c>
      <c r="L1" t="s">
        <v>1097</v>
      </c>
      <c r="M1" t="s">
        <v>1182</v>
      </c>
      <c r="N1" t="s">
        <v>566</v>
      </c>
    </row>
    <row r="2" spans="1:14" x14ac:dyDescent="0.45">
      <c r="A2" t="s">
        <v>590</v>
      </c>
      <c r="B2" t="s">
        <v>399</v>
      </c>
      <c r="C2">
        <f>VLOOKUP(NSGGroups[[#This Row],[SNetID]], Subnets[#All], 2, FALSE)</f>
        <v>210</v>
      </c>
      <c r="D2" t="str">
        <f>"NSG_"&amp;NSGGroups[[#This Row],[SubnetName(computed)]]</f>
        <v>NSG_Web_210_SLG_CJIS_va</v>
      </c>
      <c r="E2" t="str">
        <f>LEFT(NSGGroups[[#This Row],[SubnetNumber(Computed)]]&amp;": "&amp; NSGGroups[[#This Row],[Application(Compluted)]]&amp;", Data Tier ("&amp;NSGGroups[[#This Row],[Tier]]&amp;") "&amp;NSGGroups[[#This Row],[SubDesc(Computed)]], 50)</f>
        <v>210: Web, Data Tier (2) HTTP and HTTPS services</v>
      </c>
      <c r="F2" t="str">
        <f>VLOOKUP(NSGGroups[[#This Row],[SNetID]], Subnets[], 4, FALSE)</f>
        <v>Web_210_SLG_CJIS_va</v>
      </c>
      <c r="G2" t="str">
        <f>VLOOKUP(NSGGroups[[#This Row],[SNetID]], Subnets[#All], 9, FALSE)</f>
        <v>Web</v>
      </c>
      <c r="H2">
        <v>2</v>
      </c>
      <c r="I2" t="str">
        <f>VLOOKUP(NSGGroups[[#This Row],[SNetID]], Subnets[#All], 11, FALSE)</f>
        <v>HTTP and HTTPS services</v>
      </c>
      <c r="J2" t="str">
        <f>VLOOKUP(NSGGroups[[#This Row],[SNetID]], Subnets[], 8, FALSE)</f>
        <v>va</v>
      </c>
      <c r="K2" t="s">
        <v>1161</v>
      </c>
      <c r="L2" t="str">
        <f>VLOOKUP(NSGGroups[[#This Row],[SNetID]], Subnets[], 5, FALSE)</f>
        <v>CJIS</v>
      </c>
      <c r="M2" t="str">
        <f>VLOOKUP(NSGGroups[[#This Row],[SNetID]], Subnets[#All], 12, FALSE)&amp;VLOOKUP(NSGGroups[[#This Row],[SNetID]], Subnets[#All], 13, FALSE)</f>
        <v>10.130.16.0/24</v>
      </c>
      <c r="N2" s="53" t="str">
        <f>"New-AzureNetworkSecurityGroup -Name '" &amp; NSGGroups[[#This Row],[Title]]&amp; "' -Location $VNETSite_"&amp;NSGGroups[[#This Row],[SiteNumber]]&amp;".location -Label '"&amp;NSGGroups[[#This Row],[Description]]&amp;"'"</f>
        <v>New-AzureNetworkSecurityGroup -Name 'NSG_Web_210_SLG_CJIS_va' -Location $VNETSite_CJIS1.location -Label '210: Web, Data Tier (2) HTTP and HTTPS services'</v>
      </c>
    </row>
    <row r="3" spans="1:14" x14ac:dyDescent="0.45">
      <c r="A3" t="s">
        <v>591</v>
      </c>
      <c r="B3" t="s">
        <v>400</v>
      </c>
      <c r="C3">
        <f>VLOOKUP(NSGGroups[[#This Row],[SNetID]], Subnets[#All], 2, FALSE)</f>
        <v>220</v>
      </c>
      <c r="D3" t="str">
        <f>"NSG_"&amp;NSGGroups[[#This Row],[SubnetName(computed)]]</f>
        <v>NSG_App_220_SLG_CJIS_va</v>
      </c>
      <c r="E3" t="str">
        <f>LEFT(NSGGroups[[#This Row],[SubnetNumber(Computed)]]&amp;": "&amp; NSGGroups[[#This Row],[Application(Compluted)]]&amp;", Data Tier ("&amp;NSGGroups[[#This Row],[Tier]]&amp;") "&amp;NSGGroups[[#This Row],[SubDesc(Computed)]], 50)</f>
        <v>220: App, Data Tier (1) Web Services, OEM applicat</v>
      </c>
      <c r="F3" t="str">
        <f>VLOOKUP(NSGGroups[[#This Row],[SNetID]], Subnets[], 4, FALSE)</f>
        <v>App_220_SLG_CJIS_va</v>
      </c>
      <c r="G3" t="str">
        <f>VLOOKUP(NSGGroups[[#This Row],[SNetID]], Subnets[#All], 9, FALSE)</f>
        <v>App</v>
      </c>
      <c r="H3">
        <v>1</v>
      </c>
      <c r="I3" t="str">
        <f>VLOOKUP(NSGGroups[[#This Row],[SNetID]], Subnets[#All], 11, FALSE)</f>
        <v>Web Services, OEM applications</v>
      </c>
      <c r="J3" t="str">
        <f>VLOOKUP(NSGGroups[[#This Row],[SNetID]], Subnets[], 8, FALSE)</f>
        <v>va</v>
      </c>
      <c r="K3" t="s">
        <v>1161</v>
      </c>
      <c r="L3" t="str">
        <f>VLOOKUP(NSGGroups[[#This Row],[SNetID]], Subnets[], 5, FALSE)</f>
        <v>CJIS</v>
      </c>
      <c r="M3" t="str">
        <f>VLOOKUP(NSGGroups[[#This Row],[SNetID]], Subnets[#All], 12, FALSE)&amp;VLOOKUP(NSGGroups[[#This Row],[SNetID]], Subnets[#All], 13, FALSE)</f>
        <v>10.130.18.0/24</v>
      </c>
      <c r="N3" s="53" t="str">
        <f>"New-AzureNetworkSecurityGroup -Name '" &amp; NSGGroups[[#This Row],[Title]]&amp; "' -Location $VNETSite_"&amp;NSGGroups[[#This Row],[SiteNumber]]&amp;".location -Label '"&amp;NSGGroups[[#This Row],[Description]]&amp;"'"</f>
        <v>New-AzureNetworkSecurityGroup -Name 'NSG_App_220_SLG_CJIS_va' -Location $VNETSite_CJIS1.location -Label '220: App, Data Tier (1) Web Services, OEM applicat'</v>
      </c>
    </row>
    <row r="4" spans="1:14" x14ac:dyDescent="0.45">
      <c r="A4" t="s">
        <v>592</v>
      </c>
      <c r="B4" t="s">
        <v>401</v>
      </c>
      <c r="C4">
        <f>VLOOKUP(NSGGroups[[#This Row],[SNetID]], Subnets[#All], 2, FALSE)</f>
        <v>230</v>
      </c>
      <c r="D4" t="str">
        <f>"NSG_"&amp;NSGGroups[[#This Row],[SubnetName(computed)]]</f>
        <v>NSG_DB_230_SLG_CJIS_va</v>
      </c>
      <c r="E4" t="str">
        <f>LEFT(NSGGroups[[#This Row],[SubnetNumber(Computed)]]&amp;": "&amp; NSGGroups[[#This Row],[Application(Compluted)]]&amp;", Data Tier ("&amp;NSGGroups[[#This Row],[Tier]]&amp;") "&amp;NSGGroups[[#This Row],[SubDesc(Computed)]], 50)</f>
        <v>230: DB, Data Tier (1) Data for Applications</v>
      </c>
      <c r="F4" t="str">
        <f>VLOOKUP(NSGGroups[[#This Row],[SNetID]], Subnets[], 4, FALSE)</f>
        <v>DB_230_SLG_CJIS_va</v>
      </c>
      <c r="G4" t="str">
        <f>VLOOKUP(NSGGroups[[#This Row],[SNetID]], Subnets[#All], 9, FALSE)</f>
        <v>DB</v>
      </c>
      <c r="H4">
        <v>1</v>
      </c>
      <c r="I4" t="str">
        <f>VLOOKUP(NSGGroups[[#This Row],[SNetID]], Subnets[#All], 11, FALSE)</f>
        <v>Data for Applications</v>
      </c>
      <c r="J4" t="str">
        <f>VLOOKUP(NSGGroups[[#This Row],[SNetID]], Subnets[], 8, FALSE)</f>
        <v>va</v>
      </c>
      <c r="K4" t="s">
        <v>1161</v>
      </c>
      <c r="L4" t="str">
        <f>VLOOKUP(NSGGroups[[#This Row],[SNetID]], Subnets[], 5, FALSE)</f>
        <v>CJIS</v>
      </c>
      <c r="M4" t="str">
        <f>VLOOKUP(NSGGroups[[#This Row],[SNetID]], Subnets[#All], 12, FALSE)&amp;VLOOKUP(NSGGroups[[#This Row],[SNetID]], Subnets[#All], 13, FALSE)</f>
        <v>10.130.20.0/24</v>
      </c>
      <c r="N4" s="53" t="str">
        <f>"New-AzureNetworkSecurityGroup -Name '" &amp; NSGGroups[[#This Row],[Title]]&amp; "' -Location $VNETSite_"&amp;NSGGroups[[#This Row],[SiteNumber]]&amp;".location -Label '"&amp;NSGGroups[[#This Row],[Description]]&amp;"'"</f>
        <v>New-AzureNetworkSecurityGroup -Name 'NSG_DB_230_SLG_CJIS_va' -Location $VNETSite_CJIS1.location -Label '230: DB, Data Tier (1) Data for Applications'</v>
      </c>
    </row>
    <row r="5" spans="1:14" x14ac:dyDescent="0.45">
      <c r="A5" t="s">
        <v>593</v>
      </c>
      <c r="B5" t="s">
        <v>402</v>
      </c>
      <c r="C5">
        <f>VLOOKUP(NSGGroups[[#This Row],[SNetID]], Subnets[#All], 2, FALSE)</f>
        <v>250</v>
      </c>
      <c r="D5" t="str">
        <f>"NSG_"&amp;NSGGroups[[#This Row],[SubnetName(computed)]]</f>
        <v>NSG_DMZ_250_SLG_CJIS_va</v>
      </c>
      <c r="E5" t="str">
        <f>LEFT(NSGGroups[[#This Row],[SubnetNumber(Computed)]]&amp;": "&amp; NSGGroups[[#This Row],[Application(Compluted)]]&amp;", Data Tier ("&amp;NSGGroups[[#This Row],[Tier]]&amp;") "&amp;NSGGroups[[#This Row],[SubDesc(Computed)]], 50)</f>
        <v>250: DMZ, Data Tier (2) Internet EndPoint Machines</v>
      </c>
      <c r="F5" t="str">
        <f>VLOOKUP(NSGGroups[[#This Row],[SNetID]], Subnets[], 4, FALSE)</f>
        <v>DMZ_250_SLG_CJIS_va</v>
      </c>
      <c r="G5" t="str">
        <f>VLOOKUP(NSGGroups[[#This Row],[SNetID]], Subnets[#All], 9, FALSE)</f>
        <v>DMZ</v>
      </c>
      <c r="H5">
        <v>2</v>
      </c>
      <c r="I5" t="str">
        <f>VLOOKUP(NSGGroups[[#This Row],[SNetID]], Subnets[#All], 11, FALSE)</f>
        <v>Internet EndPoint Machines</v>
      </c>
      <c r="J5" t="str">
        <f>VLOOKUP(NSGGroups[[#This Row],[SNetID]], Subnets[], 8, FALSE)</f>
        <v>va</v>
      </c>
      <c r="K5" t="s">
        <v>1161</v>
      </c>
      <c r="L5" t="str">
        <f>VLOOKUP(NSGGroups[[#This Row],[SNetID]], Subnets[], 5, FALSE)</f>
        <v>CJIS</v>
      </c>
      <c r="M5" t="str">
        <f>VLOOKUP(NSGGroups[[#This Row],[SNetID]], Subnets[#All], 12, FALSE)&amp;VLOOKUP(NSGGroups[[#This Row],[SNetID]], Subnets[#All], 13, FALSE)</f>
        <v>10.130.22.0/24</v>
      </c>
      <c r="N5" s="53" t="str">
        <f>"New-AzureNetworkSecurityGroup -Name '" &amp; NSGGroups[[#This Row],[Title]]&amp; "' -Location $VNETSite_"&amp;NSGGroups[[#This Row],[SiteNumber]]&amp;".location -Label '"&amp;NSGGroups[[#This Row],[Description]]&amp;"'"</f>
        <v>New-AzureNetworkSecurityGroup -Name 'NSG_DMZ_250_SLG_CJIS_va' -Location $VNETSite_CJIS1.location -Label '250: DMZ, Data Tier (2) Internet EndPoint Machines'</v>
      </c>
    </row>
    <row r="6" spans="1:14" x14ac:dyDescent="0.45">
      <c r="A6" t="s">
        <v>594</v>
      </c>
      <c r="B6" t="s">
        <v>403</v>
      </c>
      <c r="C6">
        <f>VLOOKUP(NSGGroups[[#This Row],[SNetID]], Subnets[#All], 2, FALSE)</f>
        <v>260</v>
      </c>
      <c r="D6" t="str">
        <f>"NSG_"&amp;NSGGroups[[#This Row],[SubnetName(computed)]]</f>
        <v>NSG_User_Tier0_260_SLG_CJIS_va</v>
      </c>
      <c r="E6" t="str">
        <f>LEFT(NSGGroups[[#This Row],[SubnetNumber(Computed)]]&amp;": "&amp; NSGGroups[[#This Row],[Application(Compluted)]]&amp;", Data Tier ("&amp;NSGGroups[[#This Row],[Tier]]&amp;") "&amp;NSGGroups[[#This Row],[SubDesc(Computed)]], 50)</f>
        <v>260: User_Tier0, Data Tier (0) Tier 0 - Direct Con</v>
      </c>
      <c r="F6" t="str">
        <f>VLOOKUP(NSGGroups[[#This Row],[SNetID]], Subnets[], 4, FALSE)</f>
        <v>User_Tier0_260_SLG_CJIS_va</v>
      </c>
      <c r="G6" t="str">
        <f>VLOOKUP(NSGGroups[[#This Row],[SNetID]], Subnets[#All], 9, FALSE)</f>
        <v>User_Tier0</v>
      </c>
      <c r="H6">
        <f>VLOOKUP(NSGGroups[[#This Row],[SNetID]], Subnets[#All], 10, FALSE)</f>
        <v>0</v>
      </c>
      <c r="I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 t="str">
        <f>VLOOKUP(NSGGroups[[#This Row],[SNetID]], Subnets[], 8, FALSE)</f>
        <v>va</v>
      </c>
      <c r="K6" t="s">
        <v>1161</v>
      </c>
      <c r="L6" t="str">
        <f>VLOOKUP(NSGGroups[[#This Row],[SNetID]], Subnets[], 5, FALSE)</f>
        <v>CJIS</v>
      </c>
      <c r="M6" t="str">
        <f>VLOOKUP(NSGGroups[[#This Row],[SNetID]], Subnets[#All], 12, FALSE)&amp;VLOOKUP(NSGGroups[[#This Row],[SNetID]], Subnets[#All], 13, FALSE)</f>
        <v>10.130.26.0/25</v>
      </c>
      <c r="N6" s="53" t="str">
        <f>"New-AzureNetworkSecurityGroup -Name '" &amp; NSGGroups[[#This Row],[Title]]&amp; "' -Location $VNETSite_"&amp;NSGGroups[[#This Row],[SiteNumber]]&amp;".location -Label '"&amp;NSGGroups[[#This Row],[Description]]&amp;"'"</f>
        <v>New-AzureNetworkSecurityGroup -Name 'NSG_User_Tier0_260_SLG_CJIS_va' -Location $VNETSite_CJIS1.location -Label '260: User_Tier0, Data Tier (0) Tier 0 - Direct Con'</v>
      </c>
    </row>
    <row r="7" spans="1:14" x14ac:dyDescent="0.45">
      <c r="A7" t="s">
        <v>595</v>
      </c>
      <c r="B7" t="s">
        <v>404</v>
      </c>
      <c r="C7">
        <f>VLOOKUP(NSGGroups[[#This Row],[SNetID]], Subnets[#All], 2, FALSE)</f>
        <v>261</v>
      </c>
      <c r="D7" t="str">
        <f>"NSG_"&amp;NSGGroups[[#This Row],[SubnetName(computed)]]</f>
        <v>NSG_Users_Tier1_261_SLG_CJIS_va</v>
      </c>
      <c r="E7" t="str">
        <f>LEFT(NSGGroups[[#This Row],[SubnetNumber(Computed)]]&amp;": "&amp; NSGGroups[[#This Row],[Application(Compluted)]]&amp;", Data Tier ("&amp;NSGGroups[[#This Row],[Tier]]&amp;") "&amp;NSGGroups[[#This Row],[SubDesc(Computed)]], 50)</f>
        <v>261: Users_Tier1, Data Tier (1) Tier 1 administrat</v>
      </c>
      <c r="F7" t="str">
        <f>VLOOKUP(NSGGroups[[#This Row],[SNetID]], Subnets[], 4, FALSE)</f>
        <v>Users_Tier1_261_SLG_CJIS_va</v>
      </c>
      <c r="G7" t="str">
        <f>VLOOKUP(NSGGroups[[#This Row],[SNetID]], Subnets[#All], 9, FALSE)</f>
        <v>Users_Tier1</v>
      </c>
      <c r="H7">
        <v>1</v>
      </c>
      <c r="I7" t="str">
        <f>VLOOKUP(NSGGroups[[#This Row],[SNetID]], Subnets[#All], 11, FALSE)</f>
        <v>Tier 1 administrator - manage enterprise servers, services, and applications</v>
      </c>
      <c r="J7" t="str">
        <f>VLOOKUP(NSGGroups[[#This Row],[SNetID]], Subnets[], 8, FALSE)</f>
        <v>va</v>
      </c>
      <c r="K7" t="s">
        <v>1161</v>
      </c>
      <c r="L7" t="str">
        <f>VLOOKUP(NSGGroups[[#This Row],[SNetID]], Subnets[], 5, FALSE)</f>
        <v>CJIS</v>
      </c>
      <c r="M7" t="str">
        <f>VLOOKUP(NSGGroups[[#This Row],[SNetID]], Subnets[#All], 12, FALSE)&amp;VLOOKUP(NSGGroups[[#This Row],[SNetID]], Subnets[#All], 13, FALSE)</f>
        <v>10.130.26.128/25</v>
      </c>
      <c r="N7" s="53" t="str">
        <f>"New-AzureNetworkSecurityGroup -Name '" &amp; NSGGroups[[#This Row],[Title]]&amp; "' -Location $VNETSite_"&amp;NSGGroups[[#This Row],[SiteNumber]]&amp;".location -Label '"&amp;NSGGroups[[#This Row],[Description]]&amp;"'"</f>
        <v>New-AzureNetworkSecurityGroup -Name 'NSG_Users_Tier1_261_SLG_CJIS_va' -Location $VNETSite_CJIS1.location -Label '261: Users_Tier1, Data Tier (1) Tier 1 administrat'</v>
      </c>
    </row>
    <row r="8" spans="1:14" x14ac:dyDescent="0.45">
      <c r="A8" t="s">
        <v>596</v>
      </c>
      <c r="B8" t="s">
        <v>409</v>
      </c>
      <c r="C8">
        <f>VLOOKUP(NSGGroups[[#This Row],[SNetID]], Subnets[#All], 2, FALSE)</f>
        <v>210</v>
      </c>
      <c r="D8" t="str">
        <f>"NSG_"&amp;NSGGroups[[#This Row],[SubnetName(computed)]]</f>
        <v>NSG_Web_210_SLG_CJIS_ia</v>
      </c>
      <c r="E8" t="str">
        <f>LEFT(NSGGroups[[#This Row],[SubnetNumber(Computed)]]&amp;": "&amp; NSGGroups[[#This Row],[Application(Compluted)]]&amp;", Data Tier ("&amp;NSGGroups[[#This Row],[Tier]]&amp;") "&amp;NSGGroups[[#This Row],[SubDesc(Computed)]], 50)</f>
        <v>210: Web, Data Tier (2) HTTP and HTTPS services</v>
      </c>
      <c r="F8" t="str">
        <f>VLOOKUP(NSGGroups[[#This Row],[SNetID]], Subnets[], 4, FALSE)</f>
        <v>Web_210_SLG_CJIS_ia</v>
      </c>
      <c r="G8" t="str">
        <f>VLOOKUP(NSGGroups[[#This Row],[SNetID]], Subnets[#All], 9, FALSE)</f>
        <v>Web</v>
      </c>
      <c r="H8">
        <v>2</v>
      </c>
      <c r="I8" t="str">
        <f>VLOOKUP(NSGGroups[[#This Row],[SNetID]], Subnets[#All], 11, FALSE)</f>
        <v>HTTP and HTTPS services</v>
      </c>
      <c r="J8" t="str">
        <f>VLOOKUP(NSGGroups[[#This Row],[SNetID]], Subnets[], 8, FALSE)</f>
        <v>ia</v>
      </c>
      <c r="K8" t="s">
        <v>1160</v>
      </c>
      <c r="L8" t="str">
        <f>VLOOKUP(NSGGroups[[#This Row],[SNetID]], Subnets[], 5, FALSE)</f>
        <v>CJIS</v>
      </c>
      <c r="M8" t="str">
        <f>VLOOKUP(NSGGroups[[#This Row],[SNetID]], Subnets[#All], 12, FALSE)&amp;VLOOKUP(NSGGroups[[#This Row],[SNetID]], Subnets[#All], 13, FALSE)</f>
        <v>10.130.80.0/24</v>
      </c>
      <c r="N8" s="53" t="str">
        <f>"New-AzureNetworkSecurityGroup -Name '" &amp; NSGGroups[[#This Row],[Title]]&amp; "' -Location $VNETSite_"&amp;NSGGroups[[#This Row],[SiteNumber]]&amp;".location -Label '"&amp;NSGGroups[[#This Row],[Description]]&amp;"'"</f>
        <v>New-AzureNetworkSecurityGroup -Name 'NSG_Web_210_SLG_CJIS_ia' -Location $VNETSite_CJIS2.location -Label '210: Web, Data Tier (2) HTTP and HTTPS services'</v>
      </c>
    </row>
    <row r="9" spans="1:14" x14ac:dyDescent="0.45">
      <c r="A9" t="s">
        <v>597</v>
      </c>
      <c r="B9" t="s">
        <v>410</v>
      </c>
      <c r="C9">
        <f>VLOOKUP(NSGGroups[[#This Row],[SNetID]], Subnets[#All], 2, FALSE)</f>
        <v>220</v>
      </c>
      <c r="D9" t="str">
        <f>"NSG_"&amp;NSGGroups[[#This Row],[SubnetName(computed)]]</f>
        <v>NSG_App_220_SLG_CJIS_ia</v>
      </c>
      <c r="E9" t="str">
        <f>LEFT(NSGGroups[[#This Row],[SubnetNumber(Computed)]]&amp;": "&amp; NSGGroups[[#This Row],[Application(Compluted)]]&amp;", Data Tier ("&amp;NSGGroups[[#This Row],[Tier]]&amp;") "&amp;NSGGroups[[#This Row],[SubDesc(Computed)]], 50)</f>
        <v>220: App, Data Tier (1) Web Services, OEM applicat</v>
      </c>
      <c r="F9" t="str">
        <f>VLOOKUP(NSGGroups[[#This Row],[SNetID]], Subnets[], 4, FALSE)</f>
        <v>App_220_SLG_CJIS_ia</v>
      </c>
      <c r="G9" t="str">
        <f>VLOOKUP(NSGGroups[[#This Row],[SNetID]], Subnets[#All], 9, FALSE)</f>
        <v>App</v>
      </c>
      <c r="H9">
        <v>1</v>
      </c>
      <c r="I9" t="str">
        <f>VLOOKUP(NSGGroups[[#This Row],[SNetID]], Subnets[#All], 11, FALSE)</f>
        <v>Web Services, OEM applications</v>
      </c>
      <c r="J9" t="str">
        <f>VLOOKUP(NSGGroups[[#This Row],[SNetID]], Subnets[], 8, FALSE)</f>
        <v>ia</v>
      </c>
      <c r="K9" t="s">
        <v>1160</v>
      </c>
      <c r="L9" t="str">
        <f>VLOOKUP(NSGGroups[[#This Row],[SNetID]], Subnets[], 5, FALSE)</f>
        <v>CJIS</v>
      </c>
      <c r="M9" t="str">
        <f>VLOOKUP(NSGGroups[[#This Row],[SNetID]], Subnets[#All], 12, FALSE)&amp;VLOOKUP(NSGGroups[[#This Row],[SNetID]], Subnets[#All], 13, FALSE)</f>
        <v>10.130.82.0/24</v>
      </c>
      <c r="N9" s="53" t="str">
        <f>"New-AzureNetworkSecurityGroup -Name '" &amp; NSGGroups[[#This Row],[Title]]&amp; "' -Location $VNETSite_"&amp;NSGGroups[[#This Row],[SiteNumber]]&amp;".location -Label '"&amp;NSGGroups[[#This Row],[Description]]&amp;"'"</f>
        <v>New-AzureNetworkSecurityGroup -Name 'NSG_App_220_SLG_CJIS_ia' -Location $VNETSite_CJIS2.location -Label '220: App, Data Tier (1) Web Services, OEM applicat'</v>
      </c>
    </row>
    <row r="10" spans="1:14" x14ac:dyDescent="0.45">
      <c r="A10" t="s">
        <v>598</v>
      </c>
      <c r="B10" t="s">
        <v>411</v>
      </c>
      <c r="C10">
        <f>VLOOKUP(NSGGroups[[#This Row],[SNetID]], Subnets[#All], 2, FALSE)</f>
        <v>230</v>
      </c>
      <c r="D10" t="str">
        <f>"NSG_"&amp;NSGGroups[[#This Row],[SubnetName(computed)]]</f>
        <v>NSG_Database_230_SLG_CJIS_ia</v>
      </c>
      <c r="E10" t="str">
        <f>LEFT(NSGGroups[[#This Row],[SubnetNumber(Computed)]]&amp;": "&amp; NSGGroups[[#This Row],[Application(Compluted)]]&amp;", Data Tier ("&amp;NSGGroups[[#This Row],[Tier]]&amp;") "&amp;NSGGroups[[#This Row],[SubDesc(Computed)]], 50)</f>
        <v>230: Database, Data Tier (1) Data for Applications</v>
      </c>
      <c r="F10" t="str">
        <f>VLOOKUP(NSGGroups[[#This Row],[SNetID]], Subnets[], 4, FALSE)</f>
        <v>Database_230_SLG_CJIS_ia</v>
      </c>
      <c r="G10" t="str">
        <f>VLOOKUP(NSGGroups[[#This Row],[SNetID]], Subnets[#All], 9, FALSE)</f>
        <v>Database</v>
      </c>
      <c r="H10">
        <v>1</v>
      </c>
      <c r="I10" t="str">
        <f>VLOOKUP(NSGGroups[[#This Row],[SNetID]], Subnets[#All], 11, FALSE)</f>
        <v>Data for Applications</v>
      </c>
      <c r="J10" t="str">
        <f>VLOOKUP(NSGGroups[[#This Row],[SNetID]], Subnets[], 8, FALSE)</f>
        <v>ia</v>
      </c>
      <c r="K10" t="s">
        <v>1160</v>
      </c>
      <c r="L10" t="str">
        <f>VLOOKUP(NSGGroups[[#This Row],[SNetID]], Subnets[], 5, FALSE)</f>
        <v>CJIS</v>
      </c>
      <c r="M10" t="str">
        <f>VLOOKUP(NSGGroups[[#This Row],[SNetID]], Subnets[#All], 12, FALSE)&amp;VLOOKUP(NSGGroups[[#This Row],[SNetID]], Subnets[#All], 13, FALSE)</f>
        <v>10.130.84.0/24</v>
      </c>
      <c r="N10" s="53" t="str">
        <f>"New-AzureNetworkSecurityGroup -Name '" &amp; NSGGroups[[#This Row],[Title]]&amp; "' -Location $VNETSite_"&amp;NSGGroups[[#This Row],[SiteNumber]]&amp;".location -Label '"&amp;NSGGroups[[#This Row],[Description]]&amp;"'"</f>
        <v>New-AzureNetworkSecurityGroup -Name 'NSG_Database_230_SLG_CJIS_ia' -Location $VNETSite_CJIS2.location -Label '230: Database, Data Tier (1) Data for Applications'</v>
      </c>
    </row>
    <row r="11" spans="1:14" x14ac:dyDescent="0.45">
      <c r="A11" t="s">
        <v>599</v>
      </c>
      <c r="B11" t="s">
        <v>412</v>
      </c>
      <c r="C11">
        <f>VLOOKUP(NSGGroups[[#This Row],[SNetID]], Subnets[#All], 2, FALSE)</f>
        <v>250</v>
      </c>
      <c r="D11" t="str">
        <f>"NSG_"&amp;NSGGroups[[#This Row],[SubnetName(computed)]]</f>
        <v>NSG_DMZ_250_SLG_CJIS_ia</v>
      </c>
      <c r="E11" t="str">
        <f>LEFT(NSGGroups[[#This Row],[SubnetNumber(Computed)]]&amp;": "&amp; NSGGroups[[#This Row],[Application(Compluted)]]&amp;", Data Tier ("&amp;NSGGroups[[#This Row],[Tier]]&amp;") "&amp;NSGGroups[[#This Row],[SubDesc(Computed)]], 50)</f>
        <v>250: DMZ, Data Tier (2) Internet EndPoint Machines</v>
      </c>
      <c r="F11" t="str">
        <f>VLOOKUP(NSGGroups[[#This Row],[SNetID]], Subnets[], 4, FALSE)</f>
        <v>DMZ_250_SLG_CJIS_ia</v>
      </c>
      <c r="G11" t="str">
        <f>VLOOKUP(NSGGroups[[#This Row],[SNetID]], Subnets[#All], 9, FALSE)</f>
        <v>DMZ</v>
      </c>
      <c r="H11">
        <v>2</v>
      </c>
      <c r="I11" t="str">
        <f>VLOOKUP(NSGGroups[[#This Row],[SNetID]], Subnets[#All], 11, FALSE)</f>
        <v>Internet EndPoint Machines</v>
      </c>
      <c r="J11" t="str">
        <f>VLOOKUP(NSGGroups[[#This Row],[SNetID]], Subnets[], 8, FALSE)</f>
        <v>ia</v>
      </c>
      <c r="K11" t="s">
        <v>1160</v>
      </c>
      <c r="L11" t="str">
        <f>VLOOKUP(NSGGroups[[#This Row],[SNetID]], Subnets[], 5, FALSE)</f>
        <v>CJIS</v>
      </c>
      <c r="M11" t="str">
        <f>VLOOKUP(NSGGroups[[#This Row],[SNetID]], Subnets[#All], 12, FALSE)&amp;VLOOKUP(NSGGroups[[#This Row],[SNetID]], Subnets[#All], 13, FALSE)</f>
        <v>10.130.86.0/24</v>
      </c>
      <c r="N11" s="53" t="str">
        <f>"New-AzureNetworkSecurityGroup -Name '" &amp; NSGGroups[[#This Row],[Title]]&amp; "' -Location $VNETSite_"&amp;NSGGroups[[#This Row],[SiteNumber]]&amp;".location -Label '"&amp;NSGGroups[[#This Row],[Description]]&amp;"'"</f>
        <v>New-AzureNetworkSecurityGroup -Name 'NSG_DMZ_250_SLG_CJIS_ia' -Location $VNETSite_CJIS2.location -Label '250: DMZ, Data Tier (2) Internet EndPoint Machines'</v>
      </c>
    </row>
    <row r="12" spans="1:14" x14ac:dyDescent="0.45">
      <c r="A12" t="s">
        <v>600</v>
      </c>
      <c r="B12" t="s">
        <v>413</v>
      </c>
      <c r="C12">
        <f>VLOOKUP(NSGGroups[[#This Row],[SNetID]], Subnets[#All], 2, FALSE)</f>
        <v>260</v>
      </c>
      <c r="D12" t="str">
        <f>"NSG_"&amp;NSGGroups[[#This Row],[SubnetName(computed)]]</f>
        <v>NSG_User_Tier0_260_SLG_CJIS_ia</v>
      </c>
      <c r="E12" t="str">
        <f>LEFT(NSGGroups[[#This Row],[SubnetNumber(Computed)]]&amp;": "&amp; NSGGroups[[#This Row],[Application(Compluted)]]&amp;", Data Tier ("&amp;NSGGroups[[#This Row],[Tier]]&amp;") "&amp;NSGGroups[[#This Row],[SubDesc(Computed)]], 50)</f>
        <v>260: User_Tier0, Data Tier (0) Tier 0 - Direct Con</v>
      </c>
      <c r="F12" t="str">
        <f>VLOOKUP(NSGGroups[[#This Row],[SNetID]], Subnets[], 4, FALSE)</f>
        <v>User_Tier0_260_SLG_CJIS_ia</v>
      </c>
      <c r="G12" t="str">
        <f>VLOOKUP(NSGGroups[[#This Row],[SNetID]], Subnets[#All], 9, FALSE)</f>
        <v>User_Tier0</v>
      </c>
      <c r="H12">
        <f>VLOOKUP(NSGGroups[[#This Row],[SNetID]], Subnets[#All], 10, FALSE)</f>
        <v>0</v>
      </c>
      <c r="I1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2" t="str">
        <f>VLOOKUP(NSGGroups[[#This Row],[SNetID]], Subnets[], 8, FALSE)</f>
        <v>ia</v>
      </c>
      <c r="K12" t="s">
        <v>1160</v>
      </c>
      <c r="L12" t="str">
        <f>VLOOKUP(NSGGroups[[#This Row],[SNetID]], Subnets[], 5, FALSE)</f>
        <v>CJIS</v>
      </c>
      <c r="M12" t="str">
        <f>VLOOKUP(NSGGroups[[#This Row],[SNetID]], Subnets[#All], 12, FALSE)&amp;VLOOKUP(NSGGroups[[#This Row],[SNetID]], Subnets[#All], 13, FALSE)</f>
        <v>10.130.88.0/25</v>
      </c>
      <c r="N12" s="53" t="str">
        <f>"New-AzureNetworkSecurityGroup -Name '" &amp; NSGGroups[[#This Row],[Title]]&amp; "' -Location $VNETSite_"&amp;NSGGroups[[#This Row],[SiteNumber]]&amp;".location -Label '"&amp;NSGGroups[[#This Row],[Description]]&amp;"'"</f>
        <v>New-AzureNetworkSecurityGroup -Name 'NSG_User_Tier0_260_SLG_CJIS_ia' -Location $VNETSite_CJIS2.location -Label '260: User_Tier0, Data Tier (0) Tier 0 - Direct Con'</v>
      </c>
    </row>
    <row r="13" spans="1:14" x14ac:dyDescent="0.45">
      <c r="A13" t="s">
        <v>1040</v>
      </c>
      <c r="B13" t="s">
        <v>414</v>
      </c>
      <c r="C13">
        <f>VLOOKUP(NSGGroups[[#This Row],[SNetID]], Subnets[#All], 2, FALSE)</f>
        <v>261</v>
      </c>
      <c r="D13" t="str">
        <f>"NSG_"&amp;NSGGroups[[#This Row],[SubnetName(computed)]]</f>
        <v>NSG_User_Tier1_261_SLG_CJIS_ia</v>
      </c>
      <c r="E13" t="str">
        <f>LEFT(NSGGroups[[#This Row],[SubnetNumber(Computed)]]&amp;": "&amp; NSGGroups[[#This Row],[Application(Compluted)]]&amp;", Data Tier ("&amp;NSGGroups[[#This Row],[Tier]]&amp;") "&amp;NSGGroups[[#This Row],[SubDesc(Computed)]], 50)</f>
        <v>261: User_Tier1, Data Tier (1) Tier 1 administrato</v>
      </c>
      <c r="F13" t="str">
        <f>VLOOKUP(NSGGroups[[#This Row],[SNetID]], Subnets[], 4, FALSE)</f>
        <v>User_Tier1_261_SLG_CJIS_ia</v>
      </c>
      <c r="G13" t="str">
        <f>VLOOKUP(NSGGroups[[#This Row],[SNetID]], Subnets[#All], 9, FALSE)</f>
        <v>User_Tier1</v>
      </c>
      <c r="H13">
        <v>1</v>
      </c>
      <c r="I13" t="str">
        <f>VLOOKUP(NSGGroups[[#This Row],[SNetID]], Subnets[#All], 11, FALSE)</f>
        <v>Tier 1 administrator - manage enterprise servers, services, and applications</v>
      </c>
      <c r="J13" t="str">
        <f>VLOOKUP(NSGGroups[[#This Row],[SNetID]], Subnets[], 8, FALSE)</f>
        <v>ia</v>
      </c>
      <c r="K13" t="s">
        <v>1160</v>
      </c>
      <c r="L13" t="str">
        <f>VLOOKUP(NSGGroups[[#This Row],[SNetID]], Subnets[], 5, FALSE)</f>
        <v>CJIS</v>
      </c>
      <c r="M13" t="str">
        <f>VLOOKUP(NSGGroups[[#This Row],[SNetID]], Subnets[#All], 12, FALSE)&amp;VLOOKUP(NSGGroups[[#This Row],[SNetID]], Subnets[#All], 13, FALSE)</f>
        <v>10.130.88.128/25</v>
      </c>
      <c r="N13" s="53" t="str">
        <f>"New-AzureNetworkSecurityGroup -Name '" &amp; NSGGroups[[#This Row],[Title]]&amp; "' -Location $VNETSite_"&amp;NSGGroups[[#This Row],[SiteNumber]]&amp;".location -Label '"&amp;NSGGroups[[#This Row],[Description]]&amp;"'"</f>
        <v>New-AzureNetworkSecurityGroup -Name 'NSG_User_Tier1_261_SLG_CJIS_ia' -Location $VNETSite_CJIS2.location -Label '261: User_Tier1, Data Tier (1) Tier 1 administrato'</v>
      </c>
    </row>
    <row r="14" spans="1:14" x14ac:dyDescent="0.45">
      <c r="A14" t="s">
        <v>1041</v>
      </c>
      <c r="B14" t="s">
        <v>418</v>
      </c>
      <c r="C14">
        <f>VLOOKUP(NSGGroups[[#This Row],[SNetID]], Subnets[#All], 2, FALSE)</f>
        <v>310</v>
      </c>
      <c r="D14" t="str">
        <f>"NSG_"&amp;NSGGroups[[#This Row],[SubnetName(computed)]]</f>
        <v>NSG_Web_310_SLG_Test_va</v>
      </c>
      <c r="E14" t="str">
        <f>LEFT(NSGGroups[[#This Row],[SubnetNumber(Computed)]]&amp;": "&amp; NSGGroups[[#This Row],[Application(Compluted)]]&amp;", Data Tier ("&amp;NSGGroups[[#This Row],[Tier]]&amp;") "&amp;NSGGroups[[#This Row],[SubDesc(Computed)]], 50)</f>
        <v>310: Web, Data Tier (2) HTTP and HTTPS services</v>
      </c>
      <c r="F14" t="str">
        <f>VLOOKUP(NSGGroups[[#This Row],[SNetID]], Subnets[], 4, FALSE)</f>
        <v>Web_310_SLG_Test_va</v>
      </c>
      <c r="G14" t="str">
        <f>VLOOKUP(NSGGroups[[#This Row],[SNetID]], Subnets[#All], 9, FALSE)</f>
        <v>Web</v>
      </c>
      <c r="H14">
        <v>2</v>
      </c>
      <c r="I14" t="str">
        <f>VLOOKUP(NSGGroups[[#This Row],[SNetID]], Subnets[#All], 11, FALSE)</f>
        <v>HTTP and HTTPS services</v>
      </c>
      <c r="J14" t="str">
        <f>VLOOKUP(NSGGroups[[#This Row],[SNetID]], Subnets[], 8, FALSE)</f>
        <v>va</v>
      </c>
      <c r="K14" t="s">
        <v>1163</v>
      </c>
      <c r="L14" t="str">
        <f>VLOOKUP(NSGGroups[[#This Row],[SNetID]], Subnets[], 5, FALSE)</f>
        <v>Test</v>
      </c>
      <c r="M14" t="str">
        <f>VLOOKUP(NSGGroups[[#This Row],[SNetID]], Subnets[#All], 12, FALSE)&amp;VLOOKUP(NSGGroups[[#This Row],[SNetID]], Subnets[#All], 13, FALSE)</f>
        <v>10.130.32.0/24</v>
      </c>
      <c r="N14" s="53" t="str">
        <f>"New-AzureNetworkSecurityGroup -Name '" &amp; NSGGroups[[#This Row],[Title]]&amp; "' -Location $VNETSite_"&amp;NSGGroups[[#This Row],[SiteNumber]]&amp;".location -Label '"&amp;NSGGroups[[#This Row],[Description]]&amp;"'"</f>
        <v>New-AzureNetworkSecurityGroup -Name 'NSG_Web_310_SLG_Test_va' -Location $VNETSite_PreProd1.location -Label '310: Web, Data Tier (2) HTTP and HTTPS services'</v>
      </c>
    </row>
    <row r="15" spans="1:14" x14ac:dyDescent="0.45">
      <c r="A15" t="s">
        <v>1042</v>
      </c>
      <c r="B15" t="s">
        <v>419</v>
      </c>
      <c r="C15">
        <f>VLOOKUP(NSGGroups[[#This Row],[SNetID]], Subnets[#All], 2, FALSE)</f>
        <v>320</v>
      </c>
      <c r="D15" t="str">
        <f>"NSG_"&amp;NSGGroups[[#This Row],[SubnetName(computed)]]</f>
        <v>NSG_App_320_SLG_Test_va</v>
      </c>
      <c r="E15" t="str">
        <f>LEFT(NSGGroups[[#This Row],[SubnetNumber(Computed)]]&amp;": "&amp; NSGGroups[[#This Row],[Application(Compluted)]]&amp;", Data Tier ("&amp;NSGGroups[[#This Row],[Tier]]&amp;") "&amp;NSGGroups[[#This Row],[SubDesc(Computed)]], 50)</f>
        <v>320: App, Data Tier (1) Web Services, OEM applicat</v>
      </c>
      <c r="F15" t="str">
        <f>VLOOKUP(NSGGroups[[#This Row],[SNetID]], Subnets[], 4, FALSE)</f>
        <v>App_320_SLG_Test_va</v>
      </c>
      <c r="G15" t="str">
        <f>VLOOKUP(NSGGroups[[#This Row],[SNetID]], Subnets[#All], 9, FALSE)</f>
        <v>App</v>
      </c>
      <c r="H15">
        <v>1</v>
      </c>
      <c r="I15" t="str">
        <f>VLOOKUP(NSGGroups[[#This Row],[SNetID]], Subnets[#All], 11, FALSE)</f>
        <v>Web Services, OEM applications</v>
      </c>
      <c r="J15" t="str">
        <f>VLOOKUP(NSGGroups[[#This Row],[SNetID]], Subnets[], 8, FALSE)</f>
        <v>va</v>
      </c>
      <c r="K15" t="s">
        <v>1163</v>
      </c>
      <c r="L15" t="str">
        <f>VLOOKUP(NSGGroups[[#This Row],[SNetID]], Subnets[], 5, FALSE)</f>
        <v>Test</v>
      </c>
      <c r="M15" t="str">
        <f>VLOOKUP(NSGGroups[[#This Row],[SNetID]], Subnets[#All], 12, FALSE)&amp;VLOOKUP(NSGGroups[[#This Row],[SNetID]], Subnets[#All], 13, FALSE)</f>
        <v>10.130.33.0/24</v>
      </c>
      <c r="N15" s="53" t="str">
        <f>"New-AzureNetworkSecurityGroup -Name '" &amp; NSGGroups[[#This Row],[Title]]&amp; "' -Location $VNETSite_"&amp;NSGGroups[[#This Row],[SiteNumber]]&amp;".location -Label '"&amp;NSGGroups[[#This Row],[Description]]&amp;"'"</f>
        <v>New-AzureNetworkSecurityGroup -Name 'NSG_App_320_SLG_Test_va' -Location $VNETSite_PreProd1.location -Label '320: App, Data Tier (1) Web Services, OEM applicat'</v>
      </c>
    </row>
    <row r="16" spans="1:14" x14ac:dyDescent="0.45">
      <c r="A16" t="s">
        <v>1043</v>
      </c>
      <c r="B16" t="s">
        <v>420</v>
      </c>
      <c r="C16">
        <f>VLOOKUP(NSGGroups[[#This Row],[SNetID]], Subnets[#All], 2, FALSE)</f>
        <v>330</v>
      </c>
      <c r="D16" t="str">
        <f>"NSG_"&amp;NSGGroups[[#This Row],[SubnetName(computed)]]</f>
        <v>NSG_Database_330_SLG_Test_va</v>
      </c>
      <c r="E16" t="str">
        <f>LEFT(NSGGroups[[#This Row],[SubnetNumber(Computed)]]&amp;": "&amp; NSGGroups[[#This Row],[Application(Compluted)]]&amp;", Data Tier ("&amp;NSGGroups[[#This Row],[Tier]]&amp;") "&amp;NSGGroups[[#This Row],[SubDesc(Computed)]], 50)</f>
        <v>330: Database, Data Tier (1) Data for Applications</v>
      </c>
      <c r="F16" t="str">
        <f>VLOOKUP(NSGGroups[[#This Row],[SNetID]], Subnets[], 4, FALSE)</f>
        <v>Database_330_SLG_Test_va</v>
      </c>
      <c r="G16" t="str">
        <f>VLOOKUP(NSGGroups[[#This Row],[SNetID]], Subnets[#All], 9, FALSE)</f>
        <v>Database</v>
      </c>
      <c r="H16">
        <v>1</v>
      </c>
      <c r="I16" t="str">
        <f>VLOOKUP(NSGGroups[[#This Row],[SNetID]], Subnets[#All], 11, FALSE)</f>
        <v>Data for Applications</v>
      </c>
      <c r="J16" t="str">
        <f>VLOOKUP(NSGGroups[[#This Row],[SNetID]], Subnets[], 8, FALSE)</f>
        <v>va</v>
      </c>
      <c r="K16" t="s">
        <v>1163</v>
      </c>
      <c r="L16" t="str">
        <f>VLOOKUP(NSGGroups[[#This Row],[SNetID]], Subnets[], 5, FALSE)</f>
        <v>Test</v>
      </c>
      <c r="M16" t="str">
        <f>VLOOKUP(NSGGroups[[#This Row],[SNetID]], Subnets[#All], 12, FALSE)&amp;VLOOKUP(NSGGroups[[#This Row],[SNetID]], Subnets[#All], 13, FALSE)</f>
        <v>10.130.34.0/24</v>
      </c>
      <c r="N16" s="53" t="str">
        <f>"New-AzureNetworkSecurityGroup -Name '" &amp; NSGGroups[[#This Row],[Title]]&amp; "' -Location $VNETSite_"&amp;NSGGroups[[#This Row],[SiteNumber]]&amp;".location -Label '"&amp;NSGGroups[[#This Row],[Description]]&amp;"'"</f>
        <v>New-AzureNetworkSecurityGroup -Name 'NSG_Database_330_SLG_Test_va' -Location $VNETSite_PreProd1.location -Label '330: Database, Data Tier (1) Data for Applications'</v>
      </c>
    </row>
    <row r="17" spans="1:14" x14ac:dyDescent="0.45">
      <c r="A17" t="s">
        <v>1044</v>
      </c>
      <c r="B17" t="s">
        <v>421</v>
      </c>
      <c r="C17">
        <f>VLOOKUP(NSGGroups[[#This Row],[SNetID]], Subnets[#All], 2, FALSE)</f>
        <v>350</v>
      </c>
      <c r="D17" t="str">
        <f>"NSG_"&amp;NSGGroups[[#This Row],[SubnetName(computed)]]</f>
        <v>NSG_DMZ_350_SLG_Test_va</v>
      </c>
      <c r="E17" t="str">
        <f>LEFT(NSGGroups[[#This Row],[SubnetNumber(Computed)]]&amp;": "&amp; NSGGroups[[#This Row],[Application(Compluted)]]&amp;", Data Tier ("&amp;NSGGroups[[#This Row],[Tier]]&amp;") "&amp;NSGGroups[[#This Row],[SubDesc(Computed)]], 50)</f>
        <v>350: DMZ, Data Tier (2) Internet EndPoint Machines</v>
      </c>
      <c r="F17" t="str">
        <f>VLOOKUP(NSGGroups[[#This Row],[SNetID]], Subnets[], 4, FALSE)</f>
        <v>DMZ_350_SLG_Test_va</v>
      </c>
      <c r="G17" t="str">
        <f>VLOOKUP(NSGGroups[[#This Row],[SNetID]], Subnets[#All], 9, FALSE)</f>
        <v>DMZ</v>
      </c>
      <c r="H17">
        <v>2</v>
      </c>
      <c r="I17" t="str">
        <f>VLOOKUP(NSGGroups[[#This Row],[SNetID]], Subnets[#All], 11, FALSE)</f>
        <v>Internet EndPoint Machines</v>
      </c>
      <c r="J17" t="str">
        <f>VLOOKUP(NSGGroups[[#This Row],[SNetID]], Subnets[], 8, FALSE)</f>
        <v>va</v>
      </c>
      <c r="K17" t="s">
        <v>1163</v>
      </c>
      <c r="L17" t="str">
        <f>VLOOKUP(NSGGroups[[#This Row],[SNetID]], Subnets[], 5, FALSE)</f>
        <v>Test</v>
      </c>
      <c r="M17" t="str">
        <f>VLOOKUP(NSGGroups[[#This Row],[SNetID]], Subnets[#All], 12, FALSE)&amp;VLOOKUP(NSGGroups[[#This Row],[SNetID]], Subnets[#All], 13, FALSE)</f>
        <v>10.130.35.0/24</v>
      </c>
      <c r="N17" s="53" t="str">
        <f>"New-AzureNetworkSecurityGroup -Name '" &amp; NSGGroups[[#This Row],[Title]]&amp; "' -Location $VNETSite_"&amp;NSGGroups[[#This Row],[SiteNumber]]&amp;".location -Label '"&amp;NSGGroups[[#This Row],[Description]]&amp;"'"</f>
        <v>New-AzureNetworkSecurityGroup -Name 'NSG_DMZ_350_SLG_Test_va' -Location $VNETSite_PreProd1.location -Label '350: DMZ, Data Tier (2) Internet EndPoint Machines'</v>
      </c>
    </row>
    <row r="18" spans="1:14" x14ac:dyDescent="0.45">
      <c r="A18" t="s">
        <v>1045</v>
      </c>
      <c r="B18" t="s">
        <v>422</v>
      </c>
      <c r="C18">
        <f>VLOOKUP(NSGGroups[[#This Row],[SNetID]], Subnets[#All], 2, FALSE)</f>
        <v>360</v>
      </c>
      <c r="D18" t="str">
        <f>"NSG_"&amp;NSGGroups[[#This Row],[SubnetName(computed)]]</f>
        <v>NSG_User_Tier0_360_SLG_Test_va</v>
      </c>
      <c r="E18" t="str">
        <f>LEFT(NSGGroups[[#This Row],[SubnetNumber(Computed)]]&amp;": "&amp; NSGGroups[[#This Row],[Application(Compluted)]]&amp;", Data Tier ("&amp;NSGGroups[[#This Row],[Tier]]&amp;") "&amp;NSGGroups[[#This Row],[SubDesc(Computed)]], 50)</f>
        <v>360: User_Tier0, Data Tier (0) Tier 0 - Direct Con</v>
      </c>
      <c r="F18" t="str">
        <f>VLOOKUP(NSGGroups[[#This Row],[SNetID]], Subnets[], 4, FALSE)</f>
        <v>User_Tier0_360_SLG_Test_va</v>
      </c>
      <c r="G18" t="str">
        <f>VLOOKUP(NSGGroups[[#This Row],[SNetID]], Subnets[#All], 9, FALSE)</f>
        <v>User_Tier0</v>
      </c>
      <c r="H18">
        <f>VLOOKUP(NSGGroups[[#This Row],[SNetID]], Subnets[#All], 10, FALSE)</f>
        <v>0</v>
      </c>
      <c r="I1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8" t="str">
        <f>VLOOKUP(NSGGroups[[#This Row],[SNetID]], Subnets[], 8, FALSE)</f>
        <v>va</v>
      </c>
      <c r="K18" t="s">
        <v>1163</v>
      </c>
      <c r="L18" t="str">
        <f>VLOOKUP(NSGGroups[[#This Row],[SNetID]], Subnets[], 5, FALSE)</f>
        <v>Test</v>
      </c>
      <c r="M18" t="str">
        <f>VLOOKUP(NSGGroups[[#This Row],[SNetID]], Subnets[#All], 12, FALSE)&amp;VLOOKUP(NSGGroups[[#This Row],[SNetID]], Subnets[#All], 13, FALSE)</f>
        <v>10.130.36.0/25</v>
      </c>
      <c r="N18" s="53" t="str">
        <f>"New-AzureNetworkSecurityGroup -Name '" &amp; NSGGroups[[#This Row],[Title]]&amp; "' -Location $VNETSite_"&amp;NSGGroups[[#This Row],[SiteNumber]]&amp;".location -Label '"&amp;NSGGroups[[#This Row],[Description]]&amp;"'"</f>
        <v>New-AzureNetworkSecurityGroup -Name 'NSG_User_Tier0_360_SLG_Test_va' -Location $VNETSite_PreProd1.location -Label '360: User_Tier0, Data Tier (0) Tier 0 - Direct Con'</v>
      </c>
    </row>
    <row r="19" spans="1:14" x14ac:dyDescent="0.45">
      <c r="A19" t="s">
        <v>1046</v>
      </c>
      <c r="B19" t="s">
        <v>423</v>
      </c>
      <c r="C19">
        <f>VLOOKUP(NSGGroups[[#This Row],[SNetID]], Subnets[#All], 2, FALSE)</f>
        <v>361</v>
      </c>
      <c r="D19" t="str">
        <f>"NSG_"&amp;NSGGroups[[#This Row],[SubnetName(computed)]]</f>
        <v>NSG_Users_Tier1_361_SLG_Test_va</v>
      </c>
      <c r="E19" t="str">
        <f>LEFT(NSGGroups[[#This Row],[SubnetNumber(Computed)]]&amp;": "&amp; NSGGroups[[#This Row],[Application(Compluted)]]&amp;", Data Tier ("&amp;NSGGroups[[#This Row],[Tier]]&amp;") "&amp;NSGGroups[[#This Row],[SubDesc(Computed)]], 50)</f>
        <v>361: Users_Tier1, Data Tier (1) Tier 1 administrat</v>
      </c>
      <c r="F19" t="str">
        <f>VLOOKUP(NSGGroups[[#This Row],[SNetID]], Subnets[], 4, FALSE)</f>
        <v>Users_Tier1_361_SLG_Test_va</v>
      </c>
      <c r="G19" t="str">
        <f>VLOOKUP(NSGGroups[[#This Row],[SNetID]], Subnets[#All], 9, FALSE)</f>
        <v>Users_Tier1</v>
      </c>
      <c r="H19">
        <v>1</v>
      </c>
      <c r="I19" t="str">
        <f>VLOOKUP(NSGGroups[[#This Row],[SNetID]], Subnets[#All], 11, FALSE)</f>
        <v>Tier 1 administrator - manage enterprise servers, services, and applications</v>
      </c>
      <c r="J19" t="str">
        <f>VLOOKUP(NSGGroups[[#This Row],[SNetID]], Subnets[], 8, FALSE)</f>
        <v>va</v>
      </c>
      <c r="K19" t="s">
        <v>1163</v>
      </c>
      <c r="L19" t="str">
        <f>VLOOKUP(NSGGroups[[#This Row],[SNetID]], Subnets[], 5, FALSE)</f>
        <v>Test</v>
      </c>
      <c r="M19" t="str">
        <f>VLOOKUP(NSGGroups[[#This Row],[SNetID]], Subnets[#All], 12, FALSE)&amp;VLOOKUP(NSGGroups[[#This Row],[SNetID]], Subnets[#All], 13, FALSE)</f>
        <v>10.130.36.128/25</v>
      </c>
      <c r="N19" s="53" t="str">
        <f>"New-AzureNetworkSecurityGroup -Name '" &amp; NSGGroups[[#This Row],[Title]]&amp; "' -Location $VNETSite_"&amp;NSGGroups[[#This Row],[SiteNumber]]&amp;".location -Label '"&amp;NSGGroups[[#This Row],[Description]]&amp;"'"</f>
        <v>New-AzureNetworkSecurityGroup -Name 'NSG_Users_Tier1_361_SLG_Test_va' -Location $VNETSite_PreProd1.location -Label '361: Users_Tier1, Data Tier (1) Tier 1 administrat'</v>
      </c>
    </row>
    <row r="20" spans="1:14" x14ac:dyDescent="0.45">
      <c r="A20" t="s">
        <v>1047</v>
      </c>
      <c r="B20" t="s">
        <v>424</v>
      </c>
      <c r="C20">
        <f>VLOOKUP(NSGGroups[[#This Row],[SNetID]], Subnets[#All], 2, FALSE)</f>
        <v>362</v>
      </c>
      <c r="D20" t="str">
        <f>"NSG_"&amp;NSGGroups[[#This Row],[SubnetName(computed)]]</f>
        <v>NSG_Users_Tier2_362_SLG_Test_va</v>
      </c>
      <c r="E20" t="str">
        <f>LEFT(NSGGroups[[#This Row],[SubnetNumber(Computed)]]&amp;": "&amp; NSGGroups[[#This Row],[Application(Compluted)]]&amp;", Data Tier ("&amp;NSGGroups[[#This Row],[Tier]]&amp;") "&amp;NSGGroups[[#This Row],[SubDesc(Computed)]], 50)</f>
        <v>362: Users_Tier2, Data Tier (2) Tier 2 - Control o</v>
      </c>
      <c r="F20" t="str">
        <f>VLOOKUP(NSGGroups[[#This Row],[SNetID]], Subnets[], 4, FALSE)</f>
        <v>Users_Tier2_362_SLG_Test_va</v>
      </c>
      <c r="G20" t="str">
        <f>VLOOKUP(NSGGroups[[#This Row],[SNetID]], Subnets[#All], 9, FALSE)</f>
        <v>Users_Tier2</v>
      </c>
      <c r="H20">
        <v>2</v>
      </c>
      <c r="I20" t="str">
        <f>VLOOKUP(NSGGroups[[#This Row],[SNetID]], Subnets[#All], 11, FALSE)</f>
        <v>Tier 2 - Control of user workstations and devices. Tier 2 administrator accounts have administrative control of a significant amount of business value that is hosted on user workstations and devices</v>
      </c>
      <c r="J20" t="str">
        <f>VLOOKUP(NSGGroups[[#This Row],[SNetID]], Subnets[], 8, FALSE)</f>
        <v>va</v>
      </c>
      <c r="K20" t="s">
        <v>1163</v>
      </c>
      <c r="L20" t="str">
        <f>VLOOKUP(NSGGroups[[#This Row],[SNetID]], Subnets[], 5, FALSE)</f>
        <v>Test</v>
      </c>
      <c r="M20" t="str">
        <f>VLOOKUP(NSGGroups[[#This Row],[SNetID]], Subnets[#All], 12, FALSE)&amp;VLOOKUP(NSGGroups[[#This Row],[SNetID]], Subnets[#All], 13, FALSE)</f>
        <v>10.130.37.0/25</v>
      </c>
      <c r="N20" s="53" t="str">
        <f>"New-AzureNetworkSecurityGroup -Name '" &amp; NSGGroups[[#This Row],[Title]]&amp; "' -Location $VNETSite_"&amp;NSGGroups[[#This Row],[SiteNumber]]&amp;".location -Label '"&amp;NSGGroups[[#This Row],[Description]]&amp;"'"</f>
        <v>New-AzureNetworkSecurityGroup -Name 'NSG_Users_Tier2_362_SLG_Test_va' -Location $VNETSite_PreProd1.location -Label '362: Users_Tier2, Data Tier (2) Tier 2 - Control o'</v>
      </c>
    </row>
    <row r="21" spans="1:14" x14ac:dyDescent="0.45">
      <c r="A21" t="s">
        <v>1048</v>
      </c>
      <c r="B21" t="s">
        <v>425</v>
      </c>
      <c r="C21">
        <f>VLOOKUP(NSGGroups[[#This Row],[SNetID]], Subnets[#All], 2, FALSE)</f>
        <v>363</v>
      </c>
      <c r="D21" t="str">
        <f>"NSG_"&amp;NSGGroups[[#This Row],[SubnetName(computed)]]</f>
        <v>NSG_User_Tier0_363_SLG_Dev_va</v>
      </c>
      <c r="E21" t="str">
        <f>LEFT(NSGGroups[[#This Row],[SubnetNumber(Computed)]]&amp;": "&amp; NSGGroups[[#This Row],[Application(Compluted)]]&amp;", Data Tier ("&amp;NSGGroups[[#This Row],[Tier]]&amp;") "&amp;NSGGroups[[#This Row],[SubDesc(Computed)]], 50)</f>
        <v>363: User_Tier0, Data Tier (0) Tier 0 - Direct Con</v>
      </c>
      <c r="F21" t="str">
        <f>VLOOKUP(NSGGroups[[#This Row],[SNetID]], Subnets[], 4, FALSE)</f>
        <v>User_Tier0_363_SLG_Dev_va</v>
      </c>
      <c r="G21" t="str">
        <f>VLOOKUP(NSGGroups[[#This Row],[SNetID]], Subnets[#All], 9, FALSE)</f>
        <v>User_Tier0</v>
      </c>
      <c r="H21">
        <f>VLOOKUP(NSGGroups[[#This Row],[SNetID]], Subnets[#All], 10, FALSE)</f>
        <v>0</v>
      </c>
      <c r="I21"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21" t="str">
        <f>VLOOKUP(NSGGroups[[#This Row],[SNetID]], Subnets[], 8, FALSE)</f>
        <v>va</v>
      </c>
      <c r="K21" t="s">
        <v>1163</v>
      </c>
      <c r="L21" t="str">
        <f>VLOOKUP(NSGGroups[[#This Row],[SNetID]], Subnets[], 5, FALSE)</f>
        <v>Dev</v>
      </c>
      <c r="M21" t="str">
        <f>VLOOKUP(NSGGroups[[#This Row],[SNetID]], Subnets[#All], 12, FALSE)&amp;VLOOKUP(NSGGroups[[#This Row],[SNetID]], Subnets[#All], 13, FALSE)</f>
        <v>10.130.37.128/25</v>
      </c>
      <c r="N21" s="53" t="str">
        <f>"New-AzureNetworkSecurityGroup -Name '" &amp; NSGGroups[[#This Row],[Title]]&amp; "' -Location $VNETSite_"&amp;NSGGroups[[#This Row],[SiteNumber]]&amp;".location -Label '"&amp;NSGGroups[[#This Row],[Description]]&amp;"'"</f>
        <v>New-AzureNetworkSecurityGroup -Name 'NSG_User_Tier0_363_SLG_Dev_va' -Location $VNETSite_PreProd1.location -Label '363: User_Tier0, Data Tier (0) Tier 0 - Direct Con'</v>
      </c>
    </row>
    <row r="22" spans="1:14" x14ac:dyDescent="0.45">
      <c r="A22" t="s">
        <v>1049</v>
      </c>
      <c r="B22" t="s">
        <v>426</v>
      </c>
      <c r="C22">
        <f>VLOOKUP(NSGGroups[[#This Row],[SNetID]], Subnets[#All], 2, FALSE)</f>
        <v>364</v>
      </c>
      <c r="D22" t="str">
        <f>"NSG_"&amp;NSGGroups[[#This Row],[SubnetName(computed)]]</f>
        <v>NSG_User_Tier1_364_SLG_Dev_va</v>
      </c>
      <c r="E22" t="str">
        <f>LEFT(NSGGroups[[#This Row],[SubnetNumber(Computed)]]&amp;": "&amp; NSGGroups[[#This Row],[Application(Compluted)]]&amp;", Data Tier ("&amp;NSGGroups[[#This Row],[Tier]]&amp;") "&amp;NSGGroups[[#This Row],[SubDesc(Computed)]], 50)</f>
        <v>364: User_Tier1, Data Tier (1) Tier 1 administrato</v>
      </c>
      <c r="F22" t="str">
        <f>VLOOKUP(NSGGroups[[#This Row],[SNetID]], Subnets[], 4, FALSE)</f>
        <v>User_Tier1_364_SLG_Dev_va</v>
      </c>
      <c r="G22" t="str">
        <f>VLOOKUP(NSGGroups[[#This Row],[SNetID]], Subnets[#All], 9, FALSE)</f>
        <v>User_Tier1</v>
      </c>
      <c r="H22">
        <v>1</v>
      </c>
      <c r="I22" t="str">
        <f>VLOOKUP(NSGGroups[[#This Row],[SNetID]], Subnets[#All], 11, FALSE)</f>
        <v>Tier 1 administrator - manage enterprise servers, services, and applications</v>
      </c>
      <c r="J22" t="str">
        <f>VLOOKUP(NSGGroups[[#This Row],[SNetID]], Subnets[], 8, FALSE)</f>
        <v>va</v>
      </c>
      <c r="K22" t="s">
        <v>1163</v>
      </c>
      <c r="L22" t="str">
        <f>VLOOKUP(NSGGroups[[#This Row],[SNetID]], Subnets[], 5, FALSE)</f>
        <v>Dev</v>
      </c>
      <c r="M22" t="str">
        <f>VLOOKUP(NSGGroups[[#This Row],[SNetID]], Subnets[#All], 12, FALSE)&amp;VLOOKUP(NSGGroups[[#This Row],[SNetID]], Subnets[#All], 13, FALSE)</f>
        <v>10.130.38.0/25</v>
      </c>
      <c r="N22" s="53" t="str">
        <f>"New-AzureNetworkSecurityGroup -Name '" &amp; NSGGroups[[#This Row],[Title]]&amp; "' -Location $VNETSite_"&amp;NSGGroups[[#This Row],[SiteNumber]]&amp;".location -Label '"&amp;NSGGroups[[#This Row],[Description]]&amp;"'"</f>
        <v>New-AzureNetworkSecurityGroup -Name 'NSG_User_Tier1_364_SLG_Dev_va' -Location $VNETSite_PreProd1.location -Label '364: User_Tier1, Data Tier (1) Tier 1 administrato'</v>
      </c>
    </row>
    <row r="23" spans="1:14" x14ac:dyDescent="0.45">
      <c r="A23" t="s">
        <v>1050</v>
      </c>
      <c r="B23" t="s">
        <v>1174</v>
      </c>
      <c r="C23">
        <f>VLOOKUP(NSGGroups[[#This Row],[SNetID]], Subnets[#All], 2, FALSE)</f>
        <v>364</v>
      </c>
      <c r="D23" t="str">
        <f>"NSG_"&amp;NSGGroups[[#This Row],[SubnetName(computed)]]</f>
        <v>NSG_User_Tier2_364_SLG_Dev_va</v>
      </c>
      <c r="E23" t="str">
        <f>LEFT(NSGGroups[[#This Row],[SubnetNumber(Computed)]]&amp;": "&amp; NSGGroups[[#This Row],[Application(Compluted)]]&amp;", Data Tier ("&amp;NSGGroups[[#This Row],[Tier]]&amp;") "&amp;NSGGroups[[#This Row],[SubDesc(Computed)]], 50)</f>
        <v>364: User_Tier2, Data Tier (2) Tier 2 - Control of</v>
      </c>
      <c r="F23" t="str">
        <f>VLOOKUP(NSGGroups[[#This Row],[SNetID]], Subnets[], 4, FALSE)</f>
        <v>User_Tier2_364_SLG_Dev_va</v>
      </c>
      <c r="G23" t="str">
        <f>VLOOKUP(NSGGroups[[#This Row],[SNetID]], Subnets[#All], 9, FALSE)</f>
        <v>User_Tier2</v>
      </c>
      <c r="H23">
        <v>2</v>
      </c>
      <c r="I23" t="str">
        <f>VLOOKUP(NSGGroups[[#This Row],[SNetID]], Subnets[#All], 11, FALSE)</f>
        <v>Tier 2 - Control of user workstations and devices. Tier 2 administrator accounts have administrative control of a significant amount of business value that is hosted on user workstations and devices</v>
      </c>
      <c r="J23" t="str">
        <f>VLOOKUP(NSGGroups[[#This Row],[SNetID]], Subnets[], 8, FALSE)</f>
        <v>va</v>
      </c>
      <c r="K23" t="s">
        <v>1163</v>
      </c>
      <c r="L23" t="str">
        <f>VLOOKUP(NSGGroups[[#This Row],[SNetID]], Subnets[], 5, FALSE)</f>
        <v>Dev</v>
      </c>
      <c r="M23" t="str">
        <f>VLOOKUP(NSGGroups[[#This Row],[SNetID]], Subnets[#All], 12, FALSE)&amp;VLOOKUP(NSGGroups[[#This Row],[SNetID]], Subnets[#All], 13, FALSE)</f>
        <v>10.130.38.128/25</v>
      </c>
      <c r="N23" s="53" t="str">
        <f>"New-AzureNetworkSecurityGroup -Name '" &amp; NSGGroups[[#This Row],[Title]]&amp; "' -Location $VNETSite_"&amp;NSGGroups[[#This Row],[SiteNumber]]&amp;".location -Label '"&amp;NSGGroups[[#This Row],[Description]]&amp;"'"</f>
        <v>New-AzureNetworkSecurityGroup -Name 'NSG_User_Tier2_364_SLG_Dev_va' -Location $VNETSite_PreProd1.location -Label '364: User_Tier2, Data Tier (2) Tier 2 - Control of'</v>
      </c>
    </row>
    <row r="24" spans="1:14" x14ac:dyDescent="0.45">
      <c r="A24" t="s">
        <v>1051</v>
      </c>
      <c r="B24" t="s">
        <v>427</v>
      </c>
      <c r="C24">
        <f>VLOOKUP(NSGGroups[[#This Row],[SNetID]], Subnets[#All], 2, FALSE)</f>
        <v>410</v>
      </c>
      <c r="D24" t="str">
        <f>"NSG_"&amp;NSGGroups[[#This Row],[SubnetName(computed)]]</f>
        <v>NSG_Web_410_SLG_Dev_va</v>
      </c>
      <c r="E24" t="str">
        <f>LEFT(NSGGroups[[#This Row],[SubnetNumber(Computed)]]&amp;": "&amp; NSGGroups[[#This Row],[Application(Compluted)]]&amp;", Data Tier ("&amp;NSGGroups[[#This Row],[Tier]]&amp;") "&amp;NSGGroups[[#This Row],[SubDesc(Computed)]], 50)</f>
        <v>410: Web, Data Tier (2) HTTP and HTTPS services</v>
      </c>
      <c r="F24" t="str">
        <f>VLOOKUP(NSGGroups[[#This Row],[SNetID]], Subnets[], 4, FALSE)</f>
        <v>Web_410_SLG_Dev_va</v>
      </c>
      <c r="G24" t="str">
        <f>VLOOKUP(NSGGroups[[#This Row],[SNetID]], Subnets[#All], 9, FALSE)</f>
        <v>Web</v>
      </c>
      <c r="H24">
        <v>2</v>
      </c>
      <c r="I24" t="str">
        <f>VLOOKUP(NSGGroups[[#This Row],[SNetID]], Subnets[#All], 11, FALSE)</f>
        <v>HTTP and HTTPS services</v>
      </c>
      <c r="J24" t="str">
        <f>VLOOKUP(NSGGroups[[#This Row],[SNetID]], Subnets[], 8, FALSE)</f>
        <v>va</v>
      </c>
      <c r="K24" t="s">
        <v>1163</v>
      </c>
      <c r="L24" t="str">
        <f>VLOOKUP(NSGGroups[[#This Row],[SNetID]], Subnets[], 5, FALSE)</f>
        <v>Dev</v>
      </c>
      <c r="M24" t="str">
        <f>VLOOKUP(NSGGroups[[#This Row],[SNetID]], Subnets[#All], 12, FALSE)&amp;VLOOKUP(NSGGroups[[#This Row],[SNetID]], Subnets[#All], 13, FALSE)</f>
        <v>10.130.40.0/24</v>
      </c>
      <c r="N24" s="53" t="str">
        <f>"New-AzureNetworkSecurityGroup -Name '" &amp; NSGGroups[[#This Row],[Title]]&amp; "' -Location $VNETSite_"&amp;NSGGroups[[#This Row],[SiteNumber]]&amp;".location -Label '"&amp;NSGGroups[[#This Row],[Description]]&amp;"'"</f>
        <v>New-AzureNetworkSecurityGroup -Name 'NSG_Web_410_SLG_Dev_va' -Location $VNETSite_PreProd1.location -Label '410: Web, Data Tier (2) HTTP and HTTPS services'</v>
      </c>
    </row>
    <row r="25" spans="1:14" x14ac:dyDescent="0.45">
      <c r="A25" t="s">
        <v>1052</v>
      </c>
      <c r="B25" t="s">
        <v>428</v>
      </c>
      <c r="C25">
        <f>VLOOKUP(NSGGroups[[#This Row],[SNetID]], Subnets[#All], 2, FALSE)</f>
        <v>420</v>
      </c>
      <c r="D25" t="str">
        <f>"NSG_"&amp;NSGGroups[[#This Row],[SubnetName(computed)]]</f>
        <v>NSG_App_420_SLG_Dev_va</v>
      </c>
      <c r="E25" t="str">
        <f>LEFT(NSGGroups[[#This Row],[SubnetNumber(Computed)]]&amp;": "&amp; NSGGroups[[#This Row],[Application(Compluted)]]&amp;", Data Tier ("&amp;NSGGroups[[#This Row],[Tier]]&amp;") "&amp;NSGGroups[[#This Row],[SubDesc(Computed)]], 50)</f>
        <v>420: App, Data Tier (1) Web Services, OEM applicat</v>
      </c>
      <c r="F25" t="str">
        <f>VLOOKUP(NSGGroups[[#This Row],[SNetID]], Subnets[], 4, FALSE)</f>
        <v>App_420_SLG_Dev_va</v>
      </c>
      <c r="G25" t="str">
        <f>VLOOKUP(NSGGroups[[#This Row],[SNetID]], Subnets[#All], 9, FALSE)</f>
        <v>App</v>
      </c>
      <c r="H25">
        <v>1</v>
      </c>
      <c r="I25" t="str">
        <f>VLOOKUP(NSGGroups[[#This Row],[SNetID]], Subnets[#All], 11, FALSE)</f>
        <v>Web Services, OEM applications</v>
      </c>
      <c r="J25" t="str">
        <f>VLOOKUP(NSGGroups[[#This Row],[SNetID]], Subnets[], 8, FALSE)</f>
        <v>va</v>
      </c>
      <c r="K25" t="s">
        <v>1163</v>
      </c>
      <c r="L25" t="str">
        <f>VLOOKUP(NSGGroups[[#This Row],[SNetID]], Subnets[], 5, FALSE)</f>
        <v>Dev</v>
      </c>
      <c r="M25" t="str">
        <f>VLOOKUP(NSGGroups[[#This Row],[SNetID]], Subnets[#All], 12, FALSE)&amp;VLOOKUP(NSGGroups[[#This Row],[SNetID]], Subnets[#All], 13, FALSE)</f>
        <v>10.130.41.0/24</v>
      </c>
      <c r="N25" s="53" t="str">
        <f>"New-AzureNetworkSecurityGroup -Name '" &amp; NSGGroups[[#This Row],[Title]]&amp; "' -Location $VNETSite_"&amp;NSGGroups[[#This Row],[SiteNumber]]&amp;".location -Label '"&amp;NSGGroups[[#This Row],[Description]]&amp;"'"</f>
        <v>New-AzureNetworkSecurityGroup -Name 'NSG_App_420_SLG_Dev_va' -Location $VNETSite_PreProd1.location -Label '420: App, Data Tier (1) Web Services, OEM applicat'</v>
      </c>
    </row>
    <row r="26" spans="1:14" x14ac:dyDescent="0.45">
      <c r="A26" t="s">
        <v>1053</v>
      </c>
      <c r="B26" t="s">
        <v>644</v>
      </c>
      <c r="C26">
        <f>VLOOKUP(NSGGroups[[#This Row],[SNetID]], Subnets[#All], 2, FALSE)</f>
        <v>430</v>
      </c>
      <c r="D26" t="str">
        <f>"NSG_"&amp;NSGGroups[[#This Row],[SubnetName(computed)]]</f>
        <v>NSG_Database_430_SLG_Dev_va</v>
      </c>
      <c r="E26" t="str">
        <f>LEFT(NSGGroups[[#This Row],[SubnetNumber(Computed)]]&amp;": "&amp; NSGGroups[[#This Row],[Application(Compluted)]]&amp;", Data Tier ("&amp;NSGGroups[[#This Row],[Tier]]&amp;") "&amp;NSGGroups[[#This Row],[SubDesc(Computed)]], 50)</f>
        <v>430: Database, Data Tier (1) Data for Applications</v>
      </c>
      <c r="F26" t="str">
        <f>VLOOKUP(NSGGroups[[#This Row],[SNetID]], Subnets[], 4, FALSE)</f>
        <v>Database_430_SLG_Dev_va</v>
      </c>
      <c r="G26" t="str">
        <f>VLOOKUP(NSGGroups[[#This Row],[SNetID]], Subnets[#All], 9, FALSE)</f>
        <v>Database</v>
      </c>
      <c r="H26">
        <v>1</v>
      </c>
      <c r="I26" t="str">
        <f>VLOOKUP(NSGGroups[[#This Row],[SNetID]], Subnets[#All], 11, FALSE)</f>
        <v>Data for Applications</v>
      </c>
      <c r="J26" t="str">
        <f>VLOOKUP(NSGGroups[[#This Row],[SNetID]], Subnets[], 8, FALSE)</f>
        <v>va</v>
      </c>
      <c r="K26" t="s">
        <v>1163</v>
      </c>
      <c r="L26" t="str">
        <f>VLOOKUP(NSGGroups[[#This Row],[SNetID]], Subnets[], 5, FALSE)</f>
        <v>Dev</v>
      </c>
      <c r="M26" t="str">
        <f>VLOOKUP(NSGGroups[[#This Row],[SNetID]], Subnets[#All], 12, FALSE)&amp;VLOOKUP(NSGGroups[[#This Row],[SNetID]], Subnets[#All], 13, FALSE)</f>
        <v>10.130.42.0/24</v>
      </c>
      <c r="N26" s="53" t="str">
        <f>"New-AzureNetworkSecurityGroup -Name '" &amp; NSGGroups[[#This Row],[Title]]&amp; "' -Location $VNETSite_"&amp;NSGGroups[[#This Row],[SiteNumber]]&amp;".location -Label '"&amp;NSGGroups[[#This Row],[Description]]&amp;"'"</f>
        <v>New-AzureNetworkSecurityGroup -Name 'NSG_Database_430_SLG_Dev_va' -Location $VNETSite_PreProd1.location -Label '430: Database, Data Tier (1) Data for Applications'</v>
      </c>
    </row>
    <row r="27" spans="1:14" x14ac:dyDescent="0.45">
      <c r="A27" t="s">
        <v>1054</v>
      </c>
      <c r="B27" t="s">
        <v>429</v>
      </c>
      <c r="C27">
        <f>VLOOKUP(NSGGroups[[#This Row],[SNetID]], Subnets[#All], 2, FALSE)</f>
        <v>450</v>
      </c>
      <c r="D27" t="str">
        <f>"NSG_"&amp;NSGGroups[[#This Row],[SubnetName(computed)]]</f>
        <v>NSG_DMZ_450_SLG_Dev_va</v>
      </c>
      <c r="E27" t="str">
        <f>LEFT(NSGGroups[[#This Row],[SubnetNumber(Computed)]]&amp;": "&amp; NSGGroups[[#This Row],[Application(Compluted)]]&amp;", Data Tier ("&amp;NSGGroups[[#This Row],[Tier]]&amp;") "&amp;NSGGroups[[#This Row],[SubDesc(Computed)]], 50)</f>
        <v>450: DMZ, Data Tier (2) Internet EndPoint Machines</v>
      </c>
      <c r="F27" t="str">
        <f>VLOOKUP(NSGGroups[[#This Row],[SNetID]], Subnets[], 4, FALSE)</f>
        <v>DMZ_450_SLG_Dev_va</v>
      </c>
      <c r="G27" t="str">
        <f>VLOOKUP(NSGGroups[[#This Row],[SNetID]], Subnets[#All], 9, FALSE)</f>
        <v>DMZ</v>
      </c>
      <c r="H27">
        <v>2</v>
      </c>
      <c r="I27" t="str">
        <f>VLOOKUP(NSGGroups[[#This Row],[SNetID]], Subnets[#All], 11, FALSE)</f>
        <v>Internet EndPoint Machines</v>
      </c>
      <c r="J27" t="str">
        <f>VLOOKUP(NSGGroups[[#This Row],[SNetID]], Subnets[], 8, FALSE)</f>
        <v>va</v>
      </c>
      <c r="K27" t="s">
        <v>1163</v>
      </c>
      <c r="L27" t="str">
        <f>VLOOKUP(NSGGroups[[#This Row],[SNetID]], Subnets[], 5, FALSE)</f>
        <v>Dev</v>
      </c>
      <c r="M27" t="str">
        <f>VLOOKUP(NSGGroups[[#This Row],[SNetID]], Subnets[#All], 12, FALSE)&amp;VLOOKUP(NSGGroups[[#This Row],[SNetID]], Subnets[#All], 13, FALSE)</f>
        <v>10.130.43.0/24</v>
      </c>
      <c r="N27" s="53" t="str">
        <f>"New-AzureNetworkSecurityGroup -Name '" &amp; NSGGroups[[#This Row],[Title]]&amp; "' -Location $VNETSite_"&amp;NSGGroups[[#This Row],[SiteNumber]]&amp;".location -Label '"&amp;NSGGroups[[#This Row],[Description]]&amp;"'"</f>
        <v>New-AzureNetworkSecurityGroup -Name 'NSG_DMZ_450_SLG_Dev_va' -Location $VNETSite_PreProd1.location -Label '450: DMZ, Data Tier (2) Internet EndPoint Machines'</v>
      </c>
    </row>
    <row r="28" spans="1:14" x14ac:dyDescent="0.45">
      <c r="A28" t="s">
        <v>1055</v>
      </c>
      <c r="B28" t="s">
        <v>433</v>
      </c>
      <c r="C28">
        <f>VLOOKUP(NSGGroups[[#This Row],[SNetID]], Subnets[#All], 2, FALSE)</f>
        <v>310</v>
      </c>
      <c r="D28" t="str">
        <f>"NSG_"&amp;NSGGroups[[#This Row],[SubnetName(computed)]]</f>
        <v>NSG_Web_310_SLG_Test_ia</v>
      </c>
      <c r="E28" t="str">
        <f>LEFT(NSGGroups[[#This Row],[SubnetNumber(Computed)]]&amp;": "&amp; NSGGroups[[#This Row],[Application(Compluted)]]&amp;", Data Tier ("&amp;NSGGroups[[#This Row],[Tier]]&amp;") "&amp;NSGGroups[[#This Row],[SubDesc(Computed)]], 50)</f>
        <v>310: Web, Data Tier (2) HTTP and HTTPS services</v>
      </c>
      <c r="F28" t="str">
        <f>VLOOKUP(NSGGroups[[#This Row],[SNetID]], Subnets[], 4, FALSE)</f>
        <v>Web_310_SLG_Test_ia</v>
      </c>
      <c r="G28" t="str">
        <f>VLOOKUP(NSGGroups[[#This Row],[SNetID]], Subnets[#All], 9, FALSE)</f>
        <v>Web</v>
      </c>
      <c r="H28">
        <v>2</v>
      </c>
      <c r="I28" t="str">
        <f>VLOOKUP(NSGGroups[[#This Row],[SNetID]], Subnets[#All], 11, FALSE)</f>
        <v>HTTP and HTTPS services</v>
      </c>
      <c r="J28" t="str">
        <f>VLOOKUP(NSGGroups[[#This Row],[SNetID]], Subnets[], 8, FALSE)</f>
        <v>ia</v>
      </c>
      <c r="K28" t="s">
        <v>1162</v>
      </c>
      <c r="L28" t="str">
        <f>VLOOKUP(NSGGroups[[#This Row],[SNetID]], Subnets[], 5, FALSE)</f>
        <v>Test</v>
      </c>
      <c r="M28" t="str">
        <f>VLOOKUP(NSGGroups[[#This Row],[SNetID]], Subnets[#All], 12, FALSE)&amp;VLOOKUP(NSGGroups[[#This Row],[SNetID]], Subnets[#All], 13, FALSE)</f>
        <v>10.130.96.0/24</v>
      </c>
      <c r="N28" s="53" t="str">
        <f>"New-AzureNetworkSecurityGroup -Name '" &amp; NSGGroups[[#This Row],[Title]]&amp; "' -Location $VNETSite_"&amp;NSGGroups[[#This Row],[SiteNumber]]&amp;".location -Label '"&amp;NSGGroups[[#This Row],[Description]]&amp;"'"</f>
        <v>New-AzureNetworkSecurityGroup -Name 'NSG_Web_310_SLG_Test_ia' -Location $VNETSite_PreProd2.location -Label '310: Web, Data Tier (2) HTTP and HTTPS services'</v>
      </c>
    </row>
    <row r="29" spans="1:14" x14ac:dyDescent="0.45">
      <c r="A29" t="s">
        <v>1056</v>
      </c>
      <c r="B29" t="s">
        <v>434</v>
      </c>
      <c r="C29">
        <f>VLOOKUP(NSGGroups[[#This Row],[SNetID]], Subnets[#All], 2, FALSE)</f>
        <v>320</v>
      </c>
      <c r="D29" t="str">
        <f>"NSG_"&amp;NSGGroups[[#This Row],[SubnetName(computed)]]</f>
        <v>NSG_App_320_SLG_Test_ia</v>
      </c>
      <c r="E29" t="str">
        <f>LEFT(NSGGroups[[#This Row],[SubnetNumber(Computed)]]&amp;": "&amp; NSGGroups[[#This Row],[Application(Compluted)]]&amp;", Data Tier ("&amp;NSGGroups[[#This Row],[Tier]]&amp;") "&amp;NSGGroups[[#This Row],[SubDesc(Computed)]], 50)</f>
        <v>320: App, Data Tier (1) Web Services, OEM applicat</v>
      </c>
      <c r="F29" t="str">
        <f>VLOOKUP(NSGGroups[[#This Row],[SNetID]], Subnets[], 4, FALSE)</f>
        <v>App_320_SLG_Test_ia</v>
      </c>
      <c r="G29" t="str">
        <f>VLOOKUP(NSGGroups[[#This Row],[SNetID]], Subnets[#All], 9, FALSE)</f>
        <v>App</v>
      </c>
      <c r="H29">
        <v>1</v>
      </c>
      <c r="I29" t="str">
        <f>VLOOKUP(NSGGroups[[#This Row],[SNetID]], Subnets[#All], 11, FALSE)</f>
        <v>Web Services, OEM applications</v>
      </c>
      <c r="J29" t="str">
        <f>VLOOKUP(NSGGroups[[#This Row],[SNetID]], Subnets[], 8, FALSE)</f>
        <v>ia</v>
      </c>
      <c r="K29" t="s">
        <v>1162</v>
      </c>
      <c r="L29" t="str">
        <f>VLOOKUP(NSGGroups[[#This Row],[SNetID]], Subnets[], 5, FALSE)</f>
        <v>Test</v>
      </c>
      <c r="M29" t="str">
        <f>VLOOKUP(NSGGroups[[#This Row],[SNetID]], Subnets[#All], 12, FALSE)&amp;VLOOKUP(NSGGroups[[#This Row],[SNetID]], Subnets[#All], 13, FALSE)</f>
        <v>10.130.97.0/24</v>
      </c>
      <c r="N29" s="53" t="str">
        <f>"New-AzureNetworkSecurityGroup -Name '" &amp; NSGGroups[[#This Row],[Title]]&amp; "' -Location $VNETSite_"&amp;NSGGroups[[#This Row],[SiteNumber]]&amp;".location -Label '"&amp;NSGGroups[[#This Row],[Description]]&amp;"'"</f>
        <v>New-AzureNetworkSecurityGroup -Name 'NSG_App_320_SLG_Test_ia' -Location $VNETSite_PreProd2.location -Label '320: App, Data Tier (1) Web Services, OEM applicat'</v>
      </c>
    </row>
    <row r="30" spans="1:14" x14ac:dyDescent="0.45">
      <c r="A30" t="s">
        <v>1057</v>
      </c>
      <c r="B30" t="s">
        <v>435</v>
      </c>
      <c r="C30">
        <f>VLOOKUP(NSGGroups[[#This Row],[SNetID]], Subnets[#All], 2, FALSE)</f>
        <v>330</v>
      </c>
      <c r="D30" t="str">
        <f>"NSG_"&amp;NSGGroups[[#This Row],[SubnetName(computed)]]</f>
        <v>NSG_Database_330_SLG_Test_ia</v>
      </c>
      <c r="E30" t="str">
        <f>LEFT(NSGGroups[[#This Row],[SubnetNumber(Computed)]]&amp;": "&amp; NSGGroups[[#This Row],[Application(Compluted)]]&amp;", Data Tier ("&amp;NSGGroups[[#This Row],[Tier]]&amp;") "&amp;NSGGroups[[#This Row],[SubDesc(Computed)]], 50)</f>
        <v>330: Database, Data Tier (1) Data for Applications</v>
      </c>
      <c r="F30" t="str">
        <f>VLOOKUP(NSGGroups[[#This Row],[SNetID]], Subnets[], 4, FALSE)</f>
        <v>Database_330_SLG_Test_ia</v>
      </c>
      <c r="G30" t="str">
        <f>VLOOKUP(NSGGroups[[#This Row],[SNetID]], Subnets[#All], 9, FALSE)</f>
        <v>Database</v>
      </c>
      <c r="H30">
        <v>1</v>
      </c>
      <c r="I30" t="str">
        <f>VLOOKUP(NSGGroups[[#This Row],[SNetID]], Subnets[#All], 11, FALSE)</f>
        <v>Data for Applications</v>
      </c>
      <c r="J30" t="str">
        <f>VLOOKUP(NSGGroups[[#This Row],[SNetID]], Subnets[], 8, FALSE)</f>
        <v>ia</v>
      </c>
      <c r="K30" t="s">
        <v>1162</v>
      </c>
      <c r="L30" t="str">
        <f>VLOOKUP(NSGGroups[[#This Row],[SNetID]], Subnets[], 5, FALSE)</f>
        <v>Test</v>
      </c>
      <c r="M30" t="str">
        <f>VLOOKUP(NSGGroups[[#This Row],[SNetID]], Subnets[#All], 12, FALSE)&amp;VLOOKUP(NSGGroups[[#This Row],[SNetID]], Subnets[#All], 13, FALSE)</f>
        <v>10.130.98.0/24</v>
      </c>
      <c r="N30" s="53" t="str">
        <f>"New-AzureNetworkSecurityGroup -Name '" &amp; NSGGroups[[#This Row],[Title]]&amp; "' -Location $VNETSite_"&amp;NSGGroups[[#This Row],[SiteNumber]]&amp;".location -Label '"&amp;NSGGroups[[#This Row],[Description]]&amp;"'"</f>
        <v>New-AzureNetworkSecurityGroup -Name 'NSG_Database_330_SLG_Test_ia' -Location $VNETSite_PreProd2.location -Label '330: Database, Data Tier (1) Data for Applications'</v>
      </c>
    </row>
    <row r="31" spans="1:14" x14ac:dyDescent="0.45">
      <c r="A31" t="s">
        <v>1058</v>
      </c>
      <c r="B31" t="s">
        <v>436</v>
      </c>
      <c r="C31">
        <f>VLOOKUP(NSGGroups[[#This Row],[SNetID]], Subnets[#All], 2, FALSE)</f>
        <v>350</v>
      </c>
      <c r="D31" t="str">
        <f>"NSG_"&amp;NSGGroups[[#This Row],[SubnetName(computed)]]</f>
        <v>NSG_DMZ_350_SLG_Test_ia</v>
      </c>
      <c r="E31" t="str">
        <f>LEFT(NSGGroups[[#This Row],[SubnetNumber(Computed)]]&amp;": "&amp; NSGGroups[[#This Row],[Application(Compluted)]]&amp;", Data Tier ("&amp;NSGGroups[[#This Row],[Tier]]&amp;") "&amp;NSGGroups[[#This Row],[SubDesc(Computed)]], 50)</f>
        <v>350: DMZ, Data Tier (2) Internet EndPoint Machines</v>
      </c>
      <c r="F31" t="str">
        <f>VLOOKUP(NSGGroups[[#This Row],[SNetID]], Subnets[], 4, FALSE)</f>
        <v>DMZ_350_SLG_Test_ia</v>
      </c>
      <c r="G31" t="str">
        <f>VLOOKUP(NSGGroups[[#This Row],[SNetID]], Subnets[#All], 9, FALSE)</f>
        <v>DMZ</v>
      </c>
      <c r="H31">
        <v>2</v>
      </c>
      <c r="I31" t="str">
        <f>VLOOKUP(NSGGroups[[#This Row],[SNetID]], Subnets[#All], 11, FALSE)</f>
        <v>Internet EndPoint Machines</v>
      </c>
      <c r="J31" t="str">
        <f>VLOOKUP(NSGGroups[[#This Row],[SNetID]], Subnets[], 8, FALSE)</f>
        <v>ia</v>
      </c>
      <c r="K31" t="s">
        <v>1162</v>
      </c>
      <c r="L31" t="str">
        <f>VLOOKUP(NSGGroups[[#This Row],[SNetID]], Subnets[], 5, FALSE)</f>
        <v>Test</v>
      </c>
      <c r="M31" t="str">
        <f>VLOOKUP(NSGGroups[[#This Row],[SNetID]], Subnets[#All], 12, FALSE)&amp;VLOOKUP(NSGGroups[[#This Row],[SNetID]], Subnets[#All], 13, FALSE)</f>
        <v>10.130.99.0/24</v>
      </c>
      <c r="N31" s="53" t="str">
        <f>"New-AzureNetworkSecurityGroup -Name '" &amp; NSGGroups[[#This Row],[Title]]&amp; "' -Location $VNETSite_"&amp;NSGGroups[[#This Row],[SiteNumber]]&amp;".location -Label '"&amp;NSGGroups[[#This Row],[Description]]&amp;"'"</f>
        <v>New-AzureNetworkSecurityGroup -Name 'NSG_DMZ_350_SLG_Test_ia' -Location $VNETSite_PreProd2.location -Label '350: DMZ, Data Tier (2) Internet EndPoint Machines'</v>
      </c>
    </row>
    <row r="32" spans="1:14" x14ac:dyDescent="0.45">
      <c r="A32" t="s">
        <v>1059</v>
      </c>
      <c r="B32" t="s">
        <v>437</v>
      </c>
      <c r="C32">
        <f>VLOOKUP(NSGGroups[[#This Row],[SNetID]], Subnets[#All], 2, FALSE)</f>
        <v>360</v>
      </c>
      <c r="D32" t="str">
        <f>"NSG_"&amp;NSGGroups[[#This Row],[SubnetName(computed)]]</f>
        <v>NSG_Users_Tier0_360_SLG_Test_ia</v>
      </c>
      <c r="E32" t="str">
        <f>LEFT(NSGGroups[[#This Row],[SubnetNumber(Computed)]]&amp;": "&amp; NSGGroups[[#This Row],[Application(Compluted)]]&amp;", Data Tier ("&amp;NSGGroups[[#This Row],[Tier]]&amp;") "&amp;NSGGroups[[#This Row],[SubDesc(Computed)]], 50)</f>
        <v>360: Users_Tier0, Data Tier (0) Tier 0 - Direct Co</v>
      </c>
      <c r="F32" t="str">
        <f>VLOOKUP(NSGGroups[[#This Row],[SNetID]], Subnets[], 4, FALSE)</f>
        <v>Users_Tier0_360_SLG_Test_ia</v>
      </c>
      <c r="G32" t="str">
        <f>VLOOKUP(NSGGroups[[#This Row],[SNetID]], Subnets[#All], 9, FALSE)</f>
        <v>Users_Tier0</v>
      </c>
      <c r="H32">
        <f>VLOOKUP(NSGGroups[[#This Row],[SNetID]], Subnets[#All], 10, FALSE)</f>
        <v>0</v>
      </c>
      <c r="I3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2" t="str">
        <f>VLOOKUP(NSGGroups[[#This Row],[SNetID]], Subnets[], 8, FALSE)</f>
        <v>ia</v>
      </c>
      <c r="K32" t="s">
        <v>1162</v>
      </c>
      <c r="L32" t="str">
        <f>VLOOKUP(NSGGroups[[#This Row],[SNetID]], Subnets[], 5, FALSE)</f>
        <v>Test</v>
      </c>
      <c r="M32" t="str">
        <f>VLOOKUP(NSGGroups[[#This Row],[SNetID]], Subnets[#All], 12, FALSE)&amp;VLOOKUP(NSGGroups[[#This Row],[SNetID]], Subnets[#All], 13, FALSE)</f>
        <v>10.130.100.0/25</v>
      </c>
      <c r="N32" s="53" t="str">
        <f>"New-AzureNetworkSecurityGroup -Name '" &amp; NSGGroups[[#This Row],[Title]]&amp; "' -Location $VNETSite_"&amp;NSGGroups[[#This Row],[SiteNumber]]&amp;".location -Label '"&amp;NSGGroups[[#This Row],[Description]]&amp;"'"</f>
        <v>New-AzureNetworkSecurityGroup -Name 'NSG_Users_Tier0_360_SLG_Test_ia' -Location $VNETSite_PreProd2.location -Label '360: Users_Tier0, Data Tier (0) Tier 0 - Direct Co'</v>
      </c>
    </row>
    <row r="33" spans="1:14" x14ac:dyDescent="0.45">
      <c r="A33" t="s">
        <v>1060</v>
      </c>
      <c r="B33" t="s">
        <v>438</v>
      </c>
      <c r="C33">
        <f>VLOOKUP(NSGGroups[[#This Row],[SNetID]], Subnets[#All], 2, FALSE)</f>
        <v>361</v>
      </c>
      <c r="D33" t="str">
        <f>"NSG_"&amp;NSGGroups[[#This Row],[SubnetName(computed)]]</f>
        <v>NSG_Users_Tier1_361_SLG_Test_ia</v>
      </c>
      <c r="E33" t="str">
        <f>LEFT(NSGGroups[[#This Row],[SubnetNumber(Computed)]]&amp;": "&amp; NSGGroups[[#This Row],[Application(Compluted)]]&amp;", Data Tier ("&amp;NSGGroups[[#This Row],[Tier]]&amp;") "&amp;NSGGroups[[#This Row],[SubDesc(Computed)]], 50)</f>
        <v>361: Users_Tier1, Data Tier (1) Tier 1 administrat</v>
      </c>
      <c r="F33" t="str">
        <f>VLOOKUP(NSGGroups[[#This Row],[SNetID]], Subnets[], 4, FALSE)</f>
        <v>Users_Tier1_361_SLG_Test_ia</v>
      </c>
      <c r="G33" t="str">
        <f>VLOOKUP(NSGGroups[[#This Row],[SNetID]], Subnets[#All], 9, FALSE)</f>
        <v>Users_Tier1</v>
      </c>
      <c r="H33">
        <v>1</v>
      </c>
      <c r="I33" t="str">
        <f>VLOOKUP(NSGGroups[[#This Row],[SNetID]], Subnets[#All], 11, FALSE)</f>
        <v>Tier 1 administrator - manage enterprise servers, services, and applications</v>
      </c>
      <c r="J33" t="str">
        <f>VLOOKUP(NSGGroups[[#This Row],[SNetID]], Subnets[], 8, FALSE)</f>
        <v>ia</v>
      </c>
      <c r="K33" t="s">
        <v>1162</v>
      </c>
      <c r="L33" t="str">
        <f>VLOOKUP(NSGGroups[[#This Row],[SNetID]], Subnets[], 5, FALSE)</f>
        <v>Test</v>
      </c>
      <c r="M33" t="str">
        <f>VLOOKUP(NSGGroups[[#This Row],[SNetID]], Subnets[#All], 12, FALSE)&amp;VLOOKUP(NSGGroups[[#This Row],[SNetID]], Subnets[#All], 13, FALSE)</f>
        <v>10.130.100.128/25</v>
      </c>
      <c r="N33" s="53" t="str">
        <f>"New-AzureNetworkSecurityGroup -Name '" &amp; NSGGroups[[#This Row],[Title]]&amp; "' -Location $VNETSite_"&amp;NSGGroups[[#This Row],[SiteNumber]]&amp;".location -Label '"&amp;NSGGroups[[#This Row],[Description]]&amp;"'"</f>
        <v>New-AzureNetworkSecurityGroup -Name 'NSG_Users_Tier1_361_SLG_Test_ia' -Location $VNETSite_PreProd2.location -Label '361: Users_Tier1, Data Tier (1) Tier 1 administrat'</v>
      </c>
    </row>
    <row r="34" spans="1:14" x14ac:dyDescent="0.45">
      <c r="A34" t="s">
        <v>1061</v>
      </c>
      <c r="B34" t="s">
        <v>439</v>
      </c>
      <c r="C34">
        <f>VLOOKUP(NSGGroups[[#This Row],[SNetID]], Subnets[#All], 2, FALSE)</f>
        <v>362</v>
      </c>
      <c r="D34" t="str">
        <f>"NSG_"&amp;NSGGroups[[#This Row],[SubnetName(computed)]]</f>
        <v>NSG_Users_Tier2_362_SLG_Test_ia</v>
      </c>
      <c r="E34" t="str">
        <f>LEFT(NSGGroups[[#This Row],[SubnetNumber(Computed)]]&amp;": "&amp; NSGGroups[[#This Row],[Application(Compluted)]]&amp;", Data Tier ("&amp;NSGGroups[[#This Row],[Tier]]&amp;") "&amp;NSGGroups[[#This Row],[SubDesc(Computed)]], 50)</f>
        <v>362: Users_Tier2, Data Tier (2) Tier 2 - Control o</v>
      </c>
      <c r="F34" t="str">
        <f>VLOOKUP(NSGGroups[[#This Row],[SNetID]], Subnets[], 4, FALSE)</f>
        <v>Users_Tier2_362_SLG_Test_ia</v>
      </c>
      <c r="G34" t="str">
        <f>VLOOKUP(NSGGroups[[#This Row],[SNetID]], Subnets[#All], 9, FALSE)</f>
        <v>Users_Tier2</v>
      </c>
      <c r="H34">
        <v>2</v>
      </c>
      <c r="I34" t="str">
        <f>VLOOKUP(NSGGroups[[#This Row],[SNetID]], Subnets[#All], 11, FALSE)</f>
        <v>Tier 2 - Control of user workstations and devices. Tier 2 administrator accounts have administrative control of a significant amount of business value that is hosted on user workstations and devices</v>
      </c>
      <c r="J34" t="str">
        <f>VLOOKUP(NSGGroups[[#This Row],[SNetID]], Subnets[], 8, FALSE)</f>
        <v>ia</v>
      </c>
      <c r="K34" t="s">
        <v>1162</v>
      </c>
      <c r="L34" t="str">
        <f>VLOOKUP(NSGGroups[[#This Row],[SNetID]], Subnets[], 5, FALSE)</f>
        <v>Test</v>
      </c>
      <c r="M34" t="str">
        <f>VLOOKUP(NSGGroups[[#This Row],[SNetID]], Subnets[#All], 12, FALSE)&amp;VLOOKUP(NSGGroups[[#This Row],[SNetID]], Subnets[#All], 13, FALSE)</f>
        <v>10.130.101.0/25</v>
      </c>
      <c r="N34" s="53" t="str">
        <f>"New-AzureNetworkSecurityGroup -Name '" &amp; NSGGroups[[#This Row],[Title]]&amp; "' -Location $VNETSite_"&amp;NSGGroups[[#This Row],[SiteNumber]]&amp;".location -Label '"&amp;NSGGroups[[#This Row],[Description]]&amp;"'"</f>
        <v>New-AzureNetworkSecurityGroup -Name 'NSG_Users_Tier2_362_SLG_Test_ia' -Location $VNETSite_PreProd2.location -Label '362: Users_Tier2, Data Tier (2) Tier 2 - Control o'</v>
      </c>
    </row>
    <row r="35" spans="1:14" x14ac:dyDescent="0.45">
      <c r="A35" t="s">
        <v>1062</v>
      </c>
      <c r="B35" t="s">
        <v>440</v>
      </c>
      <c r="C35">
        <f>VLOOKUP(NSGGroups[[#This Row],[SNetID]], Subnets[#All], 2, FALSE)</f>
        <v>363</v>
      </c>
      <c r="D35" t="str">
        <f>"NSG_"&amp;NSGGroups[[#This Row],[SubnetName(computed)]]</f>
        <v>NSG_Users_Tier0_363_SLG_Dev_ia</v>
      </c>
      <c r="E35" t="str">
        <f>LEFT(NSGGroups[[#This Row],[SubnetNumber(Computed)]]&amp;": "&amp; NSGGroups[[#This Row],[Application(Compluted)]]&amp;", Data Tier ("&amp;NSGGroups[[#This Row],[Tier]]&amp;") "&amp;NSGGroups[[#This Row],[SubDesc(Computed)]], 50)</f>
        <v>363: Users_Tier0, Data Tier (0) Tier 0 - Direct Co</v>
      </c>
      <c r="F35" t="str">
        <f>VLOOKUP(NSGGroups[[#This Row],[SNetID]], Subnets[], 4, FALSE)</f>
        <v>Users_Tier0_363_SLG_Dev_ia</v>
      </c>
      <c r="G35" t="str">
        <f>VLOOKUP(NSGGroups[[#This Row],[SNetID]], Subnets[#All], 9, FALSE)</f>
        <v>Users_Tier0</v>
      </c>
      <c r="H35">
        <f>VLOOKUP(NSGGroups[[#This Row],[SNetID]], Subnets[#All], 10, FALSE)</f>
        <v>0</v>
      </c>
      <c r="I3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35" t="str">
        <f>VLOOKUP(NSGGroups[[#This Row],[SNetID]], Subnets[], 8, FALSE)</f>
        <v>ia</v>
      </c>
      <c r="K35" t="s">
        <v>1162</v>
      </c>
      <c r="L35" t="str">
        <f>VLOOKUP(NSGGroups[[#This Row],[SNetID]], Subnets[], 5, FALSE)</f>
        <v>Dev</v>
      </c>
      <c r="M35" t="str">
        <f>VLOOKUP(NSGGroups[[#This Row],[SNetID]], Subnets[#All], 12, FALSE)&amp;VLOOKUP(NSGGroups[[#This Row],[SNetID]], Subnets[#All], 13, FALSE)</f>
        <v>10.130.101.128/25</v>
      </c>
      <c r="N35" s="53" t="str">
        <f>"New-AzureNetworkSecurityGroup -Name '" &amp; NSGGroups[[#This Row],[Title]]&amp; "' -Location $VNETSite_"&amp;NSGGroups[[#This Row],[SiteNumber]]&amp;".location -Label '"&amp;NSGGroups[[#This Row],[Description]]&amp;"'"</f>
        <v>New-AzureNetworkSecurityGroup -Name 'NSG_Users_Tier0_363_SLG_Dev_ia' -Location $VNETSite_PreProd2.location -Label '363: Users_Tier0, Data Tier (0) Tier 0 - Direct Co'</v>
      </c>
    </row>
    <row r="36" spans="1:14" x14ac:dyDescent="0.45">
      <c r="A36" t="s">
        <v>1063</v>
      </c>
      <c r="B36" t="s">
        <v>441</v>
      </c>
      <c r="C36">
        <f>VLOOKUP(NSGGroups[[#This Row],[SNetID]], Subnets[#All], 2, FALSE)</f>
        <v>364</v>
      </c>
      <c r="D36" t="str">
        <f>"NSG_"&amp;NSGGroups[[#This Row],[SubnetName(computed)]]</f>
        <v>NSG_Users_Tier1_364_SLG_Dev_ia</v>
      </c>
      <c r="E36" t="str">
        <f>LEFT(NSGGroups[[#This Row],[SubnetNumber(Computed)]]&amp;": "&amp; NSGGroups[[#This Row],[Application(Compluted)]]&amp;", Data Tier ("&amp;NSGGroups[[#This Row],[Tier]]&amp;") "&amp;NSGGroups[[#This Row],[SubDesc(Computed)]], 50)</f>
        <v>364: Users_Tier1, Data Tier (1) Tier 1 administrat</v>
      </c>
      <c r="F36" t="str">
        <f>VLOOKUP(NSGGroups[[#This Row],[SNetID]], Subnets[], 4, FALSE)</f>
        <v>Users_Tier1_364_SLG_Dev_ia</v>
      </c>
      <c r="G36" t="str">
        <f>VLOOKUP(NSGGroups[[#This Row],[SNetID]], Subnets[#All], 9, FALSE)</f>
        <v>Users_Tier1</v>
      </c>
      <c r="H36">
        <v>1</v>
      </c>
      <c r="I36" t="str">
        <f>VLOOKUP(NSGGroups[[#This Row],[SNetID]], Subnets[#All], 11, FALSE)</f>
        <v>Tier 1 administrator - manage enterprise servers, services, and applications</v>
      </c>
      <c r="J36" t="str">
        <f>VLOOKUP(NSGGroups[[#This Row],[SNetID]], Subnets[], 8, FALSE)</f>
        <v>ia</v>
      </c>
      <c r="K36" t="s">
        <v>1162</v>
      </c>
      <c r="L36" t="str">
        <f>VLOOKUP(NSGGroups[[#This Row],[SNetID]], Subnets[], 5, FALSE)</f>
        <v>Dev</v>
      </c>
      <c r="M36" t="str">
        <f>VLOOKUP(NSGGroups[[#This Row],[SNetID]], Subnets[#All], 12, FALSE)&amp;VLOOKUP(NSGGroups[[#This Row],[SNetID]], Subnets[#All], 13, FALSE)</f>
        <v>10.130.102.0/25</v>
      </c>
      <c r="N36" s="53" t="str">
        <f>"New-AzureNetworkSecurityGroup -Name '" &amp; NSGGroups[[#This Row],[Title]]&amp; "' -Location $VNETSite_"&amp;NSGGroups[[#This Row],[SiteNumber]]&amp;".location -Label '"&amp;NSGGroups[[#This Row],[Description]]&amp;"'"</f>
        <v>New-AzureNetworkSecurityGroup -Name 'NSG_Users_Tier1_364_SLG_Dev_ia' -Location $VNETSite_PreProd2.location -Label '364: Users_Tier1, Data Tier (1) Tier 1 administrat'</v>
      </c>
    </row>
    <row r="37" spans="1:14" x14ac:dyDescent="0.45">
      <c r="A37" t="s">
        <v>1064</v>
      </c>
      <c r="B37" t="s">
        <v>1175</v>
      </c>
      <c r="C37">
        <f>VLOOKUP(NSGGroups[[#This Row],[SNetID]], Subnets[#All], 2, FALSE)</f>
        <v>365</v>
      </c>
      <c r="D37" t="str">
        <f>"NSG_"&amp;NSGGroups[[#This Row],[SubnetName(computed)]]</f>
        <v>NSG_Users_Tier2_365_SLG_Dev_ia</v>
      </c>
      <c r="E37" t="str">
        <f>LEFT(NSGGroups[[#This Row],[SubnetNumber(Computed)]]&amp;": "&amp; NSGGroups[[#This Row],[Application(Compluted)]]&amp;", Data Tier ("&amp;NSGGroups[[#This Row],[Tier]]&amp;") "&amp;NSGGroups[[#This Row],[SubDesc(Computed)]], 50)</f>
        <v>365: Users_Tier2, Data Tier (2) Tier 2 - Control o</v>
      </c>
      <c r="F37" t="str">
        <f>VLOOKUP(NSGGroups[[#This Row],[SNetID]], Subnets[], 4, FALSE)</f>
        <v>Users_Tier2_365_SLG_Dev_ia</v>
      </c>
      <c r="G37" t="str">
        <f>VLOOKUP(NSGGroups[[#This Row],[SNetID]], Subnets[#All], 9, FALSE)</f>
        <v>Users_Tier2</v>
      </c>
      <c r="H37">
        <v>2</v>
      </c>
      <c r="I37" t="str">
        <f>VLOOKUP(NSGGroups[[#This Row],[SNetID]], Subnets[#All], 11, FALSE)</f>
        <v>Tier 2 - Control of user workstations and devices. Tier 2 administrator accounts have administrative control of a significant amount of business value that is hosted on user workstations and devices</v>
      </c>
      <c r="J37" t="str">
        <f>VLOOKUP(NSGGroups[[#This Row],[SNetID]], Subnets[], 8, FALSE)</f>
        <v>ia</v>
      </c>
      <c r="K37" t="s">
        <v>1162</v>
      </c>
      <c r="L37" t="str">
        <f>VLOOKUP(NSGGroups[[#This Row],[SNetID]], Subnets[], 5, FALSE)</f>
        <v>Dev</v>
      </c>
      <c r="M37" t="str">
        <f>VLOOKUP(NSGGroups[[#This Row],[SNetID]], Subnets[#All], 12, FALSE)&amp;VLOOKUP(NSGGroups[[#This Row],[SNetID]], Subnets[#All], 13, FALSE)</f>
        <v>10.130.102.128/25</v>
      </c>
      <c r="N37" s="53" t="str">
        <f>"New-AzureNetworkSecurityGroup -Name '" &amp; NSGGroups[[#This Row],[Title]]&amp; "' -Location $VNETSite_"&amp;NSGGroups[[#This Row],[SiteNumber]]&amp;".location -Label '"&amp;NSGGroups[[#This Row],[Description]]&amp;"'"</f>
        <v>New-AzureNetworkSecurityGroup -Name 'NSG_Users_Tier2_365_SLG_Dev_ia' -Location $VNETSite_PreProd2.location -Label '365: Users_Tier2, Data Tier (2) Tier 2 - Control o'</v>
      </c>
    </row>
    <row r="38" spans="1:14" x14ac:dyDescent="0.45">
      <c r="A38" t="s">
        <v>1065</v>
      </c>
      <c r="B38" t="s">
        <v>442</v>
      </c>
      <c r="C38">
        <f>VLOOKUP(NSGGroups[[#This Row],[SNetID]], Subnets[#All], 2, FALSE)</f>
        <v>410</v>
      </c>
      <c r="D38" t="str">
        <f>"NSG_"&amp;NSGGroups[[#This Row],[SubnetName(computed)]]</f>
        <v>NSG_Web_410_SLG_Dev_ia</v>
      </c>
      <c r="E38" t="str">
        <f>LEFT(NSGGroups[[#This Row],[SubnetNumber(Computed)]]&amp;": "&amp; NSGGroups[[#This Row],[Application(Compluted)]]&amp;", Data Tier ("&amp;NSGGroups[[#This Row],[Tier]]&amp;") "&amp;NSGGroups[[#This Row],[SubDesc(Computed)]], 50)</f>
        <v>410: Web, Data Tier (2) HTTP and HTTPS services</v>
      </c>
      <c r="F38" t="str">
        <f>VLOOKUP(NSGGroups[[#This Row],[SNetID]], Subnets[], 4, FALSE)</f>
        <v>Web_410_SLG_Dev_ia</v>
      </c>
      <c r="G38" t="str">
        <f>VLOOKUP(NSGGroups[[#This Row],[SNetID]], Subnets[#All], 9, FALSE)</f>
        <v>Web</v>
      </c>
      <c r="H38">
        <v>2</v>
      </c>
      <c r="I38" t="str">
        <f>VLOOKUP(NSGGroups[[#This Row],[SNetID]], Subnets[#All], 11, FALSE)</f>
        <v>HTTP and HTTPS services</v>
      </c>
      <c r="J38" t="str">
        <f>VLOOKUP(NSGGroups[[#This Row],[SNetID]], Subnets[], 8, FALSE)</f>
        <v>ia</v>
      </c>
      <c r="K38" t="s">
        <v>1162</v>
      </c>
      <c r="L38" t="str">
        <f>VLOOKUP(NSGGroups[[#This Row],[SNetID]], Subnets[], 5, FALSE)</f>
        <v>Dev</v>
      </c>
      <c r="M38" t="str">
        <f>VLOOKUP(NSGGroups[[#This Row],[SNetID]], Subnets[#All], 12, FALSE)&amp;VLOOKUP(NSGGroups[[#This Row],[SNetID]], Subnets[#All], 13, FALSE)</f>
        <v>10.130.103.0/24</v>
      </c>
      <c r="N38" s="53" t="str">
        <f>"New-AzureNetworkSecurityGroup -Name '" &amp; NSGGroups[[#This Row],[Title]]&amp; "' -Location $VNETSite_"&amp;NSGGroups[[#This Row],[SiteNumber]]&amp;".location -Label '"&amp;NSGGroups[[#This Row],[Description]]&amp;"'"</f>
        <v>New-AzureNetworkSecurityGroup -Name 'NSG_Web_410_SLG_Dev_ia' -Location $VNETSite_PreProd2.location -Label '410: Web, Data Tier (2) HTTP and HTTPS services'</v>
      </c>
    </row>
    <row r="39" spans="1:14" x14ac:dyDescent="0.45">
      <c r="A39" t="s">
        <v>1066</v>
      </c>
      <c r="B39" t="s">
        <v>443</v>
      </c>
      <c r="C39">
        <f>VLOOKUP(NSGGroups[[#This Row],[SNetID]], Subnets[#All], 2, FALSE)</f>
        <v>420</v>
      </c>
      <c r="D39" t="str">
        <f>"NSG_"&amp;NSGGroups[[#This Row],[SubnetName(computed)]]</f>
        <v>NSG_App_420_SLG_Dev_ia</v>
      </c>
      <c r="E39" t="str">
        <f>LEFT(NSGGroups[[#This Row],[SubnetNumber(Computed)]]&amp;": "&amp; NSGGroups[[#This Row],[Application(Compluted)]]&amp;", Data Tier ("&amp;NSGGroups[[#This Row],[Tier]]&amp;") "&amp;NSGGroups[[#This Row],[SubDesc(Computed)]], 50)</f>
        <v>420: App, Data Tier (1) Web Services, OEM applicat</v>
      </c>
      <c r="F39" t="str">
        <f>VLOOKUP(NSGGroups[[#This Row],[SNetID]], Subnets[], 4, FALSE)</f>
        <v>App_420_SLG_Dev_ia</v>
      </c>
      <c r="G39" t="str">
        <f>VLOOKUP(NSGGroups[[#This Row],[SNetID]], Subnets[#All], 9, FALSE)</f>
        <v>App</v>
      </c>
      <c r="H39">
        <v>1</v>
      </c>
      <c r="I39" t="str">
        <f>VLOOKUP(NSGGroups[[#This Row],[SNetID]], Subnets[#All], 11, FALSE)</f>
        <v>Web Services, OEM applications</v>
      </c>
      <c r="J39" t="str">
        <f>VLOOKUP(NSGGroups[[#This Row],[SNetID]], Subnets[], 8, FALSE)</f>
        <v>ia</v>
      </c>
      <c r="K39" t="s">
        <v>1162</v>
      </c>
      <c r="L39" t="str">
        <f>VLOOKUP(NSGGroups[[#This Row],[SNetID]], Subnets[], 5, FALSE)</f>
        <v>Dev</v>
      </c>
      <c r="M39" t="str">
        <f>VLOOKUP(NSGGroups[[#This Row],[SNetID]], Subnets[#All], 12, FALSE)&amp;VLOOKUP(NSGGroups[[#This Row],[SNetID]], Subnets[#All], 13, FALSE)</f>
        <v>10.130.104.0/24</v>
      </c>
      <c r="N39" s="53" t="str">
        <f>"New-AzureNetworkSecurityGroup -Name '" &amp; NSGGroups[[#This Row],[Title]]&amp; "' -Location $VNETSite_"&amp;NSGGroups[[#This Row],[SiteNumber]]&amp;".location -Label '"&amp;NSGGroups[[#This Row],[Description]]&amp;"'"</f>
        <v>New-AzureNetworkSecurityGroup -Name 'NSG_App_420_SLG_Dev_ia' -Location $VNETSite_PreProd2.location -Label '420: App, Data Tier (1) Web Services, OEM applicat'</v>
      </c>
    </row>
    <row r="40" spans="1:14" x14ac:dyDescent="0.45">
      <c r="A40" t="s">
        <v>1067</v>
      </c>
      <c r="B40" t="s">
        <v>444</v>
      </c>
      <c r="C40">
        <f>VLOOKUP(NSGGroups[[#This Row],[SNetID]], Subnets[#All], 2, FALSE)</f>
        <v>430</v>
      </c>
      <c r="D40" t="str">
        <f>"NSG_"&amp;NSGGroups[[#This Row],[SubnetName(computed)]]</f>
        <v>NSG_Database_430_SLG_Dev_ia</v>
      </c>
      <c r="E40" t="str">
        <f>LEFT(NSGGroups[[#This Row],[SubnetNumber(Computed)]]&amp;": "&amp; NSGGroups[[#This Row],[Application(Compluted)]]&amp;", Data Tier ("&amp;NSGGroups[[#This Row],[Tier]]&amp;") "&amp;NSGGroups[[#This Row],[SubDesc(Computed)]], 50)</f>
        <v>430: Database, Data Tier (1) Data for Applications</v>
      </c>
      <c r="F40" t="str">
        <f>VLOOKUP(NSGGroups[[#This Row],[SNetID]], Subnets[], 4, FALSE)</f>
        <v>Database_430_SLG_Dev_ia</v>
      </c>
      <c r="G40" t="str">
        <f>VLOOKUP(NSGGroups[[#This Row],[SNetID]], Subnets[#All], 9, FALSE)</f>
        <v>Database</v>
      </c>
      <c r="H40">
        <v>1</v>
      </c>
      <c r="I40" t="str">
        <f>VLOOKUP(NSGGroups[[#This Row],[SNetID]], Subnets[#All], 11, FALSE)</f>
        <v>Data for Applications</v>
      </c>
      <c r="J40" t="str">
        <f>VLOOKUP(NSGGroups[[#This Row],[SNetID]], Subnets[], 8, FALSE)</f>
        <v>ia</v>
      </c>
      <c r="K40" t="s">
        <v>1162</v>
      </c>
      <c r="L40" t="str">
        <f>VLOOKUP(NSGGroups[[#This Row],[SNetID]], Subnets[], 5, FALSE)</f>
        <v>Dev</v>
      </c>
      <c r="M40" t="str">
        <f>VLOOKUP(NSGGroups[[#This Row],[SNetID]], Subnets[#All], 12, FALSE)&amp;VLOOKUP(NSGGroups[[#This Row],[SNetID]], Subnets[#All], 13, FALSE)</f>
        <v>10.130.105.0/24</v>
      </c>
      <c r="N40" s="53" t="str">
        <f>"New-AzureNetworkSecurityGroup -Name '" &amp; NSGGroups[[#This Row],[Title]]&amp; "' -Location $VNETSite_"&amp;NSGGroups[[#This Row],[SiteNumber]]&amp;".location -Label '"&amp;NSGGroups[[#This Row],[Description]]&amp;"'"</f>
        <v>New-AzureNetworkSecurityGroup -Name 'NSG_Database_430_SLG_Dev_ia' -Location $VNETSite_PreProd2.location -Label '430: Database, Data Tier (1) Data for Applications'</v>
      </c>
    </row>
    <row r="41" spans="1:14" x14ac:dyDescent="0.45">
      <c r="A41" t="s">
        <v>1068</v>
      </c>
      <c r="B41" t="s">
        <v>445</v>
      </c>
      <c r="C41">
        <f>VLOOKUP(NSGGroups[[#This Row],[SNetID]], Subnets[#All], 2, FALSE)</f>
        <v>450</v>
      </c>
      <c r="D41" t="str">
        <f>"NSG_"&amp;NSGGroups[[#This Row],[SubnetName(computed)]]</f>
        <v>NSG_DMZ_450_SLG_Dev_ia</v>
      </c>
      <c r="E41" t="str">
        <f>LEFT(NSGGroups[[#This Row],[SubnetNumber(Computed)]]&amp;": "&amp; NSGGroups[[#This Row],[Application(Compluted)]]&amp;", Data Tier ("&amp;NSGGroups[[#This Row],[Tier]]&amp;") "&amp;NSGGroups[[#This Row],[SubDesc(Computed)]], 50)</f>
        <v>450: DMZ, Data Tier (2) Internet EndPoint Machines</v>
      </c>
      <c r="F41" t="str">
        <f>VLOOKUP(NSGGroups[[#This Row],[SNetID]], Subnets[], 4, FALSE)</f>
        <v>DMZ_450_SLG_Dev_ia</v>
      </c>
      <c r="G41" t="str">
        <f>VLOOKUP(NSGGroups[[#This Row],[SNetID]], Subnets[#All], 9, FALSE)</f>
        <v>DMZ</v>
      </c>
      <c r="H41">
        <v>2</v>
      </c>
      <c r="I41" t="str">
        <f>VLOOKUP(NSGGroups[[#This Row],[SNetID]], Subnets[#All], 11, FALSE)</f>
        <v>Internet EndPoint Machines</v>
      </c>
      <c r="J41" t="str">
        <f>VLOOKUP(NSGGroups[[#This Row],[SNetID]], Subnets[], 8, FALSE)</f>
        <v>ia</v>
      </c>
      <c r="K41" t="s">
        <v>1162</v>
      </c>
      <c r="L41" t="str">
        <f>VLOOKUP(NSGGroups[[#This Row],[SNetID]], Subnets[], 5, FALSE)</f>
        <v>Dev</v>
      </c>
      <c r="M41" t="str">
        <f>VLOOKUP(NSGGroups[[#This Row],[SNetID]], Subnets[#All], 12, FALSE)&amp;VLOOKUP(NSGGroups[[#This Row],[SNetID]], Subnets[#All], 13, FALSE)</f>
        <v>10.130.106.0/24</v>
      </c>
      <c r="N41" s="53" t="str">
        <f>"New-AzureNetworkSecurityGroup -Name '" &amp; NSGGroups[[#This Row],[Title]]&amp; "' -Location $VNETSite_"&amp;NSGGroups[[#This Row],[SiteNumber]]&amp;".location -Label '"&amp;NSGGroups[[#This Row],[Description]]&amp;"'"</f>
        <v>New-AzureNetworkSecurityGroup -Name 'NSG_DMZ_450_SLG_Dev_ia' -Location $VNETSite_PreProd2.location -Label '450: DMZ, Data Tier (2) Internet EndPoint Machines'</v>
      </c>
    </row>
    <row r="42" spans="1:14" x14ac:dyDescent="0.45">
      <c r="A42" t="s">
        <v>1069</v>
      </c>
      <c r="B42" t="s">
        <v>449</v>
      </c>
      <c r="C42">
        <f>VLOOKUP(NSGGroups[[#This Row],[SNetID]], Subnets[#All], 2, FALSE)</f>
        <v>110</v>
      </c>
      <c r="D42" t="str">
        <f>"NSG_"&amp;NSGGroups[[#This Row],[SubnetName(computed)]]</f>
        <v>NSG_Web_110_SLG_prod_va</v>
      </c>
      <c r="E42" t="str">
        <f>LEFT(NSGGroups[[#This Row],[SubnetNumber(Computed)]]&amp;": "&amp; NSGGroups[[#This Row],[Application(Compluted)]]&amp;", Data Tier ("&amp;NSGGroups[[#This Row],[Tier]]&amp;") "&amp;NSGGroups[[#This Row],[SubDesc(Computed)]], 50)</f>
        <v>110: Web, Data Tier (2) HTTP and HTTPS services</v>
      </c>
      <c r="F42" t="str">
        <f>VLOOKUP(NSGGroups[[#This Row],[SNetID]], Subnets[], 4, FALSE)</f>
        <v>Web_110_SLG_prod_va</v>
      </c>
      <c r="G42" t="str">
        <f>VLOOKUP(NSGGroups[[#This Row],[SNetID]], Subnets[#All], 9, FALSE)</f>
        <v>Web</v>
      </c>
      <c r="H42">
        <v>2</v>
      </c>
      <c r="I42" t="str">
        <f>VLOOKUP(NSGGroups[[#This Row],[SNetID]], Subnets[#All], 11, FALSE)</f>
        <v>HTTP and HTTPS services</v>
      </c>
      <c r="J42" t="str">
        <f>VLOOKUP(NSGGroups[[#This Row],[SNetID]], Subnets[], 8, FALSE)</f>
        <v>va</v>
      </c>
      <c r="K42" t="s">
        <v>1165</v>
      </c>
      <c r="L42" t="str">
        <f>VLOOKUP(NSGGroups[[#This Row],[SNetID]], Subnets[], 5, FALSE)</f>
        <v>prod</v>
      </c>
      <c r="M42" t="str">
        <f>VLOOKUP(NSGGroups[[#This Row],[SNetID]], Subnets[#All], 12, FALSE)&amp;VLOOKUP(NSGGroups[[#This Row],[SNetID]], Subnets[#All], 13, FALSE)</f>
        <v>10.130.2.0/24</v>
      </c>
      <c r="N42" s="53" t="str">
        <f>"New-AzureNetworkSecurityGroup -Name '" &amp; NSGGroups[[#This Row],[Title]]&amp; "' -Location $VNETSite_"&amp;NSGGroups[[#This Row],[SiteNumber]]&amp;".location -Label '"&amp;NSGGroups[[#This Row],[Description]]&amp;"'"</f>
        <v>New-AzureNetworkSecurityGroup -Name 'NSG_Web_110_SLG_prod_va' -Location $VNETSite_Prod1.location -Label '110: Web, Data Tier (2) HTTP and HTTPS services'</v>
      </c>
    </row>
    <row r="43" spans="1:14" x14ac:dyDescent="0.45">
      <c r="A43" t="s">
        <v>1070</v>
      </c>
      <c r="B43" t="s">
        <v>450</v>
      </c>
      <c r="C43">
        <f>VLOOKUP(NSGGroups[[#This Row],[SNetID]], Subnets[#All], 2, FALSE)</f>
        <v>120</v>
      </c>
      <c r="D43" t="str">
        <f>"NSG_"&amp;NSGGroups[[#This Row],[SubnetName(computed)]]</f>
        <v>NSG_App_120_SLG_prod_va</v>
      </c>
      <c r="E43" t="str">
        <f>LEFT(NSGGroups[[#This Row],[SubnetNumber(Computed)]]&amp;": "&amp; NSGGroups[[#This Row],[Application(Compluted)]]&amp;", Data Tier ("&amp;NSGGroups[[#This Row],[Tier]]&amp;") "&amp;NSGGroups[[#This Row],[SubDesc(Computed)]], 50)</f>
        <v>120: App, Data Tier (1) Web Services, OEM applicat</v>
      </c>
      <c r="F43" t="str">
        <f>VLOOKUP(NSGGroups[[#This Row],[SNetID]], Subnets[], 4, FALSE)</f>
        <v>App_120_SLG_prod_va</v>
      </c>
      <c r="G43" t="str">
        <f>VLOOKUP(NSGGroups[[#This Row],[SNetID]], Subnets[#All], 9, FALSE)</f>
        <v>App</v>
      </c>
      <c r="H43">
        <v>1</v>
      </c>
      <c r="I43" t="str">
        <f>VLOOKUP(NSGGroups[[#This Row],[SNetID]], Subnets[#All], 11, FALSE)</f>
        <v>Web Services, OEM applications</v>
      </c>
      <c r="J43" t="str">
        <f>VLOOKUP(NSGGroups[[#This Row],[SNetID]], Subnets[], 8, FALSE)</f>
        <v>va</v>
      </c>
      <c r="K43" t="s">
        <v>1165</v>
      </c>
      <c r="L43" t="str">
        <f>VLOOKUP(NSGGroups[[#This Row],[SNetID]], Subnets[], 5, FALSE)</f>
        <v>prod</v>
      </c>
      <c r="M43" t="str">
        <f>VLOOKUP(NSGGroups[[#This Row],[SNetID]], Subnets[#All], 12, FALSE)&amp;VLOOKUP(NSGGroups[[#This Row],[SNetID]], Subnets[#All], 13, FALSE)</f>
        <v>10.130.4.0/24</v>
      </c>
      <c r="N43" s="53" t="str">
        <f>"New-AzureNetworkSecurityGroup -Name '" &amp; NSGGroups[[#This Row],[Title]]&amp; "' -Location $VNETSite_"&amp;NSGGroups[[#This Row],[SiteNumber]]&amp;".location -Label '"&amp;NSGGroups[[#This Row],[Description]]&amp;"'"</f>
        <v>New-AzureNetworkSecurityGroup -Name 'NSG_App_120_SLG_prod_va' -Location $VNETSite_Prod1.location -Label '120: App, Data Tier (1) Web Services, OEM applicat'</v>
      </c>
    </row>
    <row r="44" spans="1:14" x14ac:dyDescent="0.45">
      <c r="A44" t="s">
        <v>1071</v>
      </c>
      <c r="B44" t="s">
        <v>451</v>
      </c>
      <c r="C44">
        <f>VLOOKUP(NSGGroups[[#This Row],[SNetID]], Subnets[#All], 2, FALSE)</f>
        <v>130</v>
      </c>
      <c r="D44" t="str">
        <f>"NSG_"&amp;NSGGroups[[#This Row],[SubnetName(computed)]]</f>
        <v>NSG_Database_130_SLG_prod_va</v>
      </c>
      <c r="E44" t="str">
        <f>LEFT(NSGGroups[[#This Row],[SubnetNumber(Computed)]]&amp;": "&amp; NSGGroups[[#This Row],[Application(Compluted)]]&amp;", Data Tier ("&amp;NSGGroups[[#This Row],[Tier]]&amp;") "&amp;NSGGroups[[#This Row],[SubDesc(Computed)]], 50)</f>
        <v>130: Database, Data Tier (1) Data for Applications</v>
      </c>
      <c r="F44" t="str">
        <f>VLOOKUP(NSGGroups[[#This Row],[SNetID]], Subnets[], 4, FALSE)</f>
        <v>Database_130_SLG_prod_va</v>
      </c>
      <c r="G44" t="str">
        <f>VLOOKUP(NSGGroups[[#This Row],[SNetID]], Subnets[#All], 9, FALSE)</f>
        <v>Database</v>
      </c>
      <c r="H44">
        <f>VLOOKUP(NSGGroups[[#This Row],[SNetID]], Subnets[#All], 10, FALSE)</f>
        <v>1</v>
      </c>
      <c r="I44" t="str">
        <f>VLOOKUP(NSGGroups[[#This Row],[SNetID]], Subnets[#All], 11, FALSE)</f>
        <v>Data for Applications</v>
      </c>
      <c r="J44" t="str">
        <f>VLOOKUP(NSGGroups[[#This Row],[SNetID]], Subnets[], 8, FALSE)</f>
        <v>va</v>
      </c>
      <c r="K44" t="s">
        <v>1165</v>
      </c>
      <c r="L44" t="str">
        <f>VLOOKUP(NSGGroups[[#This Row],[SNetID]], Subnets[], 5, FALSE)</f>
        <v>prod</v>
      </c>
      <c r="M44" t="str">
        <f>VLOOKUP(NSGGroups[[#This Row],[SNetID]], Subnets[#All], 12, FALSE)&amp;VLOOKUP(NSGGroups[[#This Row],[SNetID]], Subnets[#All], 13, FALSE)</f>
        <v>10.130.6.0/24</v>
      </c>
      <c r="N44" s="53" t="str">
        <f>"New-AzureNetworkSecurityGroup -Name '" &amp; NSGGroups[[#This Row],[Title]]&amp; "' -Location $VNETSite_"&amp;NSGGroups[[#This Row],[SiteNumber]]&amp;".location -Label '"&amp;NSGGroups[[#This Row],[Description]]&amp;"'"</f>
        <v>New-AzureNetworkSecurityGroup -Name 'NSG_Database_130_SLG_prod_va' -Location $VNETSite_Prod1.location -Label '130: Database, Data Tier (1) Data for Applications'</v>
      </c>
    </row>
    <row r="45" spans="1:14" x14ac:dyDescent="0.45">
      <c r="A45" t="s">
        <v>1072</v>
      </c>
      <c r="B45" t="s">
        <v>452</v>
      </c>
      <c r="C45">
        <f>VLOOKUP(NSGGroups[[#This Row],[SNetID]], Subnets[#All], 2, FALSE)</f>
        <v>150</v>
      </c>
      <c r="D45" t="str">
        <f>"NSG_"&amp;NSGGroups[[#This Row],[SubnetName(computed)]]</f>
        <v>NSG_DMZ_150_SLG_prod_va</v>
      </c>
      <c r="E45" t="str">
        <f>LEFT(NSGGroups[[#This Row],[SubnetNumber(Computed)]]&amp;": "&amp; NSGGroups[[#This Row],[Application(Compluted)]]&amp;", Data Tier ("&amp;NSGGroups[[#This Row],[Tier]]&amp;") "&amp;NSGGroups[[#This Row],[SubDesc(Computed)]], 50)</f>
        <v>150: DMZ, Data Tier (2) Internet EndPoint Machines</v>
      </c>
      <c r="F45" t="str">
        <f>VLOOKUP(NSGGroups[[#This Row],[SNetID]], Subnets[], 4, FALSE)</f>
        <v>DMZ_150_SLG_prod_va</v>
      </c>
      <c r="G45" t="str">
        <f>VLOOKUP(NSGGroups[[#This Row],[SNetID]], Subnets[#All], 9, FALSE)</f>
        <v>DMZ</v>
      </c>
      <c r="H45">
        <v>2</v>
      </c>
      <c r="I45" t="str">
        <f>VLOOKUP(NSGGroups[[#This Row],[SNetID]], Subnets[#All], 11, FALSE)</f>
        <v>Internet EndPoint Machines</v>
      </c>
      <c r="J45" t="str">
        <f>VLOOKUP(NSGGroups[[#This Row],[SNetID]], Subnets[], 8, FALSE)</f>
        <v>va</v>
      </c>
      <c r="K45" t="s">
        <v>1165</v>
      </c>
      <c r="L45" t="str">
        <f>VLOOKUP(NSGGroups[[#This Row],[SNetID]], Subnets[], 5, FALSE)</f>
        <v>prod</v>
      </c>
      <c r="M45" t="str">
        <f>VLOOKUP(NSGGroups[[#This Row],[SNetID]], Subnets[#All], 12, FALSE)&amp;VLOOKUP(NSGGroups[[#This Row],[SNetID]], Subnets[#All], 13, FALSE)</f>
        <v>10.130.8.0/24</v>
      </c>
      <c r="N45" s="53" t="str">
        <f>"New-AzureNetworkSecurityGroup -Name '" &amp; NSGGroups[[#This Row],[Title]]&amp; "' -Location $VNETSite_"&amp;NSGGroups[[#This Row],[SiteNumber]]&amp;".location -Label '"&amp;NSGGroups[[#This Row],[Description]]&amp;"'"</f>
        <v>New-AzureNetworkSecurityGroup -Name 'NSG_DMZ_150_SLG_prod_va' -Location $VNETSite_Prod1.location -Label '150: DMZ, Data Tier (2) Internet EndPoint Machines'</v>
      </c>
    </row>
    <row r="46" spans="1:14" x14ac:dyDescent="0.45">
      <c r="A46" t="s">
        <v>1073</v>
      </c>
      <c r="B46" t="s">
        <v>453</v>
      </c>
      <c r="C46">
        <f>VLOOKUP(NSGGroups[[#This Row],[SNetID]], Subnets[#All], 2, FALSE)</f>
        <v>160</v>
      </c>
      <c r="D46" t="str">
        <f>"NSG_"&amp;NSGGroups[[#This Row],[SubnetName(computed)]]</f>
        <v>NSG_User_Tier0_160_SLG_prod_va</v>
      </c>
      <c r="E46" t="str">
        <f>LEFT(NSGGroups[[#This Row],[SubnetNumber(Computed)]]&amp;": "&amp; NSGGroups[[#This Row],[Application(Compluted)]]&amp;", Data Tier ("&amp;NSGGroups[[#This Row],[Tier]]&amp;") "&amp;NSGGroups[[#This Row],[SubDesc(Computed)]], 50)</f>
        <v>160: User_Tier0, Data Tier (0) Tier 0 - Direct Con</v>
      </c>
      <c r="F46" t="str">
        <f>VLOOKUP(NSGGroups[[#This Row],[SNetID]], Subnets[], 4, FALSE)</f>
        <v>User_Tier0_160_SLG_prod_va</v>
      </c>
      <c r="G46" t="str">
        <f>VLOOKUP(NSGGroups[[#This Row],[SNetID]], Subnets[#All], 9, FALSE)</f>
        <v>User_Tier0</v>
      </c>
      <c r="H46">
        <f>VLOOKUP(NSGGroups[[#This Row],[SNetID]], Subnets[#All], 10, FALSE)</f>
        <v>0</v>
      </c>
      <c r="I4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46" t="str">
        <f>VLOOKUP(NSGGroups[[#This Row],[SNetID]], Subnets[], 8, FALSE)</f>
        <v>va</v>
      </c>
      <c r="K46" t="s">
        <v>1165</v>
      </c>
      <c r="L46" t="str">
        <f>VLOOKUP(NSGGroups[[#This Row],[SNetID]], Subnets[], 5, FALSE)</f>
        <v>prod</v>
      </c>
      <c r="M46" t="str">
        <f>VLOOKUP(NSGGroups[[#This Row],[SNetID]], Subnets[#All], 12, FALSE)&amp;VLOOKUP(NSGGroups[[#This Row],[SNetID]], Subnets[#All], 13, FALSE)</f>
        <v>10.130.10.0/25</v>
      </c>
      <c r="N46" s="53" t="str">
        <f>"New-AzureNetworkSecurityGroup -Name '" &amp; NSGGroups[[#This Row],[Title]]&amp; "' -Location $VNETSite_"&amp;NSGGroups[[#This Row],[SiteNumber]]&amp;".location -Label '"&amp;NSGGroups[[#This Row],[Description]]&amp;"'"</f>
        <v>New-AzureNetworkSecurityGroup -Name 'NSG_User_Tier0_160_SLG_prod_va' -Location $VNETSite_Prod1.location -Label '160: User_Tier0, Data Tier (0) Tier 0 - Direct Con'</v>
      </c>
    </row>
    <row r="47" spans="1:14" x14ac:dyDescent="0.45">
      <c r="A47" t="s">
        <v>1074</v>
      </c>
      <c r="B47" t="s">
        <v>454</v>
      </c>
      <c r="C47">
        <f>VLOOKUP(NSGGroups[[#This Row],[SNetID]], Subnets[#All], 2, FALSE)</f>
        <v>161</v>
      </c>
      <c r="D47" t="str">
        <f>"NSG_"&amp;NSGGroups[[#This Row],[SubnetName(computed)]]</f>
        <v>NSG_Users_Tier1_161_SLG_prod_va</v>
      </c>
      <c r="E47" t="str">
        <f>LEFT(NSGGroups[[#This Row],[SubnetNumber(Computed)]]&amp;": "&amp; NSGGroups[[#This Row],[Application(Compluted)]]&amp;", Data Tier ("&amp;NSGGroups[[#This Row],[Tier]]&amp;") "&amp;NSGGroups[[#This Row],[SubDesc(Computed)]], 50)</f>
        <v>161: Users_Tier1, Data Tier (1) Tier 1 administrat</v>
      </c>
      <c r="F47" t="str">
        <f>VLOOKUP(NSGGroups[[#This Row],[SNetID]], Subnets[], 4, FALSE)</f>
        <v>Users_Tier1_161_SLG_prod_va</v>
      </c>
      <c r="G47" t="str">
        <f>VLOOKUP(NSGGroups[[#This Row],[SNetID]], Subnets[#All], 9, FALSE)</f>
        <v>Users_Tier1</v>
      </c>
      <c r="H47">
        <v>1</v>
      </c>
      <c r="I47" t="str">
        <f>VLOOKUP(NSGGroups[[#This Row],[SNetID]], Subnets[#All], 11, FALSE)</f>
        <v>Tier 1 administrator - manage enterprise servers, services, and applications</v>
      </c>
      <c r="J47" t="str">
        <f>VLOOKUP(NSGGroups[[#This Row],[SNetID]], Subnets[], 8, FALSE)</f>
        <v>va</v>
      </c>
      <c r="K47" t="s">
        <v>1165</v>
      </c>
      <c r="L47" t="str">
        <f>VLOOKUP(NSGGroups[[#This Row],[SNetID]], Subnets[], 5, FALSE)</f>
        <v>prod</v>
      </c>
      <c r="M47" t="str">
        <f>VLOOKUP(NSGGroups[[#This Row],[SNetID]], Subnets[#All], 12, FALSE)&amp;VLOOKUP(NSGGroups[[#This Row],[SNetID]], Subnets[#All], 13, FALSE)</f>
        <v>10.130.10.128/25</v>
      </c>
      <c r="N47" s="53" t="str">
        <f>"New-AzureNetworkSecurityGroup -Name '" &amp; NSGGroups[[#This Row],[Title]]&amp; "' -Location $VNETSite_"&amp;NSGGroups[[#This Row],[SiteNumber]]&amp;".location -Label '"&amp;NSGGroups[[#This Row],[Description]]&amp;"'"</f>
        <v>New-AzureNetworkSecurityGroup -Name 'NSG_Users_Tier1_161_SLG_prod_va' -Location $VNETSite_Prod1.location -Label '161: Users_Tier1, Data Tier (1) Tier 1 administrat'</v>
      </c>
    </row>
    <row r="48" spans="1:14" x14ac:dyDescent="0.45">
      <c r="A48" t="s">
        <v>1075</v>
      </c>
      <c r="B48" t="s">
        <v>455</v>
      </c>
      <c r="C48">
        <f>VLOOKUP(NSGGroups[[#This Row],[SNetID]], Subnets[#All], 2, FALSE)</f>
        <v>162</v>
      </c>
      <c r="D48" t="str">
        <f>"NSG_"&amp;NSGGroups[[#This Row],[SubnetName(computed)]]</f>
        <v>NSG_Users_Tier2_162_SLG_prod_va</v>
      </c>
      <c r="E48" t="str">
        <f>LEFT(NSGGroups[[#This Row],[SubnetNumber(Computed)]]&amp;": "&amp; NSGGroups[[#This Row],[Application(Compluted)]]&amp;", Data Tier ("&amp;NSGGroups[[#This Row],[Tier]]&amp;") "&amp;NSGGroups[[#This Row],[SubDesc(Computed)]], 50)</f>
        <v>162: Users_Tier2, Data Tier (2) Tier 2 - Control o</v>
      </c>
      <c r="F48" t="str">
        <f>VLOOKUP(NSGGroups[[#This Row],[SNetID]], Subnets[], 4, FALSE)</f>
        <v>Users_Tier2_162_SLG_prod_va</v>
      </c>
      <c r="G48" t="str">
        <f>VLOOKUP(NSGGroups[[#This Row],[SNetID]], Subnets[#All], 9, FALSE)</f>
        <v>Users_Tier2</v>
      </c>
      <c r="H48">
        <v>2</v>
      </c>
      <c r="I48" t="str">
        <f>VLOOKUP(NSGGroups[[#This Row],[SNetID]], Subnets[#All], 11, FALSE)</f>
        <v>Tier 2 - Control of user workstations and devices. Tier 2 administrator accounts have administrative control of a significant amount of business value that is hosted on user workstations and devices</v>
      </c>
      <c r="J48" t="str">
        <f>VLOOKUP(NSGGroups[[#This Row],[SNetID]], Subnets[], 8, FALSE)</f>
        <v>va</v>
      </c>
      <c r="K48" t="s">
        <v>1165</v>
      </c>
      <c r="L48" t="str">
        <f>VLOOKUP(NSGGroups[[#This Row],[SNetID]], Subnets[], 5, FALSE)</f>
        <v>prod</v>
      </c>
      <c r="M48" t="str">
        <f>VLOOKUP(NSGGroups[[#This Row],[SNetID]], Subnets[#All], 12, FALSE)&amp;VLOOKUP(NSGGroups[[#This Row],[SNetID]], Subnets[#All], 13, FALSE)</f>
        <v>10.130.11.0/25</v>
      </c>
      <c r="N48" s="53" t="str">
        <f>"New-AzureNetworkSecurityGroup -Name '" &amp; NSGGroups[[#This Row],[Title]]&amp; "' -Location $VNETSite_"&amp;NSGGroups[[#This Row],[SiteNumber]]&amp;".location -Label '"&amp;NSGGroups[[#This Row],[Description]]&amp;"'"</f>
        <v>New-AzureNetworkSecurityGroup -Name 'NSG_Users_Tier2_162_SLG_prod_va' -Location $VNETSite_Prod1.location -Label '162: Users_Tier2, Data Tier (2) Tier 2 - Control o'</v>
      </c>
    </row>
    <row r="49" spans="1:14" x14ac:dyDescent="0.45">
      <c r="A49" t="s">
        <v>1076</v>
      </c>
      <c r="B49" t="s">
        <v>459</v>
      </c>
      <c r="C49">
        <f>VLOOKUP(NSGGroups[[#This Row],[SNetID]], Subnets[#All], 2, FALSE)</f>
        <v>110</v>
      </c>
      <c r="D49" t="str">
        <f>"NSG_"&amp;NSGGroups[[#This Row],[SubnetName(computed)]]</f>
        <v>NSG_Web_110_SLG_prod_ia</v>
      </c>
      <c r="E49" t="str">
        <f>LEFT(NSGGroups[[#This Row],[SubnetNumber(Computed)]]&amp;": "&amp; NSGGroups[[#This Row],[Application(Compluted)]]&amp;", Data Tier ("&amp;NSGGroups[[#This Row],[Tier]]&amp;") "&amp;NSGGroups[[#This Row],[SubDesc(Computed)]], 50)</f>
        <v>110: Web, Data Tier (2) HTTP and HTTPS services</v>
      </c>
      <c r="F49" t="str">
        <f>VLOOKUP(NSGGroups[[#This Row],[SNetID]], Subnets[], 4, FALSE)</f>
        <v>Web_110_SLG_prod_ia</v>
      </c>
      <c r="G49" t="str">
        <f>VLOOKUP(NSGGroups[[#This Row],[SNetID]], Subnets[#All], 9, FALSE)</f>
        <v>Web</v>
      </c>
      <c r="H49">
        <v>2</v>
      </c>
      <c r="I49" t="str">
        <f>VLOOKUP(NSGGroups[[#This Row],[SNetID]], Subnets[#All], 11, FALSE)</f>
        <v>HTTP and HTTPS services</v>
      </c>
      <c r="J49" t="str">
        <f>VLOOKUP(NSGGroups[[#This Row],[SNetID]], Subnets[], 8, FALSE)</f>
        <v>ia</v>
      </c>
      <c r="K49" t="s">
        <v>1164</v>
      </c>
      <c r="L49" t="str">
        <f>VLOOKUP(NSGGroups[[#This Row],[SNetID]], Subnets[], 5, FALSE)</f>
        <v>prod</v>
      </c>
      <c r="M49" t="str">
        <f>VLOOKUP(NSGGroups[[#This Row],[SNetID]], Subnets[#All], 12, FALSE)&amp;VLOOKUP(NSGGroups[[#This Row],[SNetID]], Subnets[#All], 13, FALSE)</f>
        <v>10.130.64.0/24</v>
      </c>
      <c r="N49" s="53" t="str">
        <f>"New-AzureNetworkSecurityGroup -Name '" &amp; NSGGroups[[#This Row],[Title]]&amp; "' -Location $VNETSite_"&amp;NSGGroups[[#This Row],[SiteNumber]]&amp;".location -Label '"&amp;NSGGroups[[#This Row],[Description]]&amp;"'"</f>
        <v>New-AzureNetworkSecurityGroup -Name 'NSG_Web_110_SLG_prod_ia' -Location $VNETSite_Prod2.location -Label '110: Web, Data Tier (2) HTTP and HTTPS services'</v>
      </c>
    </row>
    <row r="50" spans="1:14" x14ac:dyDescent="0.45">
      <c r="A50" t="s">
        <v>1077</v>
      </c>
      <c r="B50" t="s">
        <v>460</v>
      </c>
      <c r="C50">
        <f>VLOOKUP(NSGGroups[[#This Row],[SNetID]], Subnets[#All], 2, FALSE)</f>
        <v>120</v>
      </c>
      <c r="D50" t="str">
        <f>"NSG_"&amp;NSGGroups[[#This Row],[SubnetName(computed)]]</f>
        <v>NSG_App_120_SLG_prod_ia</v>
      </c>
      <c r="E50" t="str">
        <f>LEFT(NSGGroups[[#This Row],[SubnetNumber(Computed)]]&amp;": "&amp; NSGGroups[[#This Row],[Application(Compluted)]]&amp;", Data Tier ("&amp;NSGGroups[[#This Row],[Tier]]&amp;") "&amp;NSGGroups[[#This Row],[SubDesc(Computed)]], 50)</f>
        <v>120: App, Data Tier (1) Web Services, OEM applicat</v>
      </c>
      <c r="F50" t="str">
        <f>VLOOKUP(NSGGroups[[#This Row],[SNetID]], Subnets[], 4, FALSE)</f>
        <v>App_120_SLG_prod_ia</v>
      </c>
      <c r="G50" t="str">
        <f>VLOOKUP(NSGGroups[[#This Row],[SNetID]], Subnets[#All], 9, FALSE)</f>
        <v>App</v>
      </c>
      <c r="H50">
        <v>1</v>
      </c>
      <c r="I50" t="str">
        <f>VLOOKUP(NSGGroups[[#This Row],[SNetID]], Subnets[#All], 11, FALSE)</f>
        <v>Web Services, OEM applications</v>
      </c>
      <c r="J50" t="str">
        <f>VLOOKUP(NSGGroups[[#This Row],[SNetID]], Subnets[], 8, FALSE)</f>
        <v>ia</v>
      </c>
      <c r="K50" t="s">
        <v>1164</v>
      </c>
      <c r="L50" t="str">
        <f>VLOOKUP(NSGGroups[[#This Row],[SNetID]], Subnets[], 5, FALSE)</f>
        <v>prod</v>
      </c>
      <c r="M50" t="str">
        <f>VLOOKUP(NSGGroups[[#This Row],[SNetID]], Subnets[#All], 12, FALSE)&amp;VLOOKUP(NSGGroups[[#This Row],[SNetID]], Subnets[#All], 13, FALSE)</f>
        <v>10.130.66.0/24</v>
      </c>
      <c r="N50" s="53" t="str">
        <f>"New-AzureNetworkSecurityGroup -Name '" &amp; NSGGroups[[#This Row],[Title]]&amp; "' -Location $VNETSite_"&amp;NSGGroups[[#This Row],[SiteNumber]]&amp;".location -Label '"&amp;NSGGroups[[#This Row],[Description]]&amp;"'"</f>
        <v>New-AzureNetworkSecurityGroup -Name 'NSG_App_120_SLG_prod_ia' -Location $VNETSite_Prod2.location -Label '120: App, Data Tier (1) Web Services, OEM applicat'</v>
      </c>
    </row>
    <row r="51" spans="1:14" x14ac:dyDescent="0.45">
      <c r="A51" t="s">
        <v>1078</v>
      </c>
      <c r="B51" t="s">
        <v>461</v>
      </c>
      <c r="C51">
        <f>VLOOKUP(NSGGroups[[#This Row],[SNetID]], Subnets[#All], 2, FALSE)</f>
        <v>130</v>
      </c>
      <c r="D51" t="str">
        <f>"NSG_"&amp;NSGGroups[[#This Row],[SubnetName(computed)]]</f>
        <v>NSG_Database_130_SLG_prod_ia</v>
      </c>
      <c r="E51" t="str">
        <f>LEFT(NSGGroups[[#This Row],[SubnetNumber(Computed)]]&amp;": "&amp; NSGGroups[[#This Row],[Application(Compluted)]]&amp;", Data Tier ("&amp;NSGGroups[[#This Row],[Tier]]&amp;") "&amp;NSGGroups[[#This Row],[SubDesc(Computed)]], 50)</f>
        <v>130: Database, Data Tier (1) Data for Applications</v>
      </c>
      <c r="F51" t="str">
        <f>VLOOKUP(NSGGroups[[#This Row],[SNetID]], Subnets[], 4, FALSE)</f>
        <v>Database_130_SLG_prod_ia</v>
      </c>
      <c r="G51" t="str">
        <f>VLOOKUP(NSGGroups[[#This Row],[SNetID]], Subnets[#All], 9, FALSE)</f>
        <v>Database</v>
      </c>
      <c r="H51">
        <f>VLOOKUP(NSGGroups[[#This Row],[SNetID]], Subnets[#All], 10, FALSE)</f>
        <v>1</v>
      </c>
      <c r="I51" t="str">
        <f>VLOOKUP(NSGGroups[[#This Row],[SNetID]], Subnets[#All], 11, FALSE)</f>
        <v>Data for Applications</v>
      </c>
      <c r="J51" t="str">
        <f>VLOOKUP(NSGGroups[[#This Row],[SNetID]], Subnets[], 8, FALSE)</f>
        <v>ia</v>
      </c>
      <c r="K51" t="s">
        <v>1164</v>
      </c>
      <c r="L51" t="str">
        <f>VLOOKUP(NSGGroups[[#This Row],[SNetID]], Subnets[], 5, FALSE)</f>
        <v>prod</v>
      </c>
      <c r="M51" t="str">
        <f>VLOOKUP(NSGGroups[[#This Row],[SNetID]], Subnets[#All], 12, FALSE)&amp;VLOOKUP(NSGGroups[[#This Row],[SNetID]], Subnets[#All], 13, FALSE)</f>
        <v>10.130.68.0/24</v>
      </c>
      <c r="N51" s="53" t="str">
        <f>"New-AzureNetworkSecurityGroup -Name '" &amp; NSGGroups[[#This Row],[Title]]&amp; "' -Location $VNETSite_"&amp;NSGGroups[[#This Row],[SiteNumber]]&amp;".location -Label '"&amp;NSGGroups[[#This Row],[Description]]&amp;"'"</f>
        <v>New-AzureNetworkSecurityGroup -Name 'NSG_Database_130_SLG_prod_ia' -Location $VNETSite_Prod2.location -Label '130: Database, Data Tier (1) Data for Applications'</v>
      </c>
    </row>
    <row r="52" spans="1:14" x14ac:dyDescent="0.45">
      <c r="A52" t="s">
        <v>1079</v>
      </c>
      <c r="B52" t="s">
        <v>462</v>
      </c>
      <c r="C52">
        <f>VLOOKUP(NSGGroups[[#This Row],[SNetID]], Subnets[#All], 2, FALSE)</f>
        <v>150</v>
      </c>
      <c r="D52" t="str">
        <f>"NSG_"&amp;NSGGroups[[#This Row],[SubnetName(computed)]]</f>
        <v>NSG_DMZ_150_SLG_prod_ia</v>
      </c>
      <c r="E52" t="str">
        <f>LEFT(NSGGroups[[#This Row],[SubnetNumber(Computed)]]&amp;": "&amp; NSGGroups[[#This Row],[Application(Compluted)]]&amp;", Data Tier ("&amp;NSGGroups[[#This Row],[Tier]]&amp;") "&amp;NSGGroups[[#This Row],[SubDesc(Computed)]], 50)</f>
        <v>150: DMZ, Data Tier (2) Internet EndPoint Machines</v>
      </c>
      <c r="F52" t="str">
        <f>VLOOKUP(NSGGroups[[#This Row],[SNetID]], Subnets[], 4, FALSE)</f>
        <v>DMZ_150_SLG_prod_ia</v>
      </c>
      <c r="G52" t="str">
        <f>VLOOKUP(NSGGroups[[#This Row],[SNetID]], Subnets[#All], 9, FALSE)</f>
        <v>DMZ</v>
      </c>
      <c r="H52">
        <v>2</v>
      </c>
      <c r="I52" t="str">
        <f>VLOOKUP(NSGGroups[[#This Row],[SNetID]], Subnets[#All], 11, FALSE)</f>
        <v>Internet EndPoint Machines</v>
      </c>
      <c r="J52" t="str">
        <f>VLOOKUP(NSGGroups[[#This Row],[SNetID]], Subnets[], 8, FALSE)</f>
        <v>ia</v>
      </c>
      <c r="K52" t="s">
        <v>1164</v>
      </c>
      <c r="L52" t="str">
        <f>VLOOKUP(NSGGroups[[#This Row],[SNetID]], Subnets[], 5, FALSE)</f>
        <v>prod</v>
      </c>
      <c r="M52" t="str">
        <f>VLOOKUP(NSGGroups[[#This Row],[SNetID]], Subnets[#All], 12, FALSE)&amp;VLOOKUP(NSGGroups[[#This Row],[SNetID]], Subnets[#All], 13, FALSE)</f>
        <v>10.130.70.0/24</v>
      </c>
      <c r="N52" s="53" t="str">
        <f>"New-AzureNetworkSecurityGroup -Name '" &amp; NSGGroups[[#This Row],[Title]]&amp; "' -Location $VNETSite_"&amp;NSGGroups[[#This Row],[SiteNumber]]&amp;".location -Label '"&amp;NSGGroups[[#This Row],[Description]]&amp;"'"</f>
        <v>New-AzureNetworkSecurityGroup -Name 'NSG_DMZ_150_SLG_prod_ia' -Location $VNETSite_Prod2.location -Label '150: DMZ, Data Tier (2) Internet EndPoint Machines'</v>
      </c>
    </row>
    <row r="53" spans="1:14" x14ac:dyDescent="0.45">
      <c r="A53" t="s">
        <v>1080</v>
      </c>
      <c r="B53" t="s">
        <v>463</v>
      </c>
      <c r="C53">
        <f>VLOOKUP(NSGGroups[[#This Row],[SNetID]], Subnets[#All], 2, FALSE)</f>
        <v>160</v>
      </c>
      <c r="D53" t="str">
        <f>"NSG_"&amp;NSGGroups[[#This Row],[SubnetName(computed)]]</f>
        <v>NSG_User_Tier0_160_SLG_prod_ia</v>
      </c>
      <c r="E53" t="str">
        <f>LEFT(NSGGroups[[#This Row],[SubnetNumber(Computed)]]&amp;": "&amp; NSGGroups[[#This Row],[Application(Compluted)]]&amp;", Data Tier ("&amp;NSGGroups[[#This Row],[Tier]]&amp;") "&amp;NSGGroups[[#This Row],[SubDesc(Computed)]], 50)</f>
        <v>160: User_Tier0, Data Tier (0) Tier 0 - Direct Con</v>
      </c>
      <c r="F53" t="str">
        <f>VLOOKUP(NSGGroups[[#This Row],[SNetID]], Subnets[], 4, FALSE)</f>
        <v>User_Tier0_160_SLG_prod_ia</v>
      </c>
      <c r="G53" t="str">
        <f>VLOOKUP(NSGGroups[[#This Row],[SNetID]], Subnets[#All], 9, FALSE)</f>
        <v>User_Tier0</v>
      </c>
      <c r="H53">
        <f>VLOOKUP(NSGGroups[[#This Row],[SNetID]], Subnets[#All], 10, FALSE)</f>
        <v>0</v>
      </c>
      <c r="I5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53" t="str">
        <f>VLOOKUP(NSGGroups[[#This Row],[SNetID]], Subnets[], 8, FALSE)</f>
        <v>ia</v>
      </c>
      <c r="K53" t="s">
        <v>1164</v>
      </c>
      <c r="L53" t="str">
        <f>VLOOKUP(NSGGroups[[#This Row],[SNetID]], Subnets[], 5, FALSE)</f>
        <v>prod</v>
      </c>
      <c r="M53" t="str">
        <f>VLOOKUP(NSGGroups[[#This Row],[SNetID]], Subnets[#All], 12, FALSE)&amp;VLOOKUP(NSGGroups[[#This Row],[SNetID]], Subnets[#All], 13, FALSE)</f>
        <v>10.130.72.0/25</v>
      </c>
      <c r="N53" s="53" t="str">
        <f>"New-AzureNetworkSecurityGroup -Name '" &amp; NSGGroups[[#This Row],[Title]]&amp; "' -Location $VNETSite_"&amp;NSGGroups[[#This Row],[SiteNumber]]&amp;".location -Label '"&amp;NSGGroups[[#This Row],[Description]]&amp;"'"</f>
        <v>New-AzureNetworkSecurityGroup -Name 'NSG_User_Tier0_160_SLG_prod_ia' -Location $VNETSite_Prod2.location -Label '160: User_Tier0, Data Tier (0) Tier 0 - Direct Con'</v>
      </c>
    </row>
    <row r="54" spans="1:14" x14ac:dyDescent="0.45">
      <c r="A54" t="s">
        <v>1081</v>
      </c>
      <c r="B54" t="s">
        <v>464</v>
      </c>
      <c r="C54">
        <f>VLOOKUP(NSGGroups[[#This Row],[SNetID]], Subnets[#All], 2, FALSE)</f>
        <v>161</v>
      </c>
      <c r="D54" t="str">
        <f>"NSG_"&amp;NSGGroups[[#This Row],[SubnetName(computed)]]</f>
        <v>NSG_Users_Tier1_161_SLG_prod_ia</v>
      </c>
      <c r="E54" t="str">
        <f>LEFT(NSGGroups[[#This Row],[SubnetNumber(Computed)]]&amp;": "&amp; NSGGroups[[#This Row],[Application(Compluted)]]&amp;", Data Tier ("&amp;NSGGroups[[#This Row],[Tier]]&amp;") "&amp;NSGGroups[[#This Row],[SubDesc(Computed)]], 50)</f>
        <v>161: Users_Tier1, Data Tier (1) Tier 1 administrat</v>
      </c>
      <c r="F54" t="str">
        <f>VLOOKUP(NSGGroups[[#This Row],[SNetID]], Subnets[], 4, FALSE)</f>
        <v>Users_Tier1_161_SLG_prod_ia</v>
      </c>
      <c r="G54" t="str">
        <f>VLOOKUP(NSGGroups[[#This Row],[SNetID]], Subnets[#All], 9, FALSE)</f>
        <v>Users_Tier1</v>
      </c>
      <c r="H54">
        <v>1</v>
      </c>
      <c r="I54" t="str">
        <f>VLOOKUP(NSGGroups[[#This Row],[SNetID]], Subnets[#All], 11, FALSE)</f>
        <v>Tier 1 administrator - manage enterprise servers, services, and applications</v>
      </c>
      <c r="J54" t="str">
        <f>VLOOKUP(NSGGroups[[#This Row],[SNetID]], Subnets[], 8, FALSE)</f>
        <v>ia</v>
      </c>
      <c r="K54" t="s">
        <v>1164</v>
      </c>
      <c r="L54" t="str">
        <f>VLOOKUP(NSGGroups[[#This Row],[SNetID]], Subnets[], 5, FALSE)</f>
        <v>prod</v>
      </c>
      <c r="M54" t="str">
        <f>VLOOKUP(NSGGroups[[#This Row],[SNetID]], Subnets[#All], 12, FALSE)&amp;VLOOKUP(NSGGroups[[#This Row],[SNetID]], Subnets[#All], 13, FALSE)</f>
        <v>10.130.72.128/25</v>
      </c>
      <c r="N54" s="53" t="str">
        <f>"New-AzureNetworkSecurityGroup -Name '" &amp; NSGGroups[[#This Row],[Title]]&amp; "' -Location $VNETSite_"&amp;NSGGroups[[#This Row],[SiteNumber]]&amp;".location -Label '"&amp;NSGGroups[[#This Row],[Description]]&amp;"'"</f>
        <v>New-AzureNetworkSecurityGroup -Name 'NSG_Users_Tier1_161_SLG_prod_ia' -Location $VNETSite_Prod2.location -Label '161: Users_Tier1, Data Tier (1) Tier 1 administrat'</v>
      </c>
    </row>
    <row r="55" spans="1:14" x14ac:dyDescent="0.45">
      <c r="A55" t="s">
        <v>1082</v>
      </c>
      <c r="B55" t="s">
        <v>465</v>
      </c>
      <c r="C55">
        <f>VLOOKUP(NSGGroups[[#This Row],[SNetID]], Subnets[#All], 2, FALSE)</f>
        <v>162</v>
      </c>
      <c r="D55" t="str">
        <f>"NSG_"&amp;NSGGroups[[#This Row],[SubnetName(computed)]]</f>
        <v>NSG_Users_Tier2_162_SLG_prod_ia</v>
      </c>
      <c r="E55" t="str">
        <f>LEFT(NSGGroups[[#This Row],[SubnetNumber(Computed)]]&amp;": "&amp; NSGGroups[[#This Row],[Application(Compluted)]]&amp;", Data Tier ("&amp;NSGGroups[[#This Row],[Tier]]&amp;") "&amp;NSGGroups[[#This Row],[SubDesc(Computed)]], 50)</f>
        <v>162: Users_Tier2, Data Tier (2) Tier 2 - Control o</v>
      </c>
      <c r="F55" t="str">
        <f>VLOOKUP(NSGGroups[[#This Row],[SNetID]], Subnets[], 4, FALSE)</f>
        <v>Users_Tier2_162_SLG_prod_ia</v>
      </c>
      <c r="G55" t="str">
        <f>VLOOKUP(NSGGroups[[#This Row],[SNetID]], Subnets[#All], 9, FALSE)</f>
        <v>Users_Tier2</v>
      </c>
      <c r="H55">
        <v>2</v>
      </c>
      <c r="I55" t="str">
        <f>VLOOKUP(NSGGroups[[#This Row],[SNetID]], Subnets[#All], 11, FALSE)</f>
        <v>Tier 2 - Control of user workstations and devices. Tier 2 administrator accounts have administrative control of a significant amount of business value that is hosted on user workstations and devices</v>
      </c>
      <c r="J55" t="str">
        <f>VLOOKUP(NSGGroups[[#This Row],[SNetID]], Subnets[], 8, FALSE)</f>
        <v>ia</v>
      </c>
      <c r="K55" t="s">
        <v>1164</v>
      </c>
      <c r="L55" t="str">
        <f>VLOOKUP(NSGGroups[[#This Row],[SNetID]], Subnets[], 5, FALSE)</f>
        <v>prod</v>
      </c>
      <c r="M55" t="str">
        <f>VLOOKUP(NSGGroups[[#This Row],[SNetID]], Subnets[#All], 12, FALSE)&amp;VLOOKUP(NSGGroups[[#This Row],[SNetID]], Subnets[#All], 13, FALSE)</f>
        <v>10.130.73.0/25</v>
      </c>
      <c r="N55" s="53" t="str">
        <f>"New-AzureNetworkSecurityGroup -Name '" &amp; NSGGroups[[#This Row],[Title]]&amp; "' -Location $VNETSite_"&amp;NSGGroups[[#This Row],[SiteNumber]]&amp;".location -Label '"&amp;NSGGroups[[#This Row],[Description]]&amp;"'"</f>
        <v>New-AzureNetworkSecurityGroup -Name 'NSG_Users_Tier2_162_SLG_prod_ia' -Location $VNETSite_Prod2.location -Label '162: Users_Tier2, Data Tier (2) Tier 2 - Control o'</v>
      </c>
    </row>
    <row r="56" spans="1:14" x14ac:dyDescent="0.45">
      <c r="A56" t="s">
        <v>1084</v>
      </c>
      <c r="B56" t="s">
        <v>469</v>
      </c>
      <c r="C56">
        <f>VLOOKUP(NSGGroups[[#This Row],[SNetID]], Subnets[#All], 2, FALSE)</f>
        <v>600</v>
      </c>
      <c r="D56" t="str">
        <f>"NSG_"&amp;NSGGroups[[#This Row],[SubnetName(computed)]]</f>
        <v>NSG_Services_600_SLG_Srvcs_va</v>
      </c>
      <c r="E56" t="str">
        <f>LEFT(NSGGroups[[#This Row],[SubnetNumber(Computed)]]&amp;": "&amp; NSGGroups[[#This Row],[Application(Compluted)]]&amp;", Data Tier ("&amp;NSGGroups[[#This Row],[Tier]]&amp;") "&amp;NSGGroups[[#This Row],[SubDesc(Computed)]], 50)</f>
        <v>600: Services, Data Tier (0) Used to host highly s</v>
      </c>
      <c r="F56" t="str">
        <f>VLOOKUP(NSGGroups[[#This Row],[SNetID]], Subnets[], 4, FALSE)</f>
        <v>Services_600_SLG_Srvcs_va</v>
      </c>
      <c r="G56" t="str">
        <f>VLOOKUP(NSGGroups[[#This Row],[SNetID]], Subnets[#All], 9, FALSE)</f>
        <v>Services</v>
      </c>
      <c r="H56">
        <f>VLOOKUP(NSGGroups[[#This Row],[SNetID]], Subnets[#All], 10, FALSE)</f>
        <v>0</v>
      </c>
      <c r="I56" t="str">
        <f>VLOOKUP(NSGGroups[[#This Row],[SNetID]], Subnets[#All], 11, FALSE)</f>
        <v>Used to host highly sensitive data that is also highly accessed.</v>
      </c>
      <c r="J56" t="str">
        <f>VLOOKUP(NSGGroups[[#This Row],[SNetID]], Subnets[], 8, FALSE)</f>
        <v>va</v>
      </c>
      <c r="K56" t="s">
        <v>1168</v>
      </c>
      <c r="L56" t="str">
        <f>VLOOKUP(NSGGroups[[#This Row],[SNetID]], Subnets[], 5, FALSE)</f>
        <v>Srvcs</v>
      </c>
      <c r="M56" t="str">
        <f>VLOOKUP(NSGGroups[[#This Row],[SNetID]], Subnets[#All], 12, FALSE)&amp;VLOOKUP(NSGGroups[[#This Row],[SNetID]], Subnets[#All], 13, FALSE)</f>
        <v>10.130.56.0/24</v>
      </c>
      <c r="N56" s="53" t="str">
        <f>"New-AzureNetworkSecurityGroup -Name '" &amp; NSGGroups[[#This Row],[Title]]&amp; "' -Location $VNETSite_"&amp;NSGGroups[[#This Row],[SiteNumber]]&amp;".location -Label '"&amp;NSGGroups[[#This Row],[Description]]&amp;"'"</f>
        <v>New-AzureNetworkSecurityGroup -Name 'NSG_Services_600_SLG_Srvcs_va' -Location $VNETSite_Services1.location -Label '600: Services, Data Tier (0) Used to host highly s'</v>
      </c>
    </row>
    <row r="57" spans="1:14" x14ac:dyDescent="0.45">
      <c r="A57" t="s">
        <v>1085</v>
      </c>
      <c r="B57" t="s">
        <v>470</v>
      </c>
      <c r="C57">
        <f>VLOOKUP(NSGGroups[[#This Row],[SNetID]], Subnets[#All], 2, FALSE)</f>
        <v>650</v>
      </c>
      <c r="D57" t="str">
        <f>"NSG_"&amp;NSGGroups[[#This Row],[SubnetName(computed)]]</f>
        <v>NSG_DMZ_650_SLG_Srvcs_va</v>
      </c>
      <c r="E57" t="str">
        <f>LEFT(NSGGroups[[#This Row],[SubnetNumber(Computed)]]&amp;": "&amp; NSGGroups[[#This Row],[Application(Compluted)]]&amp;", Data Tier ("&amp;NSGGroups[[#This Row],[Tier]]&amp;") "&amp;NSGGroups[[#This Row],[SubDesc(Computed)]], 50)</f>
        <v>650: DMZ, Data Tier (2) Used to host public facing</v>
      </c>
      <c r="F57" t="str">
        <f>VLOOKUP(NSGGroups[[#This Row],[SNetID]], Subnets[], 4, FALSE)</f>
        <v>DMZ_650_SLG_Srvcs_va</v>
      </c>
      <c r="G57" t="str">
        <f>VLOOKUP(NSGGroups[[#This Row],[SNetID]], Subnets[#All], 9, FALSE)</f>
        <v>DMZ</v>
      </c>
      <c r="H57">
        <v>2</v>
      </c>
      <c r="I57" t="str">
        <f>VLOOKUP(NSGGroups[[#This Row],[SNetID]], Subnets[#All], 11, FALSE)</f>
        <v>Used to host public facing highly accecible workloads</v>
      </c>
      <c r="J57" t="str">
        <f>VLOOKUP(NSGGroups[[#This Row],[SNetID]], Subnets[], 8, FALSE)</f>
        <v>va</v>
      </c>
      <c r="K57" t="s">
        <v>1168</v>
      </c>
      <c r="L57" t="str">
        <f>VLOOKUP(NSGGroups[[#This Row],[SNetID]], Subnets[], 5, FALSE)</f>
        <v>Srvcs</v>
      </c>
      <c r="M57" t="str">
        <f>VLOOKUP(NSGGroups[[#This Row],[SNetID]], Subnets[#All], 12, FALSE)&amp;VLOOKUP(NSGGroups[[#This Row],[SNetID]], Subnets[#All], 13, FALSE)</f>
        <v>10.130.58.0/24</v>
      </c>
      <c r="N57" s="53" t="str">
        <f>"New-AzureNetworkSecurityGroup -Name '" &amp; NSGGroups[[#This Row],[Title]]&amp; "' -Location $VNETSite_"&amp;NSGGroups[[#This Row],[SiteNumber]]&amp;".location -Label '"&amp;NSGGroups[[#This Row],[Description]]&amp;"'"</f>
        <v>New-AzureNetworkSecurityGroup -Name 'NSG_DMZ_650_SLG_Srvcs_va' -Location $VNETSite_Services1.location -Label '650: DMZ, Data Tier (2) Used to host public facing'</v>
      </c>
    </row>
    <row r="58" spans="1:14" x14ac:dyDescent="0.45">
      <c r="A58" t="s">
        <v>1086</v>
      </c>
      <c r="B58" t="s">
        <v>1176</v>
      </c>
      <c r="C58">
        <f>VLOOKUP(NSGGroups[[#This Row],[SNetID]], Subnets[#All], 2, FALSE)</f>
        <v>661</v>
      </c>
      <c r="D58" t="str">
        <f>"NSG_"&amp;NSGGroups[[#This Row],[SubnetName(computed)]]</f>
        <v>NSG_Users_Tier1_661_SLG_Srvcs_va</v>
      </c>
      <c r="E58" t="str">
        <f>LEFT(NSGGroups[[#This Row],[SubnetNumber(Computed)]]&amp;": "&amp; NSGGroups[[#This Row],[Application(Compluted)]]&amp;", Data Tier ("&amp;NSGGroups[[#This Row],[Tier]]&amp;") "&amp;NSGGroups[[#This Row],[SubDesc(Computed)]], 50)</f>
        <v>661: Users_Tier1, Data Tier (1) Tier 1 administrat</v>
      </c>
      <c r="F58" t="str">
        <f>VLOOKUP(NSGGroups[[#This Row],[SNetID]], Subnets[], 4, FALSE)</f>
        <v>Users_Tier1_661_SLG_Srvcs_va</v>
      </c>
      <c r="G58" t="str">
        <f>VLOOKUP(NSGGroups[[#This Row],[SNetID]], Subnets[#All], 9, FALSE)</f>
        <v>Users_Tier1</v>
      </c>
      <c r="H58">
        <f>VLOOKUP(NSGGroups[[#This Row],[SNetID]], Subnets[#All], 10, FALSE)</f>
        <v>1</v>
      </c>
      <c r="I58" t="str">
        <f>VLOOKUP(NSGGroups[[#This Row],[SNetID]], Subnets[#All], 11, FALSE)</f>
        <v>Tier 1 administrator - manage enterprise servers, services, and applications</v>
      </c>
      <c r="J58" t="str">
        <f>VLOOKUP(NSGGroups[[#This Row],[SNetID]], Subnets[], 8, FALSE)</f>
        <v>va</v>
      </c>
      <c r="K58" t="s">
        <v>1168</v>
      </c>
      <c r="L58" t="str">
        <f>VLOOKUP(NSGGroups[[#This Row],[SNetID]], Subnets[], 5, FALSE)</f>
        <v>Srvcs</v>
      </c>
      <c r="M58" t="str">
        <f>VLOOKUP(NSGGroups[[#This Row],[SNetID]], Subnets[#All], 12, FALSE)&amp;VLOOKUP(NSGGroups[[#This Row],[SNetID]], Subnets[#All], 13, FALSE)</f>
        <v>10.130.59.128/25</v>
      </c>
      <c r="N58" s="53" t="str">
        <f>"New-AzureNetworkSecurityGroup -Name '" &amp; NSGGroups[[#This Row],[Title]]&amp; "' -Location $VNETSite_"&amp;NSGGroups[[#This Row],[SiteNumber]]&amp;".location -Label '"&amp;NSGGroups[[#This Row],[Description]]&amp;"'"</f>
        <v>New-AzureNetworkSecurityGroup -Name 'NSG_Users_Tier1_661_SLG_Srvcs_va' -Location $VNETSite_Services1.location -Label '661: Users_Tier1, Data Tier (1) Tier 1 administrat'</v>
      </c>
    </row>
    <row r="59" spans="1:14" x14ac:dyDescent="0.45">
      <c r="A59" t="s">
        <v>1087</v>
      </c>
      <c r="B59" t="s">
        <v>471</v>
      </c>
      <c r="C59">
        <f>VLOOKUP(NSGGroups[[#This Row],[SNetID]], Subnets[#All], 2, FALSE)</f>
        <v>670</v>
      </c>
      <c r="D59" t="str">
        <f>"NSG_"&amp;NSGGroups[[#This Row],[SubnetName(computed)]]</f>
        <v>NSG_Future_670_SLG_Srvcs_va</v>
      </c>
      <c r="E59" t="str">
        <f>LEFT(NSGGroups[[#This Row],[SubnetNumber(Computed)]]&amp;": "&amp; NSGGroups[[#This Row],[Application(Compluted)]]&amp;", Data Tier ("&amp;NSGGroups[[#This Row],[Tier]]&amp;") "&amp;NSGGroups[[#This Row],[SubDesc(Computed)]], 50)</f>
        <v>670: Future, Data Tier (0) Future Consideration</v>
      </c>
      <c r="F59" t="str">
        <f>VLOOKUP(NSGGroups[[#This Row],[SNetID]], Subnets[], 4, FALSE)</f>
        <v>Future_670_SLG_Srvcs_va</v>
      </c>
      <c r="G59" t="str">
        <f>VLOOKUP(NSGGroups[[#This Row],[SNetID]], Subnets[#All], 9, FALSE)</f>
        <v>Future</v>
      </c>
      <c r="H59">
        <f>VLOOKUP(NSGGroups[[#This Row],[SNetID]], Subnets[#All], 10, FALSE)</f>
        <v>0</v>
      </c>
      <c r="I59" t="str">
        <f>VLOOKUP(NSGGroups[[#This Row],[SNetID]], Subnets[#All], 11, FALSE)</f>
        <v>Future Consideration</v>
      </c>
      <c r="J59" t="str">
        <f>VLOOKUP(NSGGroups[[#This Row],[SNetID]], Subnets[], 8, FALSE)</f>
        <v>va</v>
      </c>
      <c r="K59" t="s">
        <v>1168</v>
      </c>
      <c r="L59" t="str">
        <f>VLOOKUP(NSGGroups[[#This Row],[SNetID]], Subnets[], 5, FALSE)</f>
        <v>Srvcs</v>
      </c>
      <c r="M59" t="str">
        <f>VLOOKUP(NSGGroups[[#This Row],[SNetID]], Subnets[#All], 12, FALSE)&amp;VLOOKUP(NSGGroups[[#This Row],[SNetID]], Subnets[#All], 13, FALSE)</f>
        <v>10.130.60.0/22</v>
      </c>
      <c r="N59" s="53" t="str">
        <f>"New-AzureNetworkSecurityGroup -Name '" &amp; NSGGroups[[#This Row],[Title]]&amp; "' -Location $VNETSite_"&amp;NSGGroups[[#This Row],[SiteNumber]]&amp;".location -Label '"&amp;NSGGroups[[#This Row],[Description]]&amp;"'"</f>
        <v>New-AzureNetworkSecurityGroup -Name 'NSG_Future_670_SLG_Srvcs_va' -Location $VNETSite_Services1.location -Label '670: Future, Data Tier (0) Future Consideration'</v>
      </c>
    </row>
    <row r="60" spans="1:14" x14ac:dyDescent="0.45">
      <c r="A60" t="s">
        <v>1088</v>
      </c>
      <c r="B60" t="s">
        <v>473</v>
      </c>
      <c r="C60">
        <f>VLOOKUP(NSGGroups[[#This Row],[SNetID]], Subnets[#All], 2, FALSE)</f>
        <v>600</v>
      </c>
      <c r="D60" t="str">
        <f>"NSG_"&amp;NSGGroups[[#This Row],[SubnetName(computed)]]</f>
        <v>NSG_Services_600_SLG_Srvcs_ia</v>
      </c>
      <c r="E60" t="str">
        <f>LEFT(NSGGroups[[#This Row],[SubnetNumber(Computed)]]&amp;": "&amp; NSGGroups[[#This Row],[Application(Compluted)]]&amp;", Data Tier ("&amp;NSGGroups[[#This Row],[Tier]]&amp;") "&amp;NSGGroups[[#This Row],[SubDesc(Computed)]], 50)</f>
        <v>600: Services, Data Tier (0) Used to host highly s</v>
      </c>
      <c r="F60" t="str">
        <f>VLOOKUP(NSGGroups[[#This Row],[SNetID]], Subnets[], 4, FALSE)</f>
        <v>Services_600_SLG_Srvcs_ia</v>
      </c>
      <c r="G60" t="str">
        <f>VLOOKUP(NSGGroups[[#This Row],[SNetID]], Subnets[#All], 9, FALSE)</f>
        <v>Services</v>
      </c>
      <c r="H60">
        <f>VLOOKUP(NSGGroups[[#This Row],[SNetID]], Subnets[#All], 10, FALSE)</f>
        <v>0</v>
      </c>
      <c r="I60" t="str">
        <f>VLOOKUP(NSGGroups[[#This Row],[SNetID]], Subnets[#All], 11, FALSE)</f>
        <v>Used to host highly sensitive data that is also highly accessed.</v>
      </c>
      <c r="J60" t="str">
        <f>VLOOKUP(NSGGroups[[#This Row],[SNetID]], Subnets[], 8, FALSE)</f>
        <v>ia</v>
      </c>
      <c r="K60" t="s">
        <v>1166</v>
      </c>
      <c r="L60" t="str">
        <f>VLOOKUP(NSGGroups[[#This Row],[SNetID]], Subnets[], 5, FALSE)</f>
        <v>Srvcs</v>
      </c>
      <c r="M60" t="str">
        <f>VLOOKUP(NSGGroups[[#This Row],[SNetID]], Subnets[#All], 12, FALSE)&amp;VLOOKUP(NSGGroups[[#This Row],[SNetID]], Subnets[#All], 13, FALSE)</f>
        <v>10.130.120.0/24</v>
      </c>
      <c r="N60" s="53" t="str">
        <f>"New-AzureNetworkSecurityGroup -Name '" &amp; NSGGroups[[#This Row],[Title]]&amp; "' -Location $VNETSite_"&amp;NSGGroups[[#This Row],[SiteNumber]]&amp;".location -Label '"&amp;NSGGroups[[#This Row],[Description]]&amp;"'"</f>
        <v>New-AzureNetworkSecurityGroup -Name 'NSG_Services_600_SLG_Srvcs_ia' -Location $VNETSite_Services2.location -Label '600: Services, Data Tier (0) Used to host highly s'</v>
      </c>
    </row>
    <row r="61" spans="1:14" x14ac:dyDescent="0.45">
      <c r="A61" t="s">
        <v>1089</v>
      </c>
      <c r="B61" t="s">
        <v>474</v>
      </c>
      <c r="C61">
        <f>VLOOKUP(NSGGroups[[#This Row],[SNetID]], Subnets[#All], 2, FALSE)</f>
        <v>650</v>
      </c>
      <c r="D61" t="str">
        <f>"NSG_"&amp;NSGGroups[[#This Row],[SubnetName(computed)]]</f>
        <v>NSG_DMZ_650_SLG_Srvcs_ia</v>
      </c>
      <c r="E61" t="str">
        <f>LEFT(NSGGroups[[#This Row],[SubnetNumber(Computed)]]&amp;": "&amp; NSGGroups[[#This Row],[Application(Compluted)]]&amp;", Data Tier ("&amp;NSGGroups[[#This Row],[Tier]]&amp;") "&amp;NSGGroups[[#This Row],[SubDesc(Computed)]], 50)</f>
        <v>650: DMZ, Data Tier (2) Used to host public facing</v>
      </c>
      <c r="F61" t="str">
        <f>VLOOKUP(NSGGroups[[#This Row],[SNetID]], Subnets[], 4, FALSE)</f>
        <v>DMZ_650_SLG_Srvcs_ia</v>
      </c>
      <c r="G61" t="str">
        <f>VLOOKUP(NSGGroups[[#This Row],[SNetID]], Subnets[#All], 9, FALSE)</f>
        <v>DMZ</v>
      </c>
      <c r="H61">
        <v>2</v>
      </c>
      <c r="I61" t="str">
        <f>VLOOKUP(NSGGroups[[#This Row],[SNetID]], Subnets[#All], 11, FALSE)</f>
        <v>Used to host public facing highly accecible workloads</v>
      </c>
      <c r="J61" t="str">
        <f>VLOOKUP(NSGGroups[[#This Row],[SNetID]], Subnets[], 8, FALSE)</f>
        <v>ia</v>
      </c>
      <c r="K61" t="s">
        <v>1166</v>
      </c>
      <c r="L61" t="str">
        <f>VLOOKUP(NSGGroups[[#This Row],[SNetID]], Subnets[], 5, FALSE)</f>
        <v>Srvcs</v>
      </c>
      <c r="M61" t="str">
        <f>VLOOKUP(NSGGroups[[#This Row],[SNetID]], Subnets[#All], 12, FALSE)&amp;VLOOKUP(NSGGroups[[#This Row],[SNetID]], Subnets[#All], 13, FALSE)</f>
        <v>10.130.122.0/24</v>
      </c>
      <c r="N61" s="53" t="str">
        <f>"New-AzureNetworkSecurityGroup -Name '" &amp; NSGGroups[[#This Row],[Title]]&amp; "' -Location $VNETSite_"&amp;NSGGroups[[#This Row],[SiteNumber]]&amp;".location -Label '"&amp;NSGGroups[[#This Row],[Description]]&amp;"'"</f>
        <v>New-AzureNetworkSecurityGroup -Name 'NSG_DMZ_650_SLG_Srvcs_ia' -Location $VNETSite_Services2.location -Label '650: DMZ, Data Tier (2) Used to host public facing'</v>
      </c>
    </row>
    <row r="62" spans="1:14" x14ac:dyDescent="0.45">
      <c r="A62" t="s">
        <v>1083</v>
      </c>
      <c r="B62" t="s">
        <v>1025</v>
      </c>
      <c r="C62">
        <f>VLOOKUP(NSGGroups[[#This Row],[SNetID]], Subnets[#All], 2, FALSE)</f>
        <v>660</v>
      </c>
      <c r="D62" t="str">
        <f>"NSG_"&amp;NSGGroups[[#This Row],[SubnetName(computed)]]</f>
        <v>NSG_User_Tier0_660_SLG_Srvcs_ia</v>
      </c>
      <c r="E62" t="str">
        <f>LEFT(NSGGroups[[#This Row],[SubnetNumber(Computed)]]&amp;": "&amp; NSGGroups[[#This Row],[Application(Compluted)]]&amp;", Data Tier ("&amp;NSGGroups[[#This Row],[Tier]]&amp;") "&amp;NSGGroups[[#This Row],[SubDesc(Computed)]], 50)</f>
        <v>660: User_Tier0, Data Tier (0) Tier 0 - Direct Con</v>
      </c>
      <c r="F62" t="str">
        <f>VLOOKUP(NSGGroups[[#This Row],[SNetID]], Subnets[], 4, FALSE)</f>
        <v>User_Tier0_660_SLG_Srvcs_ia</v>
      </c>
      <c r="G62" t="str">
        <f>VLOOKUP(NSGGroups[[#This Row],[SNetID]], Subnets[#All], 9, FALSE)</f>
        <v>User_Tier0</v>
      </c>
      <c r="H62">
        <v>0</v>
      </c>
      <c r="I62"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2" t="str">
        <f>VLOOKUP(NSGGroups[[#This Row],[SNetID]], Subnets[], 8, FALSE)</f>
        <v>ia</v>
      </c>
      <c r="K62" t="s">
        <v>1166</v>
      </c>
      <c r="L62" t="str">
        <f>VLOOKUP(NSGGroups[[#This Row],[SNetID]], Subnets[], 5, FALSE)</f>
        <v>Srvcs</v>
      </c>
      <c r="M62" t="str">
        <f>VLOOKUP(NSGGroups[[#This Row],[SNetID]], Subnets[#All], 12, FALSE)&amp;VLOOKUP(NSGGroups[[#This Row],[SNetID]], Subnets[#All], 13, FALSE)</f>
        <v>10.130.123.0/25</v>
      </c>
      <c r="N62" s="53" t="str">
        <f>"New-AzureNetworkSecurityGroup -Name '" &amp; NSGGroups[[#This Row],[Title]]&amp; "' -Location $VNETSite_"&amp;NSGGroups[[#This Row],[SiteNumber]]&amp;".location -Label '"&amp;NSGGroups[[#This Row],[Description]]&amp;"'"</f>
        <v>New-AzureNetworkSecurityGroup -Name 'NSG_User_Tier0_660_SLG_Srvcs_ia' -Location $VNETSite_Services2.location -Label '660: User_Tier0, Data Tier (0) Tier 0 - Direct Con'</v>
      </c>
    </row>
    <row r="63" spans="1:14" x14ac:dyDescent="0.45">
      <c r="A63" t="s">
        <v>1090</v>
      </c>
      <c r="B63" t="s">
        <v>1026</v>
      </c>
      <c r="C63">
        <f>VLOOKUP(NSGGroups[[#This Row],[SNetID]], Subnets[#All], 2, FALSE)</f>
        <v>661</v>
      </c>
      <c r="D63" t="str">
        <f>"NSG_"&amp;NSGGroups[[#This Row],[SubnetName(computed)]]</f>
        <v>NSG_Users_Tier1_661_SLG_Srvcs_ia</v>
      </c>
      <c r="E63" t="str">
        <f>LEFT(NSGGroups[[#This Row],[SubnetNumber(Computed)]]&amp;": "&amp; NSGGroups[[#This Row],[Application(Compluted)]]&amp;", Data Tier ("&amp;NSGGroups[[#This Row],[Tier]]&amp;") "&amp;NSGGroups[[#This Row],[SubDesc(Computed)]], 50)</f>
        <v>661: Users_Tier1, Data Tier (1) Tier 1 administrat</v>
      </c>
      <c r="F63" t="str">
        <f>VLOOKUP(NSGGroups[[#This Row],[SNetID]], Subnets[], 4, FALSE)</f>
        <v>Users_Tier1_661_SLG_Srvcs_ia</v>
      </c>
      <c r="G63" t="str">
        <f>VLOOKUP(NSGGroups[[#This Row],[SNetID]], Subnets[#All], 9, FALSE)</f>
        <v>Users_Tier1</v>
      </c>
      <c r="H63">
        <f>VLOOKUP(NSGGroups[[#This Row],[SNetID]], Subnets[#All], 10, FALSE)</f>
        <v>1</v>
      </c>
      <c r="I63" t="str">
        <f>VLOOKUP(NSGGroups[[#This Row],[SNetID]], Subnets[#All], 11, FALSE)</f>
        <v>Tier 1 administrator - manage enterprise servers, services, and applications</v>
      </c>
      <c r="J63" t="str">
        <f>VLOOKUP(NSGGroups[[#This Row],[SNetID]], Subnets[], 8, FALSE)</f>
        <v>ia</v>
      </c>
      <c r="K63" t="s">
        <v>1166</v>
      </c>
      <c r="L63" t="str">
        <f>VLOOKUP(NSGGroups[[#This Row],[SNetID]], Subnets[], 5, FALSE)</f>
        <v>Srvcs</v>
      </c>
      <c r="M63" t="str">
        <f>VLOOKUP(NSGGroups[[#This Row],[SNetID]], Subnets[#All], 12, FALSE)&amp;VLOOKUP(NSGGroups[[#This Row],[SNetID]], Subnets[#All], 13, FALSE)</f>
        <v>10.130.123.128/25</v>
      </c>
      <c r="N63" s="53" t="str">
        <f>"New-AzureNetworkSecurityGroup -Name '" &amp; NSGGroups[[#This Row],[Title]]&amp; "' -Location $VNETSite_"&amp;NSGGroups[[#This Row],[SiteNumber]]&amp;".location -Label '"&amp;NSGGroups[[#This Row],[Description]]&amp;"'"</f>
        <v>New-AzureNetworkSecurityGroup -Name 'NSG_Users_Tier1_661_SLG_Srvcs_ia' -Location $VNETSite_Services2.location -Label '661: Users_Tier1, Data Tier (1) Tier 1 administrat'</v>
      </c>
    </row>
    <row r="64" spans="1:14" x14ac:dyDescent="0.45">
      <c r="A64" t="s">
        <v>1091</v>
      </c>
      <c r="B64" t="s">
        <v>477</v>
      </c>
      <c r="C64">
        <f>VLOOKUP(NSGGroups[[#This Row],[SNetID]], Subnets[#All], 2, FALSE)</f>
        <v>500</v>
      </c>
      <c r="D64" t="str">
        <f>"NSG_"&amp;NSGGroups[[#This Row],[SubnetName(computed)]]</f>
        <v>NSG_Storage_500_SLG_Storage_va</v>
      </c>
      <c r="E64" t="str">
        <f>LEFT(NSGGroups[[#This Row],[SubnetNumber(Computed)]]&amp;": "&amp; NSGGroups[[#This Row],[Application(Compluted)]]&amp;", Data Tier ("&amp;NSGGroups[[#This Row],[Tier]]&amp;") "&amp;NSGGroups[[#This Row],[SubDesc(Computed)]], 50)</f>
        <v>500: Storage, Data Tier (0) Storage appliances</v>
      </c>
      <c r="F64" t="str">
        <f>VLOOKUP(NSGGroups[[#This Row],[SNetID]], Subnets[], 4, FALSE)</f>
        <v>Storage_500_SLG_Storage_va</v>
      </c>
      <c r="G64" t="str">
        <f>VLOOKUP(NSGGroups[[#This Row],[SNetID]], Subnets[#All], 9, FALSE)</f>
        <v>Storage</v>
      </c>
      <c r="H64">
        <f>VLOOKUP(NSGGroups[[#This Row],[SNetID]], Subnets[#All], 10, FALSE)</f>
        <v>0</v>
      </c>
      <c r="I64" t="str">
        <f>VLOOKUP(NSGGroups[[#This Row],[SNetID]], Subnets[#All], 11, FALSE)</f>
        <v>Storage appliances</v>
      </c>
      <c r="J64" t="str">
        <f>VLOOKUP(NSGGroups[[#This Row],[SNetID]], Subnets[], 8, FALSE)</f>
        <v>va</v>
      </c>
      <c r="K64" t="s">
        <v>1178</v>
      </c>
      <c r="L64" t="str">
        <f>VLOOKUP(NSGGroups[[#This Row],[SNetID]], Subnets[], 5, FALSE)</f>
        <v>Storage</v>
      </c>
      <c r="M64" t="str">
        <f>VLOOKUP(NSGGroups[[#This Row],[SNetID]], Subnets[#All], 12, FALSE)&amp;VLOOKUP(NSGGroups[[#This Row],[SNetID]], Subnets[#All], 13, FALSE)</f>
        <v>10.130.48.0/24</v>
      </c>
      <c r="N64" s="53" t="str">
        <f>"New-AzureNetworkSecurityGroup -Name '" &amp; NSGGroups[[#This Row],[Title]]&amp; "' -Location $VNETSite_"&amp;NSGGroups[[#This Row],[SiteNumber]]&amp;".location -Label '"&amp;NSGGroups[[#This Row],[Description]]&amp;"'"</f>
        <v>New-AzureNetworkSecurityGroup -Name 'NSG_Storage_500_SLG_Storage_va' -Location $VNETSite_Storage1.location -Label '500: Storage, Data Tier (0) Storage appliances'</v>
      </c>
    </row>
    <row r="65" spans="1:14" x14ac:dyDescent="0.45">
      <c r="A65" t="s">
        <v>1092</v>
      </c>
      <c r="B65" t="s">
        <v>1027</v>
      </c>
      <c r="C65">
        <f>VLOOKUP(NSGGroups[[#This Row],[SNetID]], Subnets[#All], 2, FALSE)</f>
        <v>560</v>
      </c>
      <c r="D65" t="str">
        <f>"NSG_"&amp;NSGGroups[[#This Row],[SubnetName(computed)]]</f>
        <v>NSG_User_Tier0_560_SLG_Storage_va</v>
      </c>
      <c r="E65" t="str">
        <f>LEFT(NSGGroups[[#This Row],[SubnetNumber(Computed)]]&amp;": "&amp; NSGGroups[[#This Row],[Application(Compluted)]]&amp;", Data Tier ("&amp;NSGGroups[[#This Row],[Tier]]&amp;") "&amp;NSGGroups[[#This Row],[SubDesc(Computed)]], 50)</f>
        <v>560: User_Tier0, Data Tier (0) Tier 0 - Direct Con</v>
      </c>
      <c r="F65" t="str">
        <f>VLOOKUP(NSGGroups[[#This Row],[SNetID]], Subnets[], 4, FALSE)</f>
        <v>User_Tier0_560_SLG_Storage_va</v>
      </c>
      <c r="G65" t="str">
        <f>VLOOKUP(NSGGroups[[#This Row],[SNetID]], Subnets[#All], 9, FALSE)</f>
        <v>User_Tier0</v>
      </c>
      <c r="H65">
        <f>VLOOKUP(NSGGroups[[#This Row],[SNetID]], Subnets[#All], 10, FALSE)</f>
        <v>0</v>
      </c>
      <c r="I65"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5" t="str">
        <f>VLOOKUP(NSGGroups[[#This Row],[SNetID]], Subnets[], 8, FALSE)</f>
        <v>va</v>
      </c>
      <c r="K65" t="s">
        <v>1178</v>
      </c>
      <c r="L65" t="str">
        <f>VLOOKUP(NSGGroups[[#This Row],[SNetID]], Subnets[], 5, FALSE)</f>
        <v>Storage</v>
      </c>
      <c r="M65" t="str">
        <f>VLOOKUP(NSGGroups[[#This Row],[SNetID]], Subnets[#All], 12, FALSE)&amp;VLOOKUP(NSGGroups[[#This Row],[SNetID]], Subnets[#All], 13, FALSE)</f>
        <v>10.130.49.0/25</v>
      </c>
      <c r="N65" s="53" t="str">
        <f>"New-AzureNetworkSecurityGroup -Name '" &amp; NSGGroups[[#This Row],[Title]]&amp; "' -Location $VNETSite_"&amp;NSGGroups[[#This Row],[SiteNumber]]&amp;".location -Label '"&amp;NSGGroups[[#This Row],[Description]]&amp;"'"</f>
        <v>New-AzureNetworkSecurityGroup -Name 'NSG_User_Tier0_560_SLG_Storage_va' -Location $VNETSite_Storage1.location -Label '560: User_Tier0, Data Tier (0) Tier 0 - Direct Con'</v>
      </c>
    </row>
    <row r="66" spans="1:14" x14ac:dyDescent="0.45">
      <c r="A66" t="s">
        <v>1093</v>
      </c>
      <c r="B66" t="s">
        <v>1028</v>
      </c>
      <c r="C66">
        <f>VLOOKUP(NSGGroups[[#This Row],[SNetID]], Subnets[#All], 2, FALSE)</f>
        <v>561</v>
      </c>
      <c r="D66" t="str">
        <f>"NSG_"&amp;NSGGroups[[#This Row],[SubnetName(computed)]]</f>
        <v>NSG_Users_Tier1_561_SLG_Storage_va</v>
      </c>
      <c r="E66" t="str">
        <f>LEFT(NSGGroups[[#This Row],[SubnetNumber(Computed)]]&amp;": "&amp; NSGGroups[[#This Row],[Application(Compluted)]]&amp;", Data Tier ("&amp;NSGGroups[[#This Row],[Tier]]&amp;") "&amp;NSGGroups[[#This Row],[SubDesc(Computed)]], 50)</f>
        <v>561: Users_Tier1, Data Tier (1) Tier 1 administrat</v>
      </c>
      <c r="F66" t="str">
        <f>VLOOKUP(NSGGroups[[#This Row],[SNetID]], Subnets[], 4, FALSE)</f>
        <v>Users_Tier1_561_SLG_Storage_va</v>
      </c>
      <c r="G66" t="str">
        <f>VLOOKUP(NSGGroups[[#This Row],[SNetID]], Subnets[#All], 9, FALSE)</f>
        <v>Users_Tier1</v>
      </c>
      <c r="H66">
        <v>1</v>
      </c>
      <c r="I66" t="str">
        <f>VLOOKUP(NSGGroups[[#This Row],[SNetID]], Subnets[#All], 11, FALSE)</f>
        <v>Tier 1 administrator - manage enterprise servers, services, and applications</v>
      </c>
      <c r="J66" t="str">
        <f>VLOOKUP(NSGGroups[[#This Row],[SNetID]], Subnets[], 8, FALSE)</f>
        <v>va</v>
      </c>
      <c r="K66" t="s">
        <v>1178</v>
      </c>
      <c r="L66" t="str">
        <f>VLOOKUP(NSGGroups[[#This Row],[SNetID]], Subnets[], 5, FALSE)</f>
        <v>Storage</v>
      </c>
      <c r="M66" t="str">
        <f>VLOOKUP(NSGGroups[[#This Row],[SNetID]], Subnets[#All], 12, FALSE)&amp;VLOOKUP(NSGGroups[[#This Row],[SNetID]], Subnets[#All], 13, FALSE)</f>
        <v>10.130.49.128/25</v>
      </c>
      <c r="N66" s="53" t="str">
        <f>"New-AzureNetworkSecurityGroup -Name '" &amp; NSGGroups[[#This Row],[Title]]&amp; "' -Location $VNETSite_"&amp;NSGGroups[[#This Row],[SiteNumber]]&amp;".location -Label '"&amp;NSGGroups[[#This Row],[Description]]&amp;"'"</f>
        <v>New-AzureNetworkSecurityGroup -Name 'NSG_Users_Tier1_561_SLG_Storage_va' -Location $VNETSite_Storage1.location -Label '561: Users_Tier1, Data Tier (1) Tier 1 administrat'</v>
      </c>
    </row>
    <row r="67" spans="1:14" x14ac:dyDescent="0.45">
      <c r="A67" t="s">
        <v>1094</v>
      </c>
      <c r="B67" t="s">
        <v>482</v>
      </c>
      <c r="C67">
        <f>VLOOKUP(NSGGroups[[#This Row],[SNetID]], Subnets[#All], 2, FALSE)</f>
        <v>500</v>
      </c>
      <c r="D67" t="str">
        <f>"NSG_"&amp;NSGGroups[[#This Row],[SubnetName(computed)]]</f>
        <v>NSG_Storage_500_SLG_Storage_ia</v>
      </c>
      <c r="E67" t="str">
        <f>LEFT(NSGGroups[[#This Row],[SubnetNumber(Computed)]]&amp;": "&amp; NSGGroups[[#This Row],[Application(Compluted)]]&amp;", Data Tier ("&amp;NSGGroups[[#This Row],[Tier]]&amp;") "&amp;NSGGroups[[#This Row],[SubDesc(Computed)]], 50)</f>
        <v>500: Storage, Data Tier (0) Future Consideration</v>
      </c>
      <c r="F67" t="str">
        <f>VLOOKUP(NSGGroups[[#This Row],[SNetID]], Subnets[], 4, FALSE)</f>
        <v>Storage_500_SLG_Storage_ia</v>
      </c>
      <c r="G67" t="str">
        <f>VLOOKUP(NSGGroups[[#This Row],[SNetID]], Subnets[#All], 9, FALSE)</f>
        <v>Storage</v>
      </c>
      <c r="H67">
        <f>VLOOKUP(NSGGroups[[#This Row],[SNetID]], Subnets[#All], 10, FALSE)</f>
        <v>0</v>
      </c>
      <c r="I67" t="str">
        <f>VLOOKUP(NSGGroups[[#This Row],[SNetID]], Subnets[#All], 11, FALSE)</f>
        <v>Future Consideration</v>
      </c>
      <c r="J67" t="str">
        <f>VLOOKUP(NSGGroups[[#This Row],[SNetID]], Subnets[], 8, FALSE)</f>
        <v>ia</v>
      </c>
      <c r="K67" t="s">
        <v>1167</v>
      </c>
      <c r="L67" t="str">
        <f>VLOOKUP(NSGGroups[[#This Row],[SNetID]], Subnets[], 5, FALSE)</f>
        <v>Storage</v>
      </c>
      <c r="M67" t="str">
        <f>VLOOKUP(NSGGroups[[#This Row],[SNetID]], Subnets[#All], 12, FALSE)&amp;VLOOKUP(NSGGroups[[#This Row],[SNetID]], Subnets[#All], 13, FALSE)</f>
        <v>10.130.112.0/24</v>
      </c>
      <c r="N67" s="53" t="str">
        <f>"New-AzureNetworkSecurityGroup -Name '" &amp; NSGGroups[[#This Row],[Title]]&amp; "' -Location $VNETSite_"&amp;NSGGroups[[#This Row],[SiteNumber]]&amp;".location -Label '"&amp;NSGGroups[[#This Row],[Description]]&amp;"'"</f>
        <v>New-AzureNetworkSecurityGroup -Name 'NSG_Storage_500_SLG_Storage_ia' -Location $VNETSite_Storage2.location -Label '500: Storage, Data Tier (0) Future Consideration'</v>
      </c>
    </row>
    <row r="68" spans="1:14" x14ac:dyDescent="0.45">
      <c r="A68" t="s">
        <v>1095</v>
      </c>
      <c r="B68" t="s">
        <v>1029</v>
      </c>
      <c r="C68">
        <f>VLOOKUP(NSGGroups[[#This Row],[SNetID]], Subnets[#All], 2, FALSE)</f>
        <v>560</v>
      </c>
      <c r="D68" t="str">
        <f>"NSG_"&amp;NSGGroups[[#This Row],[SubnetName(computed)]]</f>
        <v>NSG_User_Tier0_560_SLG_Storage_ia</v>
      </c>
      <c r="E68" t="str">
        <f>LEFT(NSGGroups[[#This Row],[SubnetNumber(Computed)]]&amp;": "&amp; NSGGroups[[#This Row],[Application(Compluted)]]&amp;", Data Tier ("&amp;NSGGroups[[#This Row],[Tier]]&amp;") "&amp;NSGGroups[[#This Row],[SubDesc(Computed)]], 50)</f>
        <v>560: User_Tier0, Data Tier (0) Tier 0 - Direct Con</v>
      </c>
      <c r="F68" t="str">
        <f>VLOOKUP(NSGGroups[[#This Row],[SNetID]], Subnets[], 4, FALSE)</f>
        <v>User_Tier0_560_SLG_Storage_ia</v>
      </c>
      <c r="G68" t="str">
        <f>VLOOKUP(NSGGroups[[#This Row],[SNetID]], Subnets[#All], 9, FALSE)</f>
        <v>User_Tier0</v>
      </c>
      <c r="H68">
        <f>VLOOKUP(NSGGroups[[#This Row],[SNetID]], Subnets[#All], 10, FALSE)</f>
        <v>0</v>
      </c>
      <c r="I68"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68" t="str">
        <f>VLOOKUP(NSGGroups[[#This Row],[SNetID]], Subnets[], 8, FALSE)</f>
        <v>ia</v>
      </c>
      <c r="K68" t="s">
        <v>1167</v>
      </c>
      <c r="L68" t="str">
        <f>VLOOKUP(NSGGroups[[#This Row],[SNetID]], Subnets[], 5, FALSE)</f>
        <v>Storage</v>
      </c>
      <c r="M68" t="str">
        <f>VLOOKUP(NSGGroups[[#This Row],[SNetID]], Subnets[#All], 12, FALSE)&amp;VLOOKUP(NSGGroups[[#This Row],[SNetID]], Subnets[#All], 13, FALSE)</f>
        <v>10.130.113.0/25</v>
      </c>
      <c r="N68" s="53" t="str">
        <f>"New-AzureNetworkSecurityGroup -Name '" &amp; NSGGroups[[#This Row],[Title]]&amp; "' -Location $VNETSite_"&amp;NSGGroups[[#This Row],[SiteNumber]]&amp;".location -Label '"&amp;NSGGroups[[#This Row],[Description]]&amp;"'"</f>
        <v>New-AzureNetworkSecurityGroup -Name 'NSG_User_Tier0_560_SLG_Storage_ia' -Location $VNETSite_Storage2.location -Label '560: User_Tier0, Data Tier (0) Tier 0 - Direct Con'</v>
      </c>
    </row>
    <row r="69" spans="1:14" x14ac:dyDescent="0.45">
      <c r="A69" t="s">
        <v>1096</v>
      </c>
      <c r="B69" t="s">
        <v>1030</v>
      </c>
      <c r="C69">
        <f>VLOOKUP(NSGGroups[[#This Row],[SNetID]], Subnets[#All], 2, FALSE)</f>
        <v>561</v>
      </c>
      <c r="D69" t="str">
        <f>"NSG_"&amp;NSGGroups[[#This Row],[SubnetName(computed)]]</f>
        <v>NSG_Users_Tier1_561_SLG_Storage_ia</v>
      </c>
      <c r="E69" t="str">
        <f>LEFT(NSGGroups[[#This Row],[SubnetNumber(Computed)]]&amp;": "&amp; NSGGroups[[#This Row],[Application(Compluted)]]&amp;", Data Tier ("&amp;NSGGroups[[#This Row],[Tier]]&amp;") "&amp;NSGGroups[[#This Row],[SubDesc(Computed)]], 50)</f>
        <v>561: Users_Tier1, Data Tier (1) Tier 1 administrat</v>
      </c>
      <c r="F69" t="str">
        <f>VLOOKUP(NSGGroups[[#This Row],[SNetID]], Subnets[], 4, FALSE)</f>
        <v>Users_Tier1_561_SLG_Storage_ia</v>
      </c>
      <c r="G69" t="str">
        <f>VLOOKUP(NSGGroups[[#This Row],[SNetID]], Subnets[#All], 9, FALSE)</f>
        <v>Users_Tier1</v>
      </c>
      <c r="H69">
        <v>1</v>
      </c>
      <c r="I69" t="str">
        <f>VLOOKUP(NSGGroups[[#This Row],[SNetID]], Subnets[#All], 11, FALSE)</f>
        <v>Tier 1 administrator - manage enterprise servers, services, and applications</v>
      </c>
      <c r="J69" t="str">
        <f>VLOOKUP(NSGGroups[[#This Row],[SNetID]], Subnets[], 8, FALSE)</f>
        <v>ia</v>
      </c>
      <c r="K69" t="s">
        <v>1167</v>
      </c>
      <c r="L69" t="str">
        <f>VLOOKUP(NSGGroups[[#This Row],[SNetID]], Subnets[], 5, FALSE)</f>
        <v>Storage</v>
      </c>
      <c r="M69" t="str">
        <f>VLOOKUP(NSGGroups[[#This Row],[SNetID]], Subnets[#All], 12, FALSE)&amp;VLOOKUP(NSGGroups[[#This Row],[SNetID]], Subnets[#All], 13, FALSE)</f>
        <v>10.130.113.128/25</v>
      </c>
      <c r="N69" s="53" t="str">
        <f>"New-AzureNetworkSecurityGroup -Name '" &amp; NSGGroups[[#This Row],[Title]]&amp; "' -Location $VNETSite_"&amp;NSGGroups[[#This Row],[SiteNumber]]&amp;".location -Label '"&amp;NSGGroups[[#This Row],[Description]]&amp;"'"</f>
        <v>New-AzureNetworkSecurityGroup -Name 'NSG_Users_Tier1_561_SLG_Storage_ia' -Location $VNETSite_Storage2.location -Label '561: Users_Tier1, Data Tier (1) Tier 1 administrat'</v>
      </c>
    </row>
    <row r="70" spans="1:14" x14ac:dyDescent="0.45">
      <c r="A70" t="s">
        <v>1319</v>
      </c>
      <c r="B70" t="s">
        <v>1217</v>
      </c>
      <c r="C70">
        <f>VLOOKUP(NSGGroups[[#This Row],[SNetID]], Subnets[#All], 2, FALSE)</f>
        <v>210</v>
      </c>
      <c r="D70" t="str">
        <f>"NSG_"&amp;NSGGroups[[#This Row],[SubnetName(computed)]]</f>
        <v>NSG_Web_210_SLG_CJIS_w2</v>
      </c>
      <c r="E70" t="str">
        <f>LEFT(NSGGroups[[#This Row],[SubnetNumber(Computed)]]&amp;": "&amp; NSGGroups[[#This Row],[Application(Compluted)]]&amp;", Data Tier ("&amp;NSGGroups[[#This Row],[Tier]]&amp;") "&amp;NSGGroups[[#This Row],[SubDesc(Computed)]], 50)</f>
        <v>210: Web, Data Tier (2) HTTP and HTTPS services</v>
      </c>
      <c r="F70" t="str">
        <f>VLOOKUP(NSGGroups[[#This Row],[SNetID]], Subnets[], 4, FALSE)</f>
        <v>Web_210_SLG_CJIS_w2</v>
      </c>
      <c r="G70" t="str">
        <f>VLOOKUP(NSGGroups[[#This Row],[SNetID]], Subnets[#All], 9, FALSE)</f>
        <v>Web</v>
      </c>
      <c r="H70">
        <v>2</v>
      </c>
      <c r="I70" t="str">
        <f>VLOOKUP(NSGGroups[[#This Row],[SNetID]], Subnets[#All], 11, FALSE)</f>
        <v>HTTP and HTTPS services</v>
      </c>
      <c r="J70" t="str">
        <f>VLOOKUP(NSGGroups[[#This Row],[SNetID]], Subnets[], 8, FALSE)</f>
        <v>w2</v>
      </c>
      <c r="K70" t="s">
        <v>1161</v>
      </c>
      <c r="L70" t="str">
        <f>VLOOKUP(NSGGroups[[#This Row],[SNetID]], Subnets[], 5, FALSE)</f>
        <v>CJIS</v>
      </c>
      <c r="M70" t="str">
        <f>VLOOKUP(NSGGroups[[#This Row],[SNetID]], Subnets[#All], 12, FALSE)&amp;VLOOKUP(NSGGroups[[#This Row],[SNetID]], Subnets[#All], 13, FALSE)</f>
        <v>10.131.16.0/24</v>
      </c>
      <c r="N70" s="53" t="str">
        <f>"New-AzureNetworkSecurityGroup -Name '" &amp; NSGGroups[[#This Row],[Title]]&amp; "' -Location $VNETSite_"&amp;NSGGroups[[#This Row],[SiteNumber]]&amp;".location -Label '"&amp;NSGGroups[[#This Row],[Description]]&amp;"'"</f>
        <v>New-AzureNetworkSecurityGroup -Name 'NSG_Web_210_SLG_CJIS_w2' -Location $VNETSite_CJIS1.location -Label '210: Web, Data Tier (2) HTTP and HTTPS services'</v>
      </c>
    </row>
    <row r="71" spans="1:14" x14ac:dyDescent="0.45">
      <c r="A71" t="s">
        <v>1320</v>
      </c>
      <c r="B71" t="s">
        <v>1218</v>
      </c>
      <c r="C71">
        <f>VLOOKUP(NSGGroups[[#This Row],[SNetID]], Subnets[#All], 2, FALSE)</f>
        <v>220</v>
      </c>
      <c r="D71" t="str">
        <f>"NSG_"&amp;NSGGroups[[#This Row],[SubnetName(computed)]]</f>
        <v>NSG_App_220_SLG_CJIS_w2</v>
      </c>
      <c r="E71" t="str">
        <f>LEFT(NSGGroups[[#This Row],[SubnetNumber(Computed)]]&amp;": "&amp; NSGGroups[[#This Row],[Application(Compluted)]]&amp;", Data Tier ("&amp;NSGGroups[[#This Row],[Tier]]&amp;") "&amp;NSGGroups[[#This Row],[SubDesc(Computed)]], 50)</f>
        <v>220: App, Data Tier (1) Web Services, OEM applicat</v>
      </c>
      <c r="F71" t="str">
        <f>VLOOKUP(NSGGroups[[#This Row],[SNetID]], Subnets[], 4, FALSE)</f>
        <v>App_220_SLG_CJIS_w2</v>
      </c>
      <c r="G71" t="str">
        <f>VLOOKUP(NSGGroups[[#This Row],[SNetID]], Subnets[#All], 9, FALSE)</f>
        <v>App</v>
      </c>
      <c r="H71">
        <v>1</v>
      </c>
      <c r="I71" t="str">
        <f>VLOOKUP(NSGGroups[[#This Row],[SNetID]], Subnets[#All], 11, FALSE)</f>
        <v>Web Services, OEM applications</v>
      </c>
      <c r="J71" t="str">
        <f>VLOOKUP(NSGGroups[[#This Row],[SNetID]], Subnets[], 8, FALSE)</f>
        <v>w2</v>
      </c>
      <c r="K71" t="s">
        <v>1161</v>
      </c>
      <c r="L71" t="str">
        <f>VLOOKUP(NSGGroups[[#This Row],[SNetID]], Subnets[], 5, FALSE)</f>
        <v>CJIS</v>
      </c>
      <c r="M71" t="str">
        <f>VLOOKUP(NSGGroups[[#This Row],[SNetID]], Subnets[#All], 12, FALSE)&amp;VLOOKUP(NSGGroups[[#This Row],[SNetID]], Subnets[#All], 13, FALSE)</f>
        <v>10.131.18.0/24</v>
      </c>
      <c r="N71" s="53" t="str">
        <f>"New-AzureNetworkSecurityGroup -Name '" &amp; NSGGroups[[#This Row],[Title]]&amp; "' -Location $VNETSite_"&amp;NSGGroups[[#This Row],[SiteNumber]]&amp;".location -Label '"&amp;NSGGroups[[#This Row],[Description]]&amp;"'"</f>
        <v>New-AzureNetworkSecurityGroup -Name 'NSG_App_220_SLG_CJIS_w2' -Location $VNETSite_CJIS1.location -Label '220: App, Data Tier (1) Web Services, OEM applicat'</v>
      </c>
    </row>
    <row r="72" spans="1:14" x14ac:dyDescent="0.45">
      <c r="A72" t="s">
        <v>1321</v>
      </c>
      <c r="B72" t="s">
        <v>1219</v>
      </c>
      <c r="C72">
        <f>VLOOKUP(NSGGroups[[#This Row],[SNetID]], Subnets[#All], 2, FALSE)</f>
        <v>230</v>
      </c>
      <c r="D72" t="str">
        <f>"NSG_"&amp;NSGGroups[[#This Row],[SubnetName(computed)]]</f>
        <v>NSG_DB_230_SLG_CJIS_w2</v>
      </c>
      <c r="E72" t="str">
        <f>LEFT(NSGGroups[[#This Row],[SubnetNumber(Computed)]]&amp;": "&amp; NSGGroups[[#This Row],[Application(Compluted)]]&amp;", Data Tier ("&amp;NSGGroups[[#This Row],[Tier]]&amp;") "&amp;NSGGroups[[#This Row],[SubDesc(Computed)]], 50)</f>
        <v>230: DB, Data Tier (1) Data for Applications</v>
      </c>
      <c r="F72" t="str">
        <f>VLOOKUP(NSGGroups[[#This Row],[SNetID]], Subnets[], 4, FALSE)</f>
        <v>DB_230_SLG_CJIS_w2</v>
      </c>
      <c r="G72" t="str">
        <f>VLOOKUP(NSGGroups[[#This Row],[SNetID]], Subnets[#All], 9, FALSE)</f>
        <v>DB</v>
      </c>
      <c r="H72">
        <v>1</v>
      </c>
      <c r="I72" t="str">
        <f>VLOOKUP(NSGGroups[[#This Row],[SNetID]], Subnets[#All], 11, FALSE)</f>
        <v>Data for Applications</v>
      </c>
      <c r="J72" t="str">
        <f>VLOOKUP(NSGGroups[[#This Row],[SNetID]], Subnets[], 8, FALSE)</f>
        <v>w2</v>
      </c>
      <c r="K72" t="s">
        <v>1161</v>
      </c>
      <c r="L72" t="str">
        <f>VLOOKUP(NSGGroups[[#This Row],[SNetID]], Subnets[], 5, FALSE)</f>
        <v>CJIS</v>
      </c>
      <c r="M72" t="str">
        <f>VLOOKUP(NSGGroups[[#This Row],[SNetID]], Subnets[#All], 12, FALSE)&amp;VLOOKUP(NSGGroups[[#This Row],[SNetID]], Subnets[#All], 13, FALSE)</f>
        <v>10.131.20.0/24</v>
      </c>
      <c r="N72" s="53" t="str">
        <f>"New-AzureNetworkSecurityGroup -Name '" &amp; NSGGroups[[#This Row],[Title]]&amp; "' -Location $VNETSite_"&amp;NSGGroups[[#This Row],[SiteNumber]]&amp;".location -Label '"&amp;NSGGroups[[#This Row],[Description]]&amp;"'"</f>
        <v>New-AzureNetworkSecurityGroup -Name 'NSG_DB_230_SLG_CJIS_w2' -Location $VNETSite_CJIS1.location -Label '230: DB, Data Tier (1) Data for Applications'</v>
      </c>
    </row>
    <row r="73" spans="1:14" x14ac:dyDescent="0.45">
      <c r="A73" t="s">
        <v>1322</v>
      </c>
      <c r="B73" t="s">
        <v>1220</v>
      </c>
      <c r="C73">
        <f>VLOOKUP(NSGGroups[[#This Row],[SNetID]], Subnets[#All], 2, FALSE)</f>
        <v>250</v>
      </c>
      <c r="D73" t="str">
        <f>"NSG_"&amp;NSGGroups[[#This Row],[SubnetName(computed)]]</f>
        <v>NSG_DMZ_250_SLG_CJIS_w2</v>
      </c>
      <c r="E73" t="str">
        <f>LEFT(NSGGroups[[#This Row],[SubnetNumber(Computed)]]&amp;": "&amp; NSGGroups[[#This Row],[Application(Compluted)]]&amp;", Data Tier ("&amp;NSGGroups[[#This Row],[Tier]]&amp;") "&amp;NSGGroups[[#This Row],[SubDesc(Computed)]], 50)</f>
        <v>250: DMZ, Data Tier (2) Internet EndPoint Machines</v>
      </c>
      <c r="F73" t="str">
        <f>VLOOKUP(NSGGroups[[#This Row],[SNetID]], Subnets[], 4, FALSE)</f>
        <v>DMZ_250_SLG_CJIS_w2</v>
      </c>
      <c r="G73" t="str">
        <f>VLOOKUP(NSGGroups[[#This Row],[SNetID]], Subnets[#All], 9, FALSE)</f>
        <v>DMZ</v>
      </c>
      <c r="H73">
        <v>2</v>
      </c>
      <c r="I73" t="str">
        <f>VLOOKUP(NSGGroups[[#This Row],[SNetID]], Subnets[#All], 11, FALSE)</f>
        <v>Internet EndPoint Machines</v>
      </c>
      <c r="J73" t="str">
        <f>VLOOKUP(NSGGroups[[#This Row],[SNetID]], Subnets[], 8, FALSE)</f>
        <v>w2</v>
      </c>
      <c r="K73" t="s">
        <v>1161</v>
      </c>
      <c r="L73" t="str">
        <f>VLOOKUP(NSGGroups[[#This Row],[SNetID]], Subnets[], 5, FALSE)</f>
        <v>CJIS</v>
      </c>
      <c r="M73" t="str">
        <f>VLOOKUP(NSGGroups[[#This Row],[SNetID]], Subnets[#All], 12, FALSE)&amp;VLOOKUP(NSGGroups[[#This Row],[SNetID]], Subnets[#All], 13, FALSE)</f>
        <v>10.131.22.0/24</v>
      </c>
      <c r="N73" s="53" t="str">
        <f>"New-AzureNetworkSecurityGroup -Name '" &amp; NSGGroups[[#This Row],[Title]]&amp; "' -Location $VNETSite_"&amp;NSGGroups[[#This Row],[SiteNumber]]&amp;".location -Label '"&amp;NSGGroups[[#This Row],[Description]]&amp;"'"</f>
        <v>New-AzureNetworkSecurityGroup -Name 'NSG_DMZ_250_SLG_CJIS_w2' -Location $VNETSite_CJIS1.location -Label '250: DMZ, Data Tier (2) Internet EndPoint Machines'</v>
      </c>
    </row>
    <row r="74" spans="1:14" x14ac:dyDescent="0.45">
      <c r="A74" t="s">
        <v>1323</v>
      </c>
      <c r="B74" t="s">
        <v>1221</v>
      </c>
      <c r="C74">
        <f>VLOOKUP(NSGGroups[[#This Row],[SNetID]], Subnets[#All], 2, FALSE)</f>
        <v>260</v>
      </c>
      <c r="D74" t="str">
        <f>"NSG_"&amp;NSGGroups[[#This Row],[SubnetName(computed)]]</f>
        <v>NSG_User_Tier0_260_SLG_CJIS_w2</v>
      </c>
      <c r="E74" t="str">
        <f>LEFT(NSGGroups[[#This Row],[SubnetNumber(Computed)]]&amp;": "&amp; NSGGroups[[#This Row],[Application(Compluted)]]&amp;", Data Tier ("&amp;NSGGroups[[#This Row],[Tier]]&amp;") "&amp;NSGGroups[[#This Row],[SubDesc(Computed)]], 50)</f>
        <v>260: User_Tier0, Data Tier (0) Tier 0 - Direct Con</v>
      </c>
      <c r="F74" t="str">
        <f>VLOOKUP(NSGGroups[[#This Row],[SNetID]], Subnets[], 4, FALSE)</f>
        <v>User_Tier0_260_SLG_CJIS_w2</v>
      </c>
      <c r="G74" t="str">
        <f>VLOOKUP(NSGGroups[[#This Row],[SNetID]], Subnets[#All], 9, FALSE)</f>
        <v>User_Tier0</v>
      </c>
      <c r="H74">
        <f>VLOOKUP(NSGGroups[[#This Row],[SNetID]], Subnets[#All], 10, FALSE)</f>
        <v>0</v>
      </c>
      <c r="I74"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74" t="str">
        <f>VLOOKUP(NSGGroups[[#This Row],[SNetID]], Subnets[], 8, FALSE)</f>
        <v>w2</v>
      </c>
      <c r="K74" t="s">
        <v>1161</v>
      </c>
      <c r="L74" t="str">
        <f>VLOOKUP(NSGGroups[[#This Row],[SNetID]], Subnets[], 5, FALSE)</f>
        <v>CJIS</v>
      </c>
      <c r="M74" t="str">
        <f>VLOOKUP(NSGGroups[[#This Row],[SNetID]], Subnets[#All], 12, FALSE)&amp;VLOOKUP(NSGGroups[[#This Row],[SNetID]], Subnets[#All], 13, FALSE)</f>
        <v>10.131.26.0/25</v>
      </c>
      <c r="N74" s="53" t="str">
        <f>"New-AzureNetworkSecurityGroup -Name '" &amp; NSGGroups[[#This Row],[Title]]&amp; "' -Location $VNETSite_"&amp;NSGGroups[[#This Row],[SiteNumber]]&amp;".location -Label '"&amp;NSGGroups[[#This Row],[Description]]&amp;"'"</f>
        <v>New-AzureNetworkSecurityGroup -Name 'NSG_User_Tier0_260_SLG_CJIS_w2' -Location $VNETSite_CJIS1.location -Label '260: User_Tier0, Data Tier (0) Tier 0 - Direct Con'</v>
      </c>
    </row>
    <row r="75" spans="1:14" x14ac:dyDescent="0.45">
      <c r="A75" t="s">
        <v>1324</v>
      </c>
      <c r="B75" t="s">
        <v>1222</v>
      </c>
      <c r="C75">
        <f>VLOOKUP(NSGGroups[[#This Row],[SNetID]], Subnets[#All], 2, FALSE)</f>
        <v>261</v>
      </c>
      <c r="D75" t="str">
        <f>"NSG_"&amp;NSGGroups[[#This Row],[SubnetName(computed)]]</f>
        <v>NSG_Users_Tier1_261_SLG_CJIS_w2</v>
      </c>
      <c r="E75" t="str">
        <f>LEFT(NSGGroups[[#This Row],[SubnetNumber(Computed)]]&amp;": "&amp; NSGGroups[[#This Row],[Application(Compluted)]]&amp;", Data Tier ("&amp;NSGGroups[[#This Row],[Tier]]&amp;") "&amp;NSGGroups[[#This Row],[SubDesc(Computed)]], 50)</f>
        <v>261: Users_Tier1, Data Tier (1) Tier 1 administrat</v>
      </c>
      <c r="F75" t="str">
        <f>VLOOKUP(NSGGroups[[#This Row],[SNetID]], Subnets[], 4, FALSE)</f>
        <v>Users_Tier1_261_SLG_CJIS_w2</v>
      </c>
      <c r="G75" t="str">
        <f>VLOOKUP(NSGGroups[[#This Row],[SNetID]], Subnets[#All], 9, FALSE)</f>
        <v>Users_Tier1</v>
      </c>
      <c r="H75">
        <v>1</v>
      </c>
      <c r="I75" t="str">
        <f>VLOOKUP(NSGGroups[[#This Row],[SNetID]], Subnets[#All], 11, FALSE)</f>
        <v>Tier 1 administrator - manage enterprise servers, services, and applications</v>
      </c>
      <c r="J75" t="str">
        <f>VLOOKUP(NSGGroups[[#This Row],[SNetID]], Subnets[], 8, FALSE)</f>
        <v>w2</v>
      </c>
      <c r="K75" t="s">
        <v>1161</v>
      </c>
      <c r="L75" t="str">
        <f>VLOOKUP(NSGGroups[[#This Row],[SNetID]], Subnets[], 5, FALSE)</f>
        <v>CJIS</v>
      </c>
      <c r="M75" t="str">
        <f>VLOOKUP(NSGGroups[[#This Row],[SNetID]], Subnets[#All], 12, FALSE)&amp;VLOOKUP(NSGGroups[[#This Row],[SNetID]], Subnets[#All], 13, FALSE)</f>
        <v>10.131.26.128/25</v>
      </c>
      <c r="N75" s="53" t="str">
        <f>"New-AzureNetworkSecurityGroup -Name '" &amp; NSGGroups[[#This Row],[Title]]&amp; "' -Location $VNETSite_"&amp;NSGGroups[[#This Row],[SiteNumber]]&amp;".location -Label '"&amp;NSGGroups[[#This Row],[Description]]&amp;"'"</f>
        <v>New-AzureNetworkSecurityGroup -Name 'NSG_Users_Tier1_261_SLG_CJIS_w2' -Location $VNETSite_CJIS1.location -Label '261: Users_Tier1, Data Tier (1) Tier 1 administrat'</v>
      </c>
    </row>
    <row r="76" spans="1:14" x14ac:dyDescent="0.45">
      <c r="A76" t="s">
        <v>1325</v>
      </c>
      <c r="B76" t="s">
        <v>1223</v>
      </c>
      <c r="C76">
        <f>VLOOKUP(NSGGroups[[#This Row],[SNetID]], Subnets[#All], 2, FALSE)</f>
        <v>270</v>
      </c>
      <c r="D76" t="str">
        <f>"NSG_"&amp;NSGGroups[[#This Row],[SubnetName(computed)]]</f>
        <v>NSG_Future_270_SLG_CJIS_w2</v>
      </c>
      <c r="E76" t="str">
        <f>LEFT(NSGGroups[[#This Row],[SubnetNumber(Computed)]]&amp;": "&amp; NSGGroups[[#This Row],[Application(Compluted)]]&amp;", Data Tier ("&amp;NSGGroups[[#This Row],[Tier]]&amp;") "&amp;NSGGroups[[#This Row],[SubDesc(Computed)]], 50)</f>
        <v>270: Future, Data Tier (2) Future Consideration</v>
      </c>
      <c r="F76" t="str">
        <f>VLOOKUP(NSGGroups[[#This Row],[SNetID]], Subnets[], 4, FALSE)</f>
        <v>Future_270_SLG_CJIS_w2</v>
      </c>
      <c r="G76" t="str">
        <f>VLOOKUP(NSGGroups[[#This Row],[SNetID]], Subnets[#All], 9, FALSE)</f>
        <v>Future</v>
      </c>
      <c r="H76">
        <v>2</v>
      </c>
      <c r="I76" t="str">
        <f>VLOOKUP(NSGGroups[[#This Row],[SNetID]], Subnets[#All], 11, FALSE)</f>
        <v>Future Consideration</v>
      </c>
      <c r="J76" t="str">
        <f>VLOOKUP(NSGGroups[[#This Row],[SNetID]], Subnets[], 8, FALSE)</f>
        <v>w2</v>
      </c>
      <c r="K76" t="s">
        <v>1160</v>
      </c>
      <c r="L76" t="str">
        <f>VLOOKUP(NSGGroups[[#This Row],[SNetID]], Subnets[], 5, FALSE)</f>
        <v>CJIS</v>
      </c>
      <c r="M76" t="str">
        <f>VLOOKUP(NSGGroups[[#This Row],[SNetID]], Subnets[#All], 12, FALSE)&amp;VLOOKUP(NSGGroups[[#This Row],[SNetID]], Subnets[#All], 13, FALSE)</f>
        <v>10.131.26.0/23</v>
      </c>
      <c r="N76" s="53" t="str">
        <f>"New-AzureNetworkSecurityGroup -Name '" &amp; NSGGroups[[#This Row],[Title]]&amp; "' -Location $VNETSite_"&amp;NSGGroups[[#This Row],[SiteNumber]]&amp;".location -Label '"&amp;NSGGroups[[#This Row],[Description]]&amp;"'"</f>
        <v>New-AzureNetworkSecurityGroup -Name 'NSG_Future_270_SLG_CJIS_w2' -Location $VNETSite_CJIS2.location -Label '270: Future, Data Tier (2) Future Consideration'</v>
      </c>
    </row>
    <row r="77" spans="1:14" x14ac:dyDescent="0.45">
      <c r="A77" t="s">
        <v>1326</v>
      </c>
      <c r="B77" t="s">
        <v>1224</v>
      </c>
      <c r="C77">
        <f>VLOOKUP(NSGGroups[[#This Row],[SNetID]], Subnets[#All], 2, FALSE)</f>
        <v>270</v>
      </c>
      <c r="D77" t="str">
        <f>"NSG_"&amp;NSGGroups[[#This Row],[SubnetName(computed)]]</f>
        <v>NSG_Future_270_SLG_CJIS_w2</v>
      </c>
      <c r="E77" t="str">
        <f>LEFT(NSGGroups[[#This Row],[SubnetNumber(Computed)]]&amp;": "&amp; NSGGroups[[#This Row],[Application(Compluted)]]&amp;", Data Tier ("&amp;NSGGroups[[#This Row],[Tier]]&amp;") "&amp;NSGGroups[[#This Row],[SubDesc(Computed)]], 50)</f>
        <v>270: Future, Data Tier (1) Future Consideration</v>
      </c>
      <c r="F77" t="str">
        <f>VLOOKUP(NSGGroups[[#This Row],[SNetID]], Subnets[], 4, FALSE)</f>
        <v>Future_270_SLG_CJIS_w2</v>
      </c>
      <c r="G77" t="str">
        <f>VLOOKUP(NSGGroups[[#This Row],[SNetID]], Subnets[#All], 9, FALSE)</f>
        <v>Future</v>
      </c>
      <c r="H77">
        <v>1</v>
      </c>
      <c r="I77" t="str">
        <f>VLOOKUP(NSGGroups[[#This Row],[SNetID]], Subnets[#All], 11, FALSE)</f>
        <v>Future Consideration</v>
      </c>
      <c r="J77" t="str">
        <f>VLOOKUP(NSGGroups[[#This Row],[SNetID]], Subnets[], 8, FALSE)</f>
        <v>w2</v>
      </c>
      <c r="K77" t="s">
        <v>1160</v>
      </c>
      <c r="L77" t="str">
        <f>VLOOKUP(NSGGroups[[#This Row],[SNetID]], Subnets[], 5, FALSE)</f>
        <v>CJIS</v>
      </c>
      <c r="M77" t="str">
        <f>VLOOKUP(NSGGroups[[#This Row],[SNetID]], Subnets[#All], 12, FALSE)&amp;VLOOKUP(NSGGroups[[#This Row],[SNetID]], Subnets[#All], 13, FALSE)</f>
        <v>10.131.28.0/23</v>
      </c>
      <c r="N77" s="53" t="str">
        <f>"New-AzureNetworkSecurityGroup -Name '" &amp; NSGGroups[[#This Row],[Title]]&amp; "' -Location $VNETSite_"&amp;NSGGroups[[#This Row],[SiteNumber]]&amp;".location -Label '"&amp;NSGGroups[[#This Row],[Description]]&amp;"'"</f>
        <v>New-AzureNetworkSecurityGroup -Name 'NSG_Future_270_SLG_CJIS_w2' -Location $VNETSite_CJIS2.location -Label '270: Future, Data Tier (1) Future Consideration'</v>
      </c>
    </row>
    <row r="78" spans="1:14" x14ac:dyDescent="0.45">
      <c r="A78" t="s">
        <v>1327</v>
      </c>
      <c r="B78" t="s">
        <v>1225</v>
      </c>
      <c r="C78">
        <f>VLOOKUP(NSGGroups[[#This Row],[SNetID]], Subnets[#All], 2, FALSE)</f>
        <v>270</v>
      </c>
      <c r="D78" t="str">
        <f>"NSG_"&amp;NSGGroups[[#This Row],[SubnetName(computed)]]</f>
        <v>NSG_Future_270_SLG_CJIS_w2</v>
      </c>
      <c r="E78" t="str">
        <f>LEFT(NSGGroups[[#This Row],[SubnetNumber(Computed)]]&amp;": "&amp; NSGGroups[[#This Row],[Application(Compluted)]]&amp;", Data Tier ("&amp;NSGGroups[[#This Row],[Tier]]&amp;") "&amp;NSGGroups[[#This Row],[SubDesc(Computed)]], 50)</f>
        <v>270: Future, Data Tier (1) Future Consideration</v>
      </c>
      <c r="F78" t="str">
        <f>VLOOKUP(NSGGroups[[#This Row],[SNetID]], Subnets[], 4, FALSE)</f>
        <v>Future_270_SLG_CJIS_w2</v>
      </c>
      <c r="G78" t="str">
        <f>VLOOKUP(NSGGroups[[#This Row],[SNetID]], Subnets[#All], 9, FALSE)</f>
        <v>Future</v>
      </c>
      <c r="H78">
        <v>1</v>
      </c>
      <c r="I78" t="str">
        <f>VLOOKUP(NSGGroups[[#This Row],[SNetID]], Subnets[#All], 11, FALSE)</f>
        <v>Future Consideration</v>
      </c>
      <c r="J78" t="str">
        <f>VLOOKUP(NSGGroups[[#This Row],[SNetID]], Subnets[], 8, FALSE)</f>
        <v>w2</v>
      </c>
      <c r="K78" t="s">
        <v>1160</v>
      </c>
      <c r="L78" t="str">
        <f>VLOOKUP(NSGGroups[[#This Row],[SNetID]], Subnets[], 5, FALSE)</f>
        <v>CJIS</v>
      </c>
      <c r="M78" t="str">
        <f>VLOOKUP(NSGGroups[[#This Row],[SNetID]], Subnets[#All], 12, FALSE)&amp;VLOOKUP(NSGGroups[[#This Row],[SNetID]], Subnets[#All], 13, FALSE)</f>
        <v>10.131.30.0/24</v>
      </c>
      <c r="N78" s="53" t="str">
        <f>"New-AzureNetworkSecurityGroup -Name '" &amp; NSGGroups[[#This Row],[Title]]&amp; "' -Location $VNETSite_"&amp;NSGGroups[[#This Row],[SiteNumber]]&amp;".location -Label '"&amp;NSGGroups[[#This Row],[Description]]&amp;"'"</f>
        <v>New-AzureNetworkSecurityGroup -Name 'NSG_Future_270_SLG_CJIS_w2' -Location $VNETSite_CJIS2.location -Label '270: Future, Data Tier (1) Future Consideration'</v>
      </c>
    </row>
    <row r="79" spans="1:14" x14ac:dyDescent="0.45">
      <c r="A79" t="s">
        <v>1328</v>
      </c>
      <c r="B79" t="s">
        <v>1226</v>
      </c>
      <c r="C79">
        <f>VLOOKUP(NSGGroups[[#This Row],[SNetID]], Subnets[#All], 2, FALSE)</f>
        <v>299</v>
      </c>
      <c r="D79" t="str">
        <f>"NSG_"&amp;NSGGroups[[#This Row],[SubnetName(computed)]]</f>
        <v>NSG_Gateway_299_SLG_CJIS_w2</v>
      </c>
      <c r="E79" t="str">
        <f>LEFT(NSGGroups[[#This Row],[SubnetNumber(Computed)]]&amp;": "&amp; NSGGroups[[#This Row],[Application(Compluted)]]&amp;", Data Tier ("&amp;NSGGroups[[#This Row],[Tier]]&amp;") "&amp;NSGGroups[[#This Row],[SubDesc(Computed)]], 50)</f>
        <v>299: Gateway, Data Tier (2) Gateway Services to Lo</v>
      </c>
      <c r="F79" t="str">
        <f>VLOOKUP(NSGGroups[[#This Row],[SNetID]], Subnets[], 4, FALSE)</f>
        <v>Gateway_299_SLG_CJIS_w2</v>
      </c>
      <c r="G79" t="str">
        <f>VLOOKUP(NSGGroups[[#This Row],[SNetID]], Subnets[#All], 9, FALSE)</f>
        <v>Gateway</v>
      </c>
      <c r="H79">
        <v>2</v>
      </c>
      <c r="I79" t="str">
        <f>VLOOKUP(NSGGroups[[#This Row],[SNetID]], Subnets[#All], 11, FALSE)</f>
        <v>Gateway Services to Local Networks</v>
      </c>
      <c r="J79" t="str">
        <f>VLOOKUP(NSGGroups[[#This Row],[SNetID]], Subnets[], 8, FALSE)</f>
        <v>w2</v>
      </c>
      <c r="K79" t="s">
        <v>1160</v>
      </c>
      <c r="L79" t="str">
        <f>VLOOKUP(NSGGroups[[#This Row],[SNetID]], Subnets[], 5, FALSE)</f>
        <v>CJIS</v>
      </c>
      <c r="M79" t="str">
        <f>VLOOKUP(NSGGroups[[#This Row],[SNetID]], Subnets[#All], 12, FALSE)&amp;VLOOKUP(NSGGroups[[#This Row],[SNetID]], Subnets[#All], 13, FALSE)</f>
        <v>10.131.31.248/29</v>
      </c>
      <c r="N79" s="53" t="str">
        <f>"New-AzureNetworkSecurityGroup -Name '" &amp; NSGGroups[[#This Row],[Title]]&amp; "' -Location $VNETSite_"&amp;NSGGroups[[#This Row],[SiteNumber]]&amp;".location -Label '"&amp;NSGGroups[[#This Row],[Description]]&amp;"'"</f>
        <v>New-AzureNetworkSecurityGroup -Name 'NSG_Gateway_299_SLG_CJIS_w2' -Location $VNETSite_CJIS2.location -Label '299: Gateway, Data Tier (2) Gateway Services to Lo'</v>
      </c>
    </row>
    <row r="80" spans="1:14" x14ac:dyDescent="0.45">
      <c r="A80" t="s">
        <v>1329</v>
      </c>
      <c r="B80" t="s">
        <v>1227</v>
      </c>
      <c r="C80">
        <f>VLOOKUP(NSGGroups[[#This Row],[SNetID]], Subnets[#All], 2, FALSE)</f>
        <v>210</v>
      </c>
      <c r="D80" t="str">
        <f>"NSG_"&amp;NSGGroups[[#This Row],[SubnetName(computed)]]</f>
        <v>NSG_Web_210_SLG_CJIS_w1</v>
      </c>
      <c r="E80" t="str">
        <f>LEFT(NSGGroups[[#This Row],[SubnetNumber(Computed)]]&amp;": "&amp; NSGGroups[[#This Row],[Application(Compluted)]]&amp;", Data Tier ("&amp;NSGGroups[[#This Row],[Tier]]&amp;") "&amp;NSGGroups[[#This Row],[SubDesc(Computed)]], 50)</f>
        <v>210: Web, Data Tier (0) HTTP and HTTPS services</v>
      </c>
      <c r="F80" t="str">
        <f>VLOOKUP(NSGGroups[[#This Row],[SNetID]], Subnets[], 4, FALSE)</f>
        <v>Web_210_SLG_CJIS_w1</v>
      </c>
      <c r="G80" t="str">
        <f>VLOOKUP(NSGGroups[[#This Row],[SNetID]], Subnets[#All], 9, FALSE)</f>
        <v>Web</v>
      </c>
      <c r="H80">
        <f>VLOOKUP(NSGGroups[[#This Row],[SNetID]], Subnets[#All], 10, FALSE)</f>
        <v>0</v>
      </c>
      <c r="I80" t="str">
        <f>VLOOKUP(NSGGroups[[#This Row],[SNetID]], Subnets[#All], 11, FALSE)</f>
        <v>HTTP and HTTPS services</v>
      </c>
      <c r="J80" t="str">
        <f>VLOOKUP(NSGGroups[[#This Row],[SNetID]], Subnets[], 8, FALSE)</f>
        <v>w1</v>
      </c>
      <c r="K80" t="s">
        <v>1160</v>
      </c>
      <c r="L80" t="str">
        <f>VLOOKUP(NSGGroups[[#This Row],[SNetID]], Subnets[], 5, FALSE)</f>
        <v>CJIS</v>
      </c>
      <c r="M80" t="str">
        <f>VLOOKUP(NSGGroups[[#This Row],[SNetID]], Subnets[#All], 12, FALSE)&amp;VLOOKUP(NSGGroups[[#This Row],[SNetID]], Subnets[#All], 13, FALSE)</f>
        <v>10.131.80.0/24</v>
      </c>
      <c r="N80" s="53" t="str">
        <f>"New-AzureNetworkSecurityGroup -Name '" &amp; NSGGroups[[#This Row],[Title]]&amp; "' -Location $VNETSite_"&amp;NSGGroups[[#This Row],[SiteNumber]]&amp;".location -Label '"&amp;NSGGroups[[#This Row],[Description]]&amp;"'"</f>
        <v>New-AzureNetworkSecurityGroup -Name 'NSG_Web_210_SLG_CJIS_w1' -Location $VNETSite_CJIS2.location -Label '210: Web, Data Tier (0) HTTP and HTTPS services'</v>
      </c>
    </row>
    <row r="81" spans="1:14" x14ac:dyDescent="0.45">
      <c r="A81" t="s">
        <v>1330</v>
      </c>
      <c r="B81" t="s">
        <v>1228</v>
      </c>
      <c r="C81">
        <f>VLOOKUP(NSGGroups[[#This Row],[SNetID]], Subnets[#All], 2, FALSE)</f>
        <v>220</v>
      </c>
      <c r="D81" t="str">
        <f>"NSG_"&amp;NSGGroups[[#This Row],[SubnetName(computed)]]</f>
        <v>NSG_App_220_SLG_CJIS_w1</v>
      </c>
      <c r="E81" t="str">
        <f>LEFT(NSGGroups[[#This Row],[SubnetNumber(Computed)]]&amp;": "&amp; NSGGroups[[#This Row],[Application(Compluted)]]&amp;", Data Tier ("&amp;NSGGroups[[#This Row],[Tier]]&amp;") "&amp;NSGGroups[[#This Row],[SubDesc(Computed)]], 50)</f>
        <v>220: App, Data Tier (1) Web Services, OEM applicat</v>
      </c>
      <c r="F81" t="str">
        <f>VLOOKUP(NSGGroups[[#This Row],[SNetID]], Subnets[], 4, FALSE)</f>
        <v>App_220_SLG_CJIS_w1</v>
      </c>
      <c r="G81" t="str">
        <f>VLOOKUP(NSGGroups[[#This Row],[SNetID]], Subnets[#All], 9, FALSE)</f>
        <v>App</v>
      </c>
      <c r="H81">
        <v>1</v>
      </c>
      <c r="I81" t="str">
        <f>VLOOKUP(NSGGroups[[#This Row],[SNetID]], Subnets[#All], 11, FALSE)</f>
        <v>Web Services, OEM applications</v>
      </c>
      <c r="J81" t="str">
        <f>VLOOKUP(NSGGroups[[#This Row],[SNetID]], Subnets[], 8, FALSE)</f>
        <v>w1</v>
      </c>
      <c r="K81" t="s">
        <v>1160</v>
      </c>
      <c r="L81" t="str">
        <f>VLOOKUP(NSGGroups[[#This Row],[SNetID]], Subnets[], 5, FALSE)</f>
        <v>CJIS</v>
      </c>
      <c r="M81" t="str">
        <f>VLOOKUP(NSGGroups[[#This Row],[SNetID]], Subnets[#All], 12, FALSE)&amp;VLOOKUP(NSGGroups[[#This Row],[SNetID]], Subnets[#All], 13, FALSE)</f>
        <v>10.131.82.0/24</v>
      </c>
      <c r="N81" s="53" t="str">
        <f>"New-AzureNetworkSecurityGroup -Name '" &amp; NSGGroups[[#This Row],[Title]]&amp; "' -Location $VNETSite_"&amp;NSGGroups[[#This Row],[SiteNumber]]&amp;".location -Label '"&amp;NSGGroups[[#This Row],[Description]]&amp;"'"</f>
        <v>New-AzureNetworkSecurityGroup -Name 'NSG_App_220_SLG_CJIS_w1' -Location $VNETSite_CJIS2.location -Label '220: App, Data Tier (1) Web Services, OEM applicat'</v>
      </c>
    </row>
    <row r="82" spans="1:14" x14ac:dyDescent="0.45">
      <c r="A82" t="s">
        <v>1331</v>
      </c>
      <c r="B82" t="s">
        <v>1229</v>
      </c>
      <c r="C82">
        <f>VLOOKUP(NSGGroups[[#This Row],[SNetID]], Subnets[#All], 2, FALSE)</f>
        <v>230</v>
      </c>
      <c r="D82" t="str">
        <f>"NSG_"&amp;NSGGroups[[#This Row],[SubnetName(computed)]]</f>
        <v>NSG_Database_230_SLG_CJIS_w1</v>
      </c>
      <c r="E82" t="str">
        <f>LEFT(NSGGroups[[#This Row],[SubnetNumber(Computed)]]&amp;": "&amp; NSGGroups[[#This Row],[Application(Compluted)]]&amp;", Data Tier ("&amp;NSGGroups[[#This Row],[Tier]]&amp;") "&amp;NSGGroups[[#This Row],[SubDesc(Computed)]], 50)</f>
        <v>230: Database, Data Tier (2) Data for Applications</v>
      </c>
      <c r="F82" t="str">
        <f>VLOOKUP(NSGGroups[[#This Row],[SNetID]], Subnets[], 4, FALSE)</f>
        <v>Database_230_SLG_CJIS_w1</v>
      </c>
      <c r="G82" t="str">
        <f>VLOOKUP(NSGGroups[[#This Row],[SNetID]], Subnets[#All], 9, FALSE)</f>
        <v>Database</v>
      </c>
      <c r="H82">
        <v>2</v>
      </c>
      <c r="I82" t="str">
        <f>VLOOKUP(NSGGroups[[#This Row],[SNetID]], Subnets[#All], 11, FALSE)</f>
        <v>Data for Applications</v>
      </c>
      <c r="J82" t="str">
        <f>VLOOKUP(NSGGroups[[#This Row],[SNetID]], Subnets[], 8, FALSE)</f>
        <v>w1</v>
      </c>
      <c r="K82" t="s">
        <v>1163</v>
      </c>
      <c r="L82" t="str">
        <f>VLOOKUP(NSGGroups[[#This Row],[SNetID]], Subnets[], 5, FALSE)</f>
        <v>CJIS</v>
      </c>
      <c r="M82" t="str">
        <f>VLOOKUP(NSGGroups[[#This Row],[SNetID]], Subnets[#All], 12, FALSE)&amp;VLOOKUP(NSGGroups[[#This Row],[SNetID]], Subnets[#All], 13, FALSE)</f>
        <v>10.131.84.0/24</v>
      </c>
      <c r="N82" s="53" t="str">
        <f>"New-AzureNetworkSecurityGroup -Name '" &amp; NSGGroups[[#This Row],[Title]]&amp; "' -Location $VNETSite_"&amp;NSGGroups[[#This Row],[SiteNumber]]&amp;".location -Label '"&amp;NSGGroups[[#This Row],[Description]]&amp;"'"</f>
        <v>New-AzureNetworkSecurityGroup -Name 'NSG_Database_230_SLG_CJIS_w1' -Location $VNETSite_PreProd1.location -Label '230: Database, Data Tier (2) Data for Applications'</v>
      </c>
    </row>
    <row r="83" spans="1:14" x14ac:dyDescent="0.45">
      <c r="A83" t="s">
        <v>1332</v>
      </c>
      <c r="B83" t="s">
        <v>1230</v>
      </c>
      <c r="C83">
        <f>VLOOKUP(NSGGroups[[#This Row],[SNetID]], Subnets[#All], 2, FALSE)</f>
        <v>250</v>
      </c>
      <c r="D83" t="str">
        <f>"NSG_"&amp;NSGGroups[[#This Row],[SubnetName(computed)]]</f>
        <v>NSG_DMZ_250_SLG_CJIS_w1</v>
      </c>
      <c r="E83" t="str">
        <f>LEFT(NSGGroups[[#This Row],[SubnetNumber(Computed)]]&amp;": "&amp; NSGGroups[[#This Row],[Application(Compluted)]]&amp;", Data Tier ("&amp;NSGGroups[[#This Row],[Tier]]&amp;") "&amp;NSGGroups[[#This Row],[SubDesc(Computed)]], 50)</f>
        <v>250: DMZ, Data Tier (1) Internet EndPoint Machines</v>
      </c>
      <c r="F83" t="str">
        <f>VLOOKUP(NSGGroups[[#This Row],[SNetID]], Subnets[], 4, FALSE)</f>
        <v>DMZ_250_SLG_CJIS_w1</v>
      </c>
      <c r="G83" t="str">
        <f>VLOOKUP(NSGGroups[[#This Row],[SNetID]], Subnets[#All], 9, FALSE)</f>
        <v>DMZ</v>
      </c>
      <c r="H83">
        <v>1</v>
      </c>
      <c r="I83" t="str">
        <f>VLOOKUP(NSGGroups[[#This Row],[SNetID]], Subnets[#All], 11, FALSE)</f>
        <v>Internet EndPoint Machines</v>
      </c>
      <c r="J83" t="str">
        <f>VLOOKUP(NSGGroups[[#This Row],[SNetID]], Subnets[], 8, FALSE)</f>
        <v>w1</v>
      </c>
      <c r="K83" t="s">
        <v>1163</v>
      </c>
      <c r="L83" t="str">
        <f>VLOOKUP(NSGGroups[[#This Row],[SNetID]], Subnets[], 5, FALSE)</f>
        <v>CJIS</v>
      </c>
      <c r="M83" t="str">
        <f>VLOOKUP(NSGGroups[[#This Row],[SNetID]], Subnets[#All], 12, FALSE)&amp;VLOOKUP(NSGGroups[[#This Row],[SNetID]], Subnets[#All], 13, FALSE)</f>
        <v>10.131.86.0/24</v>
      </c>
      <c r="N83" s="53" t="str">
        <f>"New-AzureNetworkSecurityGroup -Name '" &amp; NSGGroups[[#This Row],[Title]]&amp; "' -Location $VNETSite_"&amp;NSGGroups[[#This Row],[SiteNumber]]&amp;".location -Label '"&amp;NSGGroups[[#This Row],[Description]]&amp;"'"</f>
        <v>New-AzureNetworkSecurityGroup -Name 'NSG_DMZ_250_SLG_CJIS_w1' -Location $VNETSite_PreProd1.location -Label '250: DMZ, Data Tier (1) Internet EndPoint Machines'</v>
      </c>
    </row>
    <row r="84" spans="1:14" x14ac:dyDescent="0.45">
      <c r="A84" t="s">
        <v>1333</v>
      </c>
      <c r="B84" t="s">
        <v>1231</v>
      </c>
      <c r="C84">
        <f>VLOOKUP(NSGGroups[[#This Row],[SNetID]], Subnets[#All], 2, FALSE)</f>
        <v>260</v>
      </c>
      <c r="D84" t="str">
        <f>"NSG_"&amp;NSGGroups[[#This Row],[SubnetName(computed)]]</f>
        <v>NSG_User_Tier0_260_SLG_CJIS_w1</v>
      </c>
      <c r="E84" t="str">
        <f>LEFT(NSGGroups[[#This Row],[SubnetNumber(Computed)]]&amp;": "&amp; NSGGroups[[#This Row],[Application(Compluted)]]&amp;", Data Tier ("&amp;NSGGroups[[#This Row],[Tier]]&amp;") "&amp;NSGGroups[[#This Row],[SubDesc(Computed)]], 50)</f>
        <v>260: User_Tier0, Data Tier (1) Tier 0 - Direct Con</v>
      </c>
      <c r="F84" t="str">
        <f>VLOOKUP(NSGGroups[[#This Row],[SNetID]], Subnets[], 4, FALSE)</f>
        <v>User_Tier0_260_SLG_CJIS_w1</v>
      </c>
      <c r="G84" t="str">
        <f>VLOOKUP(NSGGroups[[#This Row],[SNetID]], Subnets[#All], 9, FALSE)</f>
        <v>User_Tier0</v>
      </c>
      <c r="H84">
        <v>1</v>
      </c>
      <c r="I84"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84" t="str">
        <f>VLOOKUP(NSGGroups[[#This Row],[SNetID]], Subnets[], 8, FALSE)</f>
        <v>w1</v>
      </c>
      <c r="K84" t="s">
        <v>1163</v>
      </c>
      <c r="L84" t="str">
        <f>VLOOKUP(NSGGroups[[#This Row],[SNetID]], Subnets[], 5, FALSE)</f>
        <v>CJIS</v>
      </c>
      <c r="M84" t="str">
        <f>VLOOKUP(NSGGroups[[#This Row],[SNetID]], Subnets[#All], 12, FALSE)&amp;VLOOKUP(NSGGroups[[#This Row],[SNetID]], Subnets[#All], 13, FALSE)</f>
        <v>10.131.88.0/25</v>
      </c>
      <c r="N84" s="53" t="str">
        <f>"New-AzureNetworkSecurityGroup -Name '" &amp; NSGGroups[[#This Row],[Title]]&amp; "' -Location $VNETSite_"&amp;NSGGroups[[#This Row],[SiteNumber]]&amp;".location -Label '"&amp;NSGGroups[[#This Row],[Description]]&amp;"'"</f>
        <v>New-AzureNetworkSecurityGroup -Name 'NSG_User_Tier0_260_SLG_CJIS_w1' -Location $VNETSite_PreProd1.location -Label '260: User_Tier0, Data Tier (1) Tier 0 - Direct Con'</v>
      </c>
    </row>
    <row r="85" spans="1:14" x14ac:dyDescent="0.45">
      <c r="A85" t="s">
        <v>1334</v>
      </c>
      <c r="B85" t="s">
        <v>1232</v>
      </c>
      <c r="C85">
        <f>VLOOKUP(NSGGroups[[#This Row],[SNetID]], Subnets[#All], 2, FALSE)</f>
        <v>261</v>
      </c>
      <c r="D85" t="str">
        <f>"NSG_"&amp;NSGGroups[[#This Row],[SubnetName(computed)]]</f>
        <v>NSG_User_Tier1_261_SLG_CJIS_w1</v>
      </c>
      <c r="E85" t="str">
        <f>LEFT(NSGGroups[[#This Row],[SubnetNumber(Computed)]]&amp;": "&amp; NSGGroups[[#This Row],[Application(Compluted)]]&amp;", Data Tier ("&amp;NSGGroups[[#This Row],[Tier]]&amp;") "&amp;NSGGroups[[#This Row],[SubDesc(Computed)]], 50)</f>
        <v>261: User_Tier1, Data Tier (2) Tier 1 administrato</v>
      </c>
      <c r="F85" t="str">
        <f>VLOOKUP(NSGGroups[[#This Row],[SNetID]], Subnets[], 4, FALSE)</f>
        <v>User_Tier1_261_SLG_CJIS_w1</v>
      </c>
      <c r="G85" t="str">
        <f>VLOOKUP(NSGGroups[[#This Row],[SNetID]], Subnets[#All], 9, FALSE)</f>
        <v>User_Tier1</v>
      </c>
      <c r="H85">
        <v>2</v>
      </c>
      <c r="I85" t="str">
        <f>VLOOKUP(NSGGroups[[#This Row],[SNetID]], Subnets[#All], 11, FALSE)</f>
        <v>Tier 1 administrator - manage enterprise servers, services, and applications</v>
      </c>
      <c r="J85" t="str">
        <f>VLOOKUP(NSGGroups[[#This Row],[SNetID]], Subnets[], 8, FALSE)</f>
        <v>w1</v>
      </c>
      <c r="K85" t="s">
        <v>1163</v>
      </c>
      <c r="L85" t="str">
        <f>VLOOKUP(NSGGroups[[#This Row],[SNetID]], Subnets[], 5, FALSE)</f>
        <v>CJIS</v>
      </c>
      <c r="M85" t="str">
        <f>VLOOKUP(NSGGroups[[#This Row],[SNetID]], Subnets[#All], 12, FALSE)&amp;VLOOKUP(NSGGroups[[#This Row],[SNetID]], Subnets[#All], 13, FALSE)</f>
        <v>10.131.88.128/25</v>
      </c>
      <c r="N85" s="53" t="str">
        <f>"New-AzureNetworkSecurityGroup -Name '" &amp; NSGGroups[[#This Row],[Title]]&amp; "' -Location $VNETSite_"&amp;NSGGroups[[#This Row],[SiteNumber]]&amp;".location -Label '"&amp;NSGGroups[[#This Row],[Description]]&amp;"'"</f>
        <v>New-AzureNetworkSecurityGroup -Name 'NSG_User_Tier1_261_SLG_CJIS_w1' -Location $VNETSite_PreProd1.location -Label '261: User_Tier1, Data Tier (2) Tier 1 administrato'</v>
      </c>
    </row>
    <row r="86" spans="1:14" x14ac:dyDescent="0.45">
      <c r="A86" t="s">
        <v>1335</v>
      </c>
      <c r="B86" t="s">
        <v>1233</v>
      </c>
      <c r="C86">
        <f>VLOOKUP(NSGGroups[[#This Row],[SNetID]], Subnets[#All], 2, FALSE)</f>
        <v>270</v>
      </c>
      <c r="D86" t="str">
        <f>"NSG_"&amp;NSGGroups[[#This Row],[SubnetName(computed)]]</f>
        <v>NSG_Future_270_SLG_CJIS_w1</v>
      </c>
      <c r="E86" t="str">
        <f>LEFT(NSGGroups[[#This Row],[SubnetNumber(Computed)]]&amp;": "&amp; NSGGroups[[#This Row],[Application(Compluted)]]&amp;", Data Tier ("&amp;NSGGroups[[#This Row],[Tier]]&amp;") "&amp;NSGGroups[[#This Row],[SubDesc(Computed)]], 50)</f>
        <v>270: Future, Data Tier (0) Future Consideration</v>
      </c>
      <c r="F86" t="str">
        <f>VLOOKUP(NSGGroups[[#This Row],[SNetID]], Subnets[], 4, FALSE)</f>
        <v>Future_270_SLG_CJIS_w1</v>
      </c>
      <c r="G86" t="str">
        <f>VLOOKUP(NSGGroups[[#This Row],[SNetID]], Subnets[#All], 9, FALSE)</f>
        <v>Future</v>
      </c>
      <c r="H86">
        <f>VLOOKUP(NSGGroups[[#This Row],[SNetID]], Subnets[#All], 10, FALSE)</f>
        <v>0</v>
      </c>
      <c r="I86" t="str">
        <f>VLOOKUP(NSGGroups[[#This Row],[SNetID]], Subnets[#All], 11, FALSE)</f>
        <v>Future Consideration</v>
      </c>
      <c r="J86" t="str">
        <f>VLOOKUP(NSGGroups[[#This Row],[SNetID]], Subnets[], 8, FALSE)</f>
        <v>w1</v>
      </c>
      <c r="K86" t="s">
        <v>1163</v>
      </c>
      <c r="L86" t="str">
        <f>VLOOKUP(NSGGroups[[#This Row],[SNetID]], Subnets[], 5, FALSE)</f>
        <v>CJIS</v>
      </c>
      <c r="M86" t="str">
        <f>VLOOKUP(NSGGroups[[#This Row],[SNetID]], Subnets[#All], 12, FALSE)&amp;VLOOKUP(NSGGroups[[#This Row],[SNetID]], Subnets[#All], 13, FALSE)</f>
        <v>10.131.92.0/23</v>
      </c>
      <c r="N86" s="53" t="str">
        <f>"New-AzureNetworkSecurityGroup -Name '" &amp; NSGGroups[[#This Row],[Title]]&amp; "' -Location $VNETSite_"&amp;NSGGroups[[#This Row],[SiteNumber]]&amp;".location -Label '"&amp;NSGGroups[[#This Row],[Description]]&amp;"'"</f>
        <v>New-AzureNetworkSecurityGroup -Name 'NSG_Future_270_SLG_CJIS_w1' -Location $VNETSite_PreProd1.location -Label '270: Future, Data Tier (0) Future Consideration'</v>
      </c>
    </row>
    <row r="87" spans="1:14" x14ac:dyDescent="0.45">
      <c r="A87" t="s">
        <v>1336</v>
      </c>
      <c r="B87" t="s">
        <v>1234</v>
      </c>
      <c r="C87">
        <f>VLOOKUP(NSGGroups[[#This Row],[SNetID]], Subnets[#All], 2, FALSE)</f>
        <v>270</v>
      </c>
      <c r="D87" t="str">
        <f>"NSG_"&amp;NSGGroups[[#This Row],[SubnetName(computed)]]</f>
        <v>NSG_Future_270_SLG_CJIS_w1</v>
      </c>
      <c r="E87" t="str">
        <f>LEFT(NSGGroups[[#This Row],[SubnetNumber(Computed)]]&amp;": "&amp; NSGGroups[[#This Row],[Application(Compluted)]]&amp;", Data Tier ("&amp;NSGGroups[[#This Row],[Tier]]&amp;") "&amp;NSGGroups[[#This Row],[SubDesc(Computed)]], 50)</f>
        <v>270: Future, Data Tier (1) Future Consideration</v>
      </c>
      <c r="F87" t="str">
        <f>VLOOKUP(NSGGroups[[#This Row],[SNetID]], Subnets[], 4, FALSE)</f>
        <v>Future_270_SLG_CJIS_w1</v>
      </c>
      <c r="G87" t="str">
        <f>VLOOKUP(NSGGroups[[#This Row],[SNetID]], Subnets[#All], 9, FALSE)</f>
        <v>Future</v>
      </c>
      <c r="H87">
        <v>1</v>
      </c>
      <c r="I87" t="str">
        <f>VLOOKUP(NSGGroups[[#This Row],[SNetID]], Subnets[#All], 11, FALSE)</f>
        <v>Future Consideration</v>
      </c>
      <c r="J87" t="str">
        <f>VLOOKUP(NSGGroups[[#This Row],[SNetID]], Subnets[], 8, FALSE)</f>
        <v>w1</v>
      </c>
      <c r="K87" t="s">
        <v>1163</v>
      </c>
      <c r="L87" t="str">
        <f>VLOOKUP(NSGGroups[[#This Row],[SNetID]], Subnets[], 5, FALSE)</f>
        <v>CJIS</v>
      </c>
      <c r="M87" t="str">
        <f>VLOOKUP(NSGGroups[[#This Row],[SNetID]], Subnets[#All], 12, FALSE)&amp;VLOOKUP(NSGGroups[[#This Row],[SNetID]], Subnets[#All], 13, FALSE)</f>
        <v>10.131.94.0/24</v>
      </c>
      <c r="N87" s="53" t="str">
        <f>"New-AzureNetworkSecurityGroup -Name '" &amp; NSGGroups[[#This Row],[Title]]&amp; "' -Location $VNETSite_"&amp;NSGGroups[[#This Row],[SiteNumber]]&amp;".location -Label '"&amp;NSGGroups[[#This Row],[Description]]&amp;"'"</f>
        <v>New-AzureNetworkSecurityGroup -Name 'NSG_Future_270_SLG_CJIS_w1' -Location $VNETSite_PreProd1.location -Label '270: Future, Data Tier (1) Future Consideration'</v>
      </c>
    </row>
    <row r="88" spans="1:14" x14ac:dyDescent="0.45">
      <c r="A88" t="s">
        <v>1337</v>
      </c>
      <c r="B88" t="s">
        <v>1235</v>
      </c>
      <c r="C88">
        <f>VLOOKUP(NSGGroups[[#This Row],[SNetID]], Subnets[#All], 2, FALSE)</f>
        <v>299</v>
      </c>
      <c r="D88" t="str">
        <f>"NSG_"&amp;NSGGroups[[#This Row],[SubnetName(computed)]]</f>
        <v>NSG_Gateway_299_SLG_CJIS_w1</v>
      </c>
      <c r="E88" t="str">
        <f>LEFT(NSGGroups[[#This Row],[SubnetNumber(Computed)]]&amp;": "&amp; NSGGroups[[#This Row],[Application(Compluted)]]&amp;", Data Tier ("&amp;NSGGroups[[#This Row],[Tier]]&amp;") "&amp;NSGGroups[[#This Row],[SubDesc(Computed)]], 50)</f>
        <v>299: Gateway, Data Tier (2) Gateway Services to Lo</v>
      </c>
      <c r="F88" t="str">
        <f>VLOOKUP(NSGGroups[[#This Row],[SNetID]], Subnets[], 4, FALSE)</f>
        <v>Gateway_299_SLG_CJIS_w1</v>
      </c>
      <c r="G88" t="str">
        <f>VLOOKUP(NSGGroups[[#This Row],[SNetID]], Subnets[#All], 9, FALSE)</f>
        <v>Gateway</v>
      </c>
      <c r="H88">
        <v>2</v>
      </c>
      <c r="I88" t="str">
        <f>VLOOKUP(NSGGroups[[#This Row],[SNetID]], Subnets[#All], 11, FALSE)</f>
        <v>Gateway Services to Local Networks</v>
      </c>
      <c r="J88" t="str">
        <f>VLOOKUP(NSGGroups[[#This Row],[SNetID]], Subnets[], 8, FALSE)</f>
        <v>w1</v>
      </c>
      <c r="K88" t="s">
        <v>1163</v>
      </c>
      <c r="L88" t="str">
        <f>VLOOKUP(NSGGroups[[#This Row],[SNetID]], Subnets[], 5, FALSE)</f>
        <v>CJIS</v>
      </c>
      <c r="M88" t="str">
        <f>VLOOKUP(NSGGroups[[#This Row],[SNetID]], Subnets[#All], 12, FALSE)&amp;VLOOKUP(NSGGroups[[#This Row],[SNetID]], Subnets[#All], 13, FALSE)</f>
        <v>10.131.95.248/29</v>
      </c>
      <c r="N88" s="53" t="str">
        <f>"New-AzureNetworkSecurityGroup -Name '" &amp; NSGGroups[[#This Row],[Title]]&amp; "' -Location $VNETSite_"&amp;NSGGroups[[#This Row],[SiteNumber]]&amp;".location -Label '"&amp;NSGGroups[[#This Row],[Description]]&amp;"'"</f>
        <v>New-AzureNetworkSecurityGroup -Name 'NSG_Gateway_299_SLG_CJIS_w1' -Location $VNETSite_PreProd1.location -Label '299: Gateway, Data Tier (2) Gateway Services to Lo'</v>
      </c>
    </row>
    <row r="89" spans="1:14" x14ac:dyDescent="0.45">
      <c r="A89" t="s">
        <v>1338</v>
      </c>
      <c r="B89" t="s">
        <v>1236</v>
      </c>
      <c r="C89">
        <f>VLOOKUP(NSGGroups[[#This Row],[SNetID]], Subnets[#All], 2, FALSE)</f>
        <v>310</v>
      </c>
      <c r="D89" t="str">
        <f>"NSG_"&amp;NSGGroups[[#This Row],[SubnetName(computed)]]</f>
        <v>NSG_Web_310_SLG_Test_w2</v>
      </c>
      <c r="E89" t="str">
        <f>LEFT(NSGGroups[[#This Row],[SubnetNumber(Computed)]]&amp;": "&amp; NSGGroups[[#This Row],[Application(Compluted)]]&amp;", Data Tier ("&amp;NSGGroups[[#This Row],[Tier]]&amp;") "&amp;NSGGroups[[#This Row],[SubDesc(Computed)]], 50)</f>
        <v>310: Web, Data Tier (0) HTTP and HTTPS services</v>
      </c>
      <c r="F89" t="str">
        <f>VLOOKUP(NSGGroups[[#This Row],[SNetID]], Subnets[], 4, FALSE)</f>
        <v>Web_310_SLG_Test_w2</v>
      </c>
      <c r="G89" t="str">
        <f>VLOOKUP(NSGGroups[[#This Row],[SNetID]], Subnets[#All], 9, FALSE)</f>
        <v>Web</v>
      </c>
      <c r="H89">
        <f>VLOOKUP(NSGGroups[[#This Row],[SNetID]], Subnets[#All], 10, FALSE)</f>
        <v>0</v>
      </c>
      <c r="I89" t="str">
        <f>VLOOKUP(NSGGroups[[#This Row],[SNetID]], Subnets[#All], 11, FALSE)</f>
        <v>HTTP and HTTPS services</v>
      </c>
      <c r="J89" t="str">
        <f>VLOOKUP(NSGGroups[[#This Row],[SNetID]], Subnets[], 8, FALSE)</f>
        <v>w2</v>
      </c>
      <c r="K89" t="s">
        <v>1163</v>
      </c>
      <c r="L89" t="str">
        <f>VLOOKUP(NSGGroups[[#This Row],[SNetID]], Subnets[], 5, FALSE)</f>
        <v>Test</v>
      </c>
      <c r="M89" t="str">
        <f>VLOOKUP(NSGGroups[[#This Row],[SNetID]], Subnets[#All], 12, FALSE)&amp;VLOOKUP(NSGGroups[[#This Row],[SNetID]], Subnets[#All], 13, FALSE)</f>
        <v>10.131.32.0/24</v>
      </c>
      <c r="N89" s="53" t="str">
        <f>"New-AzureNetworkSecurityGroup -Name '" &amp; NSGGroups[[#This Row],[Title]]&amp; "' -Location $VNETSite_"&amp;NSGGroups[[#This Row],[SiteNumber]]&amp;".location -Label '"&amp;NSGGroups[[#This Row],[Description]]&amp;"'"</f>
        <v>New-AzureNetworkSecurityGroup -Name 'NSG_Web_310_SLG_Test_w2' -Location $VNETSite_PreProd1.location -Label '310: Web, Data Tier (0) HTTP and HTTPS services'</v>
      </c>
    </row>
    <row r="90" spans="1:14" x14ac:dyDescent="0.45">
      <c r="A90" t="s">
        <v>1339</v>
      </c>
      <c r="B90" t="s">
        <v>1237</v>
      </c>
      <c r="C90">
        <f>VLOOKUP(NSGGroups[[#This Row],[SNetID]], Subnets[#All], 2, FALSE)</f>
        <v>320</v>
      </c>
      <c r="D90" t="str">
        <f>"NSG_"&amp;NSGGroups[[#This Row],[SubnetName(computed)]]</f>
        <v>NSG_App_320_SLG_Test_w2</v>
      </c>
      <c r="E90" t="str">
        <f>LEFT(NSGGroups[[#This Row],[SubnetNumber(Computed)]]&amp;": "&amp; NSGGroups[[#This Row],[Application(Compluted)]]&amp;", Data Tier ("&amp;NSGGroups[[#This Row],[Tier]]&amp;") "&amp;NSGGroups[[#This Row],[SubDesc(Computed)]], 50)</f>
        <v>320: App, Data Tier (1) Web Services, OEM applicat</v>
      </c>
      <c r="F90" t="str">
        <f>VLOOKUP(NSGGroups[[#This Row],[SNetID]], Subnets[], 4, FALSE)</f>
        <v>App_320_SLG_Test_w2</v>
      </c>
      <c r="G90" t="str">
        <f>VLOOKUP(NSGGroups[[#This Row],[SNetID]], Subnets[#All], 9, FALSE)</f>
        <v>App</v>
      </c>
      <c r="H90">
        <v>1</v>
      </c>
      <c r="I90" t="str">
        <f>VLOOKUP(NSGGroups[[#This Row],[SNetID]], Subnets[#All], 11, FALSE)</f>
        <v>Web Services, OEM applications</v>
      </c>
      <c r="J90" t="str">
        <f>VLOOKUP(NSGGroups[[#This Row],[SNetID]], Subnets[], 8, FALSE)</f>
        <v>w2</v>
      </c>
      <c r="K90" t="s">
        <v>1163</v>
      </c>
      <c r="L90" t="str">
        <f>VLOOKUP(NSGGroups[[#This Row],[SNetID]], Subnets[], 5, FALSE)</f>
        <v>Test</v>
      </c>
      <c r="M90" t="str">
        <f>VLOOKUP(NSGGroups[[#This Row],[SNetID]], Subnets[#All], 12, FALSE)&amp;VLOOKUP(NSGGroups[[#This Row],[SNetID]], Subnets[#All], 13, FALSE)</f>
        <v>10.131.33.0/24</v>
      </c>
      <c r="N90" s="53" t="str">
        <f>"New-AzureNetworkSecurityGroup -Name '" &amp; NSGGroups[[#This Row],[Title]]&amp; "' -Location $VNETSite_"&amp;NSGGroups[[#This Row],[SiteNumber]]&amp;".location -Label '"&amp;NSGGroups[[#This Row],[Description]]&amp;"'"</f>
        <v>New-AzureNetworkSecurityGroup -Name 'NSG_App_320_SLG_Test_w2' -Location $VNETSite_PreProd1.location -Label '320: App, Data Tier (1) Web Services, OEM applicat'</v>
      </c>
    </row>
    <row r="91" spans="1:14" x14ac:dyDescent="0.45">
      <c r="A91" t="s">
        <v>1340</v>
      </c>
      <c r="B91" t="s">
        <v>1238</v>
      </c>
      <c r="C91">
        <f>VLOOKUP(NSGGroups[[#This Row],[SNetID]], Subnets[#All], 2, FALSE)</f>
        <v>330</v>
      </c>
      <c r="D91" t="str">
        <f>"NSG_"&amp;NSGGroups[[#This Row],[SubnetName(computed)]]</f>
        <v>NSG_Database_330_SLG_Test_w2</v>
      </c>
      <c r="E91" t="str">
        <f>LEFT(NSGGroups[[#This Row],[SubnetNumber(Computed)]]&amp;": "&amp; NSGGroups[[#This Row],[Application(Compluted)]]&amp;", Data Tier ("&amp;NSGGroups[[#This Row],[Tier]]&amp;") "&amp;NSGGroups[[#This Row],[SubDesc(Computed)]], 50)</f>
        <v>330: Database, Data Tier (2) Data for Applications</v>
      </c>
      <c r="F91" t="str">
        <f>VLOOKUP(NSGGroups[[#This Row],[SNetID]], Subnets[], 4, FALSE)</f>
        <v>Database_330_SLG_Test_w2</v>
      </c>
      <c r="G91" t="str">
        <f>VLOOKUP(NSGGroups[[#This Row],[SNetID]], Subnets[#All], 9, FALSE)</f>
        <v>Database</v>
      </c>
      <c r="H91">
        <v>2</v>
      </c>
      <c r="I91" t="str">
        <f>VLOOKUP(NSGGroups[[#This Row],[SNetID]], Subnets[#All], 11, FALSE)</f>
        <v>Data for Applications</v>
      </c>
      <c r="J91" t="str">
        <f>VLOOKUP(NSGGroups[[#This Row],[SNetID]], Subnets[], 8, FALSE)</f>
        <v>w2</v>
      </c>
      <c r="K91" t="s">
        <v>1163</v>
      </c>
      <c r="L91" t="str">
        <f>VLOOKUP(NSGGroups[[#This Row],[SNetID]], Subnets[], 5, FALSE)</f>
        <v>Test</v>
      </c>
      <c r="M91" t="str">
        <f>VLOOKUP(NSGGroups[[#This Row],[SNetID]], Subnets[#All], 12, FALSE)&amp;VLOOKUP(NSGGroups[[#This Row],[SNetID]], Subnets[#All], 13, FALSE)</f>
        <v>10.131.34.0/24</v>
      </c>
      <c r="N91" s="53" t="str">
        <f>"New-AzureNetworkSecurityGroup -Name '" &amp; NSGGroups[[#This Row],[Title]]&amp; "' -Location $VNETSite_"&amp;NSGGroups[[#This Row],[SiteNumber]]&amp;".location -Label '"&amp;NSGGroups[[#This Row],[Description]]&amp;"'"</f>
        <v>New-AzureNetworkSecurityGroup -Name 'NSG_Database_330_SLG_Test_w2' -Location $VNETSite_PreProd1.location -Label '330: Database, Data Tier (2) Data for Applications'</v>
      </c>
    </row>
    <row r="92" spans="1:14" x14ac:dyDescent="0.45">
      <c r="A92" t="s">
        <v>1341</v>
      </c>
      <c r="B92" t="s">
        <v>1239</v>
      </c>
      <c r="C92">
        <f>VLOOKUP(NSGGroups[[#This Row],[SNetID]], Subnets[#All], 2, FALSE)</f>
        <v>350</v>
      </c>
      <c r="D92" t="str">
        <f>"NSG_"&amp;NSGGroups[[#This Row],[SubnetName(computed)]]</f>
        <v>NSG_DMZ_350_SLG_Test_w2</v>
      </c>
      <c r="E92" t="str">
        <f>LEFT(NSGGroups[[#This Row],[SubnetNumber(Computed)]]&amp;": "&amp; NSGGroups[[#This Row],[Application(Compluted)]]&amp;", Data Tier ("&amp;NSGGroups[[#This Row],[Tier]]&amp;") "&amp;NSGGroups[[#This Row],[SubDesc(Computed)]], 50)</f>
        <v>350: DMZ, Data Tier (2) Internet EndPoint Machines</v>
      </c>
      <c r="F92" t="str">
        <f>VLOOKUP(NSGGroups[[#This Row],[SNetID]], Subnets[], 4, FALSE)</f>
        <v>DMZ_350_SLG_Test_w2</v>
      </c>
      <c r="G92" t="str">
        <f>VLOOKUP(NSGGroups[[#This Row],[SNetID]], Subnets[#All], 9, FALSE)</f>
        <v>DMZ</v>
      </c>
      <c r="H92">
        <v>2</v>
      </c>
      <c r="I92" t="str">
        <f>VLOOKUP(NSGGroups[[#This Row],[SNetID]], Subnets[#All], 11, FALSE)</f>
        <v>Internet EndPoint Machines</v>
      </c>
      <c r="J92" t="str">
        <f>VLOOKUP(NSGGroups[[#This Row],[SNetID]], Subnets[], 8, FALSE)</f>
        <v>w2</v>
      </c>
      <c r="K92" t="s">
        <v>1163</v>
      </c>
      <c r="L92" t="str">
        <f>VLOOKUP(NSGGroups[[#This Row],[SNetID]], Subnets[], 5, FALSE)</f>
        <v>Test</v>
      </c>
      <c r="M92" t="str">
        <f>VLOOKUP(NSGGroups[[#This Row],[SNetID]], Subnets[#All], 12, FALSE)&amp;VLOOKUP(NSGGroups[[#This Row],[SNetID]], Subnets[#All], 13, FALSE)</f>
        <v>10.131.35.0/24</v>
      </c>
      <c r="N92" s="53" t="str">
        <f>"New-AzureNetworkSecurityGroup -Name '" &amp; NSGGroups[[#This Row],[Title]]&amp; "' -Location $VNETSite_"&amp;NSGGroups[[#This Row],[SiteNumber]]&amp;".location -Label '"&amp;NSGGroups[[#This Row],[Description]]&amp;"'"</f>
        <v>New-AzureNetworkSecurityGroup -Name 'NSG_DMZ_350_SLG_Test_w2' -Location $VNETSite_PreProd1.location -Label '350: DMZ, Data Tier (2) Internet EndPoint Machines'</v>
      </c>
    </row>
    <row r="93" spans="1:14" x14ac:dyDescent="0.45">
      <c r="A93" t="s">
        <v>1342</v>
      </c>
      <c r="B93" t="s">
        <v>1240</v>
      </c>
      <c r="C93">
        <f>VLOOKUP(NSGGroups[[#This Row],[SNetID]], Subnets[#All], 2, FALSE)</f>
        <v>360</v>
      </c>
      <c r="D93" t="str">
        <f>"NSG_"&amp;NSGGroups[[#This Row],[SubnetName(computed)]]</f>
        <v>NSG_User_Tier0_360_SLG_Test_w2</v>
      </c>
      <c r="E93" t="str">
        <f>LEFT(NSGGroups[[#This Row],[SubnetNumber(Computed)]]&amp;": "&amp; NSGGroups[[#This Row],[Application(Compluted)]]&amp;", Data Tier ("&amp;NSGGroups[[#This Row],[Tier]]&amp;") "&amp;NSGGroups[[#This Row],[SubDesc(Computed)]], 50)</f>
        <v>360: User_Tier0, Data Tier (1) Tier 0 - Direct Con</v>
      </c>
      <c r="F93" t="str">
        <f>VLOOKUP(NSGGroups[[#This Row],[SNetID]], Subnets[], 4, FALSE)</f>
        <v>User_Tier0_360_SLG_Test_w2</v>
      </c>
      <c r="G93" t="str">
        <f>VLOOKUP(NSGGroups[[#This Row],[SNetID]], Subnets[#All], 9, FALSE)</f>
        <v>User_Tier0</v>
      </c>
      <c r="H93">
        <v>1</v>
      </c>
      <c r="I9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93" t="str">
        <f>VLOOKUP(NSGGroups[[#This Row],[SNetID]], Subnets[], 8, FALSE)</f>
        <v>w2</v>
      </c>
      <c r="K93" t="s">
        <v>1163</v>
      </c>
      <c r="L93" t="str">
        <f>VLOOKUP(NSGGroups[[#This Row],[SNetID]], Subnets[], 5, FALSE)</f>
        <v>Test</v>
      </c>
      <c r="M93" t="str">
        <f>VLOOKUP(NSGGroups[[#This Row],[SNetID]], Subnets[#All], 12, FALSE)&amp;VLOOKUP(NSGGroups[[#This Row],[SNetID]], Subnets[#All], 13, FALSE)</f>
        <v>10.131.36.0/25</v>
      </c>
      <c r="N93" s="53" t="str">
        <f>"New-AzureNetworkSecurityGroup -Name '" &amp; NSGGroups[[#This Row],[Title]]&amp; "' -Location $VNETSite_"&amp;NSGGroups[[#This Row],[SiteNumber]]&amp;".location -Label '"&amp;NSGGroups[[#This Row],[Description]]&amp;"'"</f>
        <v>New-AzureNetworkSecurityGroup -Name 'NSG_User_Tier0_360_SLG_Test_w2' -Location $VNETSite_PreProd1.location -Label '360: User_Tier0, Data Tier (1) Tier 0 - Direct Con'</v>
      </c>
    </row>
    <row r="94" spans="1:14" x14ac:dyDescent="0.45">
      <c r="A94" t="s">
        <v>1343</v>
      </c>
      <c r="B94" t="s">
        <v>1241</v>
      </c>
      <c r="C94">
        <f>VLOOKUP(NSGGroups[[#This Row],[SNetID]], Subnets[#All], 2, FALSE)</f>
        <v>361</v>
      </c>
      <c r="D94" t="str">
        <f>"NSG_"&amp;NSGGroups[[#This Row],[SubnetName(computed)]]</f>
        <v>NSG_Users_Tier1_361_SLG_Test_w2</v>
      </c>
      <c r="E94" t="str">
        <f>LEFT(NSGGroups[[#This Row],[SubnetNumber(Computed)]]&amp;": "&amp; NSGGroups[[#This Row],[Application(Compluted)]]&amp;", Data Tier ("&amp;NSGGroups[[#This Row],[Tier]]&amp;") "&amp;NSGGroups[[#This Row],[SubDesc(Computed)]], 50)</f>
        <v>361: Users_Tier1, Data Tier (1) Tier 1 administrat</v>
      </c>
      <c r="F94" t="str">
        <f>VLOOKUP(NSGGroups[[#This Row],[SNetID]], Subnets[], 4, FALSE)</f>
        <v>Users_Tier1_361_SLG_Test_w2</v>
      </c>
      <c r="G94" t="str">
        <f>VLOOKUP(NSGGroups[[#This Row],[SNetID]], Subnets[#All], 9, FALSE)</f>
        <v>Users_Tier1</v>
      </c>
      <c r="H94">
        <v>1</v>
      </c>
      <c r="I94" t="str">
        <f>VLOOKUP(NSGGroups[[#This Row],[SNetID]], Subnets[#All], 11, FALSE)</f>
        <v>Tier 1 administrator - manage enterprise servers, services, and applications</v>
      </c>
      <c r="J94" t="str">
        <f>VLOOKUP(NSGGroups[[#This Row],[SNetID]], Subnets[], 8, FALSE)</f>
        <v>w2</v>
      </c>
      <c r="K94" t="s">
        <v>1163</v>
      </c>
      <c r="L94" t="str">
        <f>VLOOKUP(NSGGroups[[#This Row],[SNetID]], Subnets[], 5, FALSE)</f>
        <v>Test</v>
      </c>
      <c r="M94" t="str">
        <f>VLOOKUP(NSGGroups[[#This Row],[SNetID]], Subnets[#All], 12, FALSE)&amp;VLOOKUP(NSGGroups[[#This Row],[SNetID]], Subnets[#All], 13, FALSE)</f>
        <v>10.131.36.128/25</v>
      </c>
      <c r="N94" s="53" t="str">
        <f>"New-AzureNetworkSecurityGroup -Name '" &amp; NSGGroups[[#This Row],[Title]]&amp; "' -Location $VNETSite_"&amp;NSGGroups[[#This Row],[SiteNumber]]&amp;".location -Label '"&amp;NSGGroups[[#This Row],[Description]]&amp;"'"</f>
        <v>New-AzureNetworkSecurityGroup -Name 'NSG_Users_Tier1_361_SLG_Test_w2' -Location $VNETSite_PreProd1.location -Label '361: Users_Tier1, Data Tier (1) Tier 1 administrat'</v>
      </c>
    </row>
    <row r="95" spans="1:14" x14ac:dyDescent="0.45">
      <c r="A95" t="s">
        <v>1344</v>
      </c>
      <c r="B95" t="s">
        <v>1242</v>
      </c>
      <c r="C95">
        <f>VLOOKUP(NSGGroups[[#This Row],[SNetID]], Subnets[#All], 2, FALSE)</f>
        <v>362</v>
      </c>
      <c r="D95" t="str">
        <f>"NSG_"&amp;NSGGroups[[#This Row],[SubnetName(computed)]]</f>
        <v>NSG_Users_Tier2_362_SLG_Test_w2</v>
      </c>
      <c r="E95" t="str">
        <f>LEFT(NSGGroups[[#This Row],[SubnetNumber(Computed)]]&amp;": "&amp; NSGGroups[[#This Row],[Application(Compluted)]]&amp;", Data Tier ("&amp;NSGGroups[[#This Row],[Tier]]&amp;") "&amp;NSGGroups[[#This Row],[SubDesc(Computed)]], 50)</f>
        <v>362: Users_Tier2, Data Tier (2) Tier 2 - Control o</v>
      </c>
      <c r="F95" t="str">
        <f>VLOOKUP(NSGGroups[[#This Row],[SNetID]], Subnets[], 4, FALSE)</f>
        <v>Users_Tier2_362_SLG_Test_w2</v>
      </c>
      <c r="G95" t="str">
        <f>VLOOKUP(NSGGroups[[#This Row],[SNetID]], Subnets[#All], 9, FALSE)</f>
        <v>Users_Tier2</v>
      </c>
      <c r="H95">
        <v>2</v>
      </c>
      <c r="I95" t="str">
        <f>VLOOKUP(NSGGroups[[#This Row],[SNetID]], Subnets[#All], 11, FALSE)</f>
        <v>Tier 2 - Control of user workstations and devices. Tier 2 administrator accounts have administrative control of a significant amount of business value that is hosted on user workstations and devices</v>
      </c>
      <c r="J95" t="str">
        <f>VLOOKUP(NSGGroups[[#This Row],[SNetID]], Subnets[], 8, FALSE)</f>
        <v>w2</v>
      </c>
      <c r="K95" t="s">
        <v>1163</v>
      </c>
      <c r="L95" t="str">
        <f>VLOOKUP(NSGGroups[[#This Row],[SNetID]], Subnets[], 5, FALSE)</f>
        <v>Test</v>
      </c>
      <c r="M95" t="str">
        <f>VLOOKUP(NSGGroups[[#This Row],[SNetID]], Subnets[#All], 12, FALSE)&amp;VLOOKUP(NSGGroups[[#This Row],[SNetID]], Subnets[#All], 13, FALSE)</f>
        <v>10.131.37.0/25</v>
      </c>
      <c r="N95" s="53" t="str">
        <f>"New-AzureNetworkSecurityGroup -Name '" &amp; NSGGroups[[#This Row],[Title]]&amp; "' -Location $VNETSite_"&amp;NSGGroups[[#This Row],[SiteNumber]]&amp;".location -Label '"&amp;NSGGroups[[#This Row],[Description]]&amp;"'"</f>
        <v>New-AzureNetworkSecurityGroup -Name 'NSG_Users_Tier2_362_SLG_Test_w2' -Location $VNETSite_PreProd1.location -Label '362: Users_Tier2, Data Tier (2) Tier 2 - Control o'</v>
      </c>
    </row>
    <row r="96" spans="1:14" x14ac:dyDescent="0.45">
      <c r="A96" t="s">
        <v>1345</v>
      </c>
      <c r="B96" t="s">
        <v>1243</v>
      </c>
      <c r="C96">
        <f>VLOOKUP(NSGGroups[[#This Row],[SNetID]], Subnets[#All], 2, FALSE)</f>
        <v>363</v>
      </c>
      <c r="D96" t="str">
        <f>"NSG_"&amp;NSGGroups[[#This Row],[SubnetName(computed)]]</f>
        <v>NSG_User_Tier0_363_SLG_Dev_w2</v>
      </c>
      <c r="E96" t="str">
        <f>LEFT(NSGGroups[[#This Row],[SubnetNumber(Computed)]]&amp;": "&amp; NSGGroups[[#This Row],[Application(Compluted)]]&amp;", Data Tier ("&amp;NSGGroups[[#This Row],[Tier]]&amp;") "&amp;NSGGroups[[#This Row],[SubDesc(Computed)]], 50)</f>
        <v>363: User_Tier0, Data Tier (2) Tier 0 - Direct Con</v>
      </c>
      <c r="F96" t="str">
        <f>VLOOKUP(NSGGroups[[#This Row],[SNetID]], Subnets[], 4, FALSE)</f>
        <v>User_Tier0_363_SLG_Dev_w2</v>
      </c>
      <c r="G96" t="str">
        <f>VLOOKUP(NSGGroups[[#This Row],[SNetID]], Subnets[#All], 9, FALSE)</f>
        <v>User_Tier0</v>
      </c>
      <c r="H96">
        <v>2</v>
      </c>
      <c r="I96"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96" t="str">
        <f>VLOOKUP(NSGGroups[[#This Row],[SNetID]], Subnets[], 8, FALSE)</f>
        <v>w2</v>
      </c>
      <c r="K96" t="s">
        <v>1162</v>
      </c>
      <c r="L96" t="str">
        <f>VLOOKUP(NSGGroups[[#This Row],[SNetID]], Subnets[], 5, FALSE)</f>
        <v>Dev</v>
      </c>
      <c r="M96" t="str">
        <f>VLOOKUP(NSGGroups[[#This Row],[SNetID]], Subnets[#All], 12, FALSE)&amp;VLOOKUP(NSGGroups[[#This Row],[SNetID]], Subnets[#All], 13, FALSE)</f>
        <v>10.131.37.128/25</v>
      </c>
      <c r="N96" s="53" t="str">
        <f>"New-AzureNetworkSecurityGroup -Name '" &amp; NSGGroups[[#This Row],[Title]]&amp; "' -Location $VNETSite_"&amp;NSGGroups[[#This Row],[SiteNumber]]&amp;".location -Label '"&amp;NSGGroups[[#This Row],[Description]]&amp;"'"</f>
        <v>New-AzureNetworkSecurityGroup -Name 'NSG_User_Tier0_363_SLG_Dev_w2' -Location $VNETSite_PreProd2.location -Label '363: User_Tier0, Data Tier (2) Tier 0 - Direct Con'</v>
      </c>
    </row>
    <row r="97" spans="1:14" x14ac:dyDescent="0.45">
      <c r="A97" t="s">
        <v>1346</v>
      </c>
      <c r="B97" t="s">
        <v>1244</v>
      </c>
      <c r="C97">
        <f>VLOOKUP(NSGGroups[[#This Row],[SNetID]], Subnets[#All], 2, FALSE)</f>
        <v>364</v>
      </c>
      <c r="D97" t="str">
        <f>"NSG_"&amp;NSGGroups[[#This Row],[SubnetName(computed)]]</f>
        <v>NSG_User_Tier1_364_SLG_Dev_w2</v>
      </c>
      <c r="E97" t="str">
        <f>LEFT(NSGGroups[[#This Row],[SubnetNumber(Computed)]]&amp;": "&amp; NSGGroups[[#This Row],[Application(Compluted)]]&amp;", Data Tier ("&amp;NSGGroups[[#This Row],[Tier]]&amp;") "&amp;NSGGroups[[#This Row],[SubDesc(Computed)]], 50)</f>
        <v>364: User_Tier1, Data Tier (1) Tier 1 administrato</v>
      </c>
      <c r="F97" t="str">
        <f>VLOOKUP(NSGGroups[[#This Row],[SNetID]], Subnets[], 4, FALSE)</f>
        <v>User_Tier1_364_SLG_Dev_w2</v>
      </c>
      <c r="G97" t="str">
        <f>VLOOKUP(NSGGroups[[#This Row],[SNetID]], Subnets[#All], 9, FALSE)</f>
        <v>User_Tier1</v>
      </c>
      <c r="H97">
        <v>1</v>
      </c>
      <c r="I97" t="str">
        <f>VLOOKUP(NSGGroups[[#This Row],[SNetID]], Subnets[#All], 11, FALSE)</f>
        <v>Tier 1 administrator - manage enterprise servers, services, and applications</v>
      </c>
      <c r="J97" t="str">
        <f>VLOOKUP(NSGGroups[[#This Row],[SNetID]], Subnets[], 8, FALSE)</f>
        <v>w2</v>
      </c>
      <c r="K97" t="s">
        <v>1162</v>
      </c>
      <c r="L97" t="str">
        <f>VLOOKUP(NSGGroups[[#This Row],[SNetID]], Subnets[], 5, FALSE)</f>
        <v>Dev</v>
      </c>
      <c r="M97" t="str">
        <f>VLOOKUP(NSGGroups[[#This Row],[SNetID]], Subnets[#All], 12, FALSE)&amp;VLOOKUP(NSGGroups[[#This Row],[SNetID]], Subnets[#All], 13, FALSE)</f>
        <v>10.131.38.0/25</v>
      </c>
      <c r="N97" s="53" t="str">
        <f>"New-AzureNetworkSecurityGroup -Name '" &amp; NSGGroups[[#This Row],[Title]]&amp; "' -Location $VNETSite_"&amp;NSGGroups[[#This Row],[SiteNumber]]&amp;".location -Label '"&amp;NSGGroups[[#This Row],[Description]]&amp;"'"</f>
        <v>New-AzureNetworkSecurityGroup -Name 'NSG_User_Tier1_364_SLG_Dev_w2' -Location $VNETSite_PreProd2.location -Label '364: User_Tier1, Data Tier (1) Tier 1 administrato'</v>
      </c>
    </row>
    <row r="98" spans="1:14" x14ac:dyDescent="0.45">
      <c r="A98" t="s">
        <v>1347</v>
      </c>
      <c r="B98" t="s">
        <v>1245</v>
      </c>
      <c r="C98">
        <f>VLOOKUP(NSGGroups[[#This Row],[SNetID]], Subnets[#All], 2, FALSE)</f>
        <v>364</v>
      </c>
      <c r="D98" t="str">
        <f>"NSG_"&amp;NSGGroups[[#This Row],[SubnetName(computed)]]</f>
        <v>NSG_User_Tier2_364_SLG_Dev_w2</v>
      </c>
      <c r="E98" t="str">
        <f>LEFT(NSGGroups[[#This Row],[SubnetNumber(Computed)]]&amp;": "&amp; NSGGroups[[#This Row],[Application(Compluted)]]&amp;", Data Tier ("&amp;NSGGroups[[#This Row],[Tier]]&amp;") "&amp;NSGGroups[[#This Row],[SubDesc(Computed)]], 50)</f>
        <v>364: User_Tier2, Data Tier (1) Tier 2 - Control of</v>
      </c>
      <c r="F98" t="str">
        <f>VLOOKUP(NSGGroups[[#This Row],[SNetID]], Subnets[], 4, FALSE)</f>
        <v>User_Tier2_364_SLG_Dev_w2</v>
      </c>
      <c r="G98" t="str">
        <f>VLOOKUP(NSGGroups[[#This Row],[SNetID]], Subnets[#All], 9, FALSE)</f>
        <v>User_Tier2</v>
      </c>
      <c r="H98">
        <v>1</v>
      </c>
      <c r="I98" t="str">
        <f>VLOOKUP(NSGGroups[[#This Row],[SNetID]], Subnets[#All], 11, FALSE)</f>
        <v>Tier 2 - Control of user workstations and devices. Tier 2 administrator accounts have administrative control of a significant amount of business value that is hosted on user workstations and devices</v>
      </c>
      <c r="J98" t="str">
        <f>VLOOKUP(NSGGroups[[#This Row],[SNetID]], Subnets[], 8, FALSE)</f>
        <v>w2</v>
      </c>
      <c r="K98" t="s">
        <v>1162</v>
      </c>
      <c r="L98" t="str">
        <f>VLOOKUP(NSGGroups[[#This Row],[SNetID]], Subnets[], 5, FALSE)</f>
        <v>Dev</v>
      </c>
      <c r="M98" t="str">
        <f>VLOOKUP(NSGGroups[[#This Row],[SNetID]], Subnets[#All], 12, FALSE)&amp;VLOOKUP(NSGGroups[[#This Row],[SNetID]], Subnets[#All], 13, FALSE)</f>
        <v>10.131.38.128/25</v>
      </c>
      <c r="N98" s="53" t="str">
        <f>"New-AzureNetworkSecurityGroup -Name '" &amp; NSGGroups[[#This Row],[Title]]&amp; "' -Location $VNETSite_"&amp;NSGGroups[[#This Row],[SiteNumber]]&amp;".location -Label '"&amp;NSGGroups[[#This Row],[Description]]&amp;"'"</f>
        <v>New-AzureNetworkSecurityGroup -Name 'NSG_User_Tier2_364_SLG_Dev_w2' -Location $VNETSite_PreProd2.location -Label '364: User_Tier2, Data Tier (1) Tier 2 - Control of'</v>
      </c>
    </row>
    <row r="99" spans="1:14" x14ac:dyDescent="0.45">
      <c r="A99" t="s">
        <v>1348</v>
      </c>
      <c r="B99" t="s">
        <v>1246</v>
      </c>
      <c r="C99">
        <f>VLOOKUP(NSGGroups[[#This Row],[SNetID]], Subnets[#All], 2, FALSE)</f>
        <v>410</v>
      </c>
      <c r="D99" t="str">
        <f>"NSG_"&amp;NSGGroups[[#This Row],[SubnetName(computed)]]</f>
        <v>NSG_Web_410_SLG_Dev_w2</v>
      </c>
      <c r="E99" t="str">
        <f>LEFT(NSGGroups[[#This Row],[SubnetNumber(Computed)]]&amp;": "&amp; NSGGroups[[#This Row],[Application(Compluted)]]&amp;", Data Tier ("&amp;NSGGroups[[#This Row],[Tier]]&amp;") "&amp;NSGGroups[[#This Row],[SubDesc(Computed)]], 50)</f>
        <v>410: Web, Data Tier (2) HTTP and HTTPS services</v>
      </c>
      <c r="F99" t="str">
        <f>VLOOKUP(NSGGroups[[#This Row],[SNetID]], Subnets[], 4, FALSE)</f>
        <v>Web_410_SLG_Dev_w2</v>
      </c>
      <c r="G99" t="str">
        <f>VLOOKUP(NSGGroups[[#This Row],[SNetID]], Subnets[#All], 9, FALSE)</f>
        <v>Web</v>
      </c>
      <c r="H99">
        <v>2</v>
      </c>
      <c r="I99" t="str">
        <f>VLOOKUP(NSGGroups[[#This Row],[SNetID]], Subnets[#All], 11, FALSE)</f>
        <v>HTTP and HTTPS services</v>
      </c>
      <c r="J99" t="str">
        <f>VLOOKUP(NSGGroups[[#This Row],[SNetID]], Subnets[], 8, FALSE)</f>
        <v>w2</v>
      </c>
      <c r="K99" t="s">
        <v>1162</v>
      </c>
      <c r="L99" t="str">
        <f>VLOOKUP(NSGGroups[[#This Row],[SNetID]], Subnets[], 5, FALSE)</f>
        <v>Dev</v>
      </c>
      <c r="M99" t="str">
        <f>VLOOKUP(NSGGroups[[#This Row],[SNetID]], Subnets[#All], 12, FALSE)&amp;VLOOKUP(NSGGroups[[#This Row],[SNetID]], Subnets[#All], 13, FALSE)</f>
        <v>10.131.40.0/24</v>
      </c>
      <c r="N99" s="53" t="str">
        <f>"New-AzureNetworkSecurityGroup -Name '" &amp; NSGGroups[[#This Row],[Title]]&amp; "' -Location $VNETSite_"&amp;NSGGroups[[#This Row],[SiteNumber]]&amp;".location -Label '"&amp;NSGGroups[[#This Row],[Description]]&amp;"'"</f>
        <v>New-AzureNetworkSecurityGroup -Name 'NSG_Web_410_SLG_Dev_w2' -Location $VNETSite_PreProd2.location -Label '410: Web, Data Tier (2) HTTP and HTTPS services'</v>
      </c>
    </row>
    <row r="100" spans="1:14" x14ac:dyDescent="0.45">
      <c r="A100" t="s">
        <v>1349</v>
      </c>
      <c r="B100" t="s">
        <v>1247</v>
      </c>
      <c r="C100">
        <f>VLOOKUP(NSGGroups[[#This Row],[SNetID]], Subnets[#All], 2, FALSE)</f>
        <v>420</v>
      </c>
      <c r="D100" t="str">
        <f>"NSG_"&amp;NSGGroups[[#This Row],[SubnetName(computed)]]</f>
        <v>NSG_App_420_SLG_Dev_w2</v>
      </c>
      <c r="E100" t="str">
        <f>LEFT(NSGGroups[[#This Row],[SubnetNumber(Computed)]]&amp;": "&amp; NSGGroups[[#This Row],[Application(Compluted)]]&amp;", Data Tier ("&amp;NSGGroups[[#This Row],[Tier]]&amp;") "&amp;NSGGroups[[#This Row],[SubDesc(Computed)]], 50)</f>
        <v>420: App, Data Tier (0) Web Services, OEM applicat</v>
      </c>
      <c r="F100" t="str">
        <f>VLOOKUP(NSGGroups[[#This Row],[SNetID]], Subnets[], 4, FALSE)</f>
        <v>App_420_SLG_Dev_w2</v>
      </c>
      <c r="G100" t="str">
        <f>VLOOKUP(NSGGroups[[#This Row],[SNetID]], Subnets[#All], 9, FALSE)</f>
        <v>App</v>
      </c>
      <c r="H100">
        <f>VLOOKUP(NSGGroups[[#This Row],[SNetID]], Subnets[#All], 10, FALSE)</f>
        <v>0</v>
      </c>
      <c r="I100" t="str">
        <f>VLOOKUP(NSGGroups[[#This Row],[SNetID]], Subnets[#All], 11, FALSE)</f>
        <v>Web Services, OEM applications</v>
      </c>
      <c r="J100" t="str">
        <f>VLOOKUP(NSGGroups[[#This Row],[SNetID]], Subnets[], 8, FALSE)</f>
        <v>w2</v>
      </c>
      <c r="K100" t="s">
        <v>1162</v>
      </c>
      <c r="L100" t="str">
        <f>VLOOKUP(NSGGroups[[#This Row],[SNetID]], Subnets[], 5, FALSE)</f>
        <v>Dev</v>
      </c>
      <c r="M100" t="str">
        <f>VLOOKUP(NSGGroups[[#This Row],[SNetID]], Subnets[#All], 12, FALSE)&amp;VLOOKUP(NSGGroups[[#This Row],[SNetID]], Subnets[#All], 13, FALSE)</f>
        <v>10.131.41.0/24</v>
      </c>
      <c r="N100" s="53" t="str">
        <f>"New-AzureNetworkSecurityGroup -Name '" &amp; NSGGroups[[#This Row],[Title]]&amp; "' -Location $VNETSite_"&amp;NSGGroups[[#This Row],[SiteNumber]]&amp;".location -Label '"&amp;NSGGroups[[#This Row],[Description]]&amp;"'"</f>
        <v>New-AzureNetworkSecurityGroup -Name 'NSG_App_420_SLG_Dev_w2' -Location $VNETSite_PreProd2.location -Label '420: App, Data Tier (0) Web Services, OEM applicat'</v>
      </c>
    </row>
    <row r="101" spans="1:14" x14ac:dyDescent="0.45">
      <c r="A101" t="s">
        <v>1350</v>
      </c>
      <c r="B101" t="s">
        <v>1248</v>
      </c>
      <c r="C101">
        <f>VLOOKUP(NSGGroups[[#This Row],[SNetID]], Subnets[#All], 2, FALSE)</f>
        <v>430</v>
      </c>
      <c r="D101" t="str">
        <f>"NSG_"&amp;NSGGroups[[#This Row],[SubnetName(computed)]]</f>
        <v>NSG_Database_430_SLG_Dev_w2</v>
      </c>
      <c r="E101" t="str">
        <f>LEFT(NSGGroups[[#This Row],[SubnetNumber(Computed)]]&amp;": "&amp; NSGGroups[[#This Row],[Application(Compluted)]]&amp;", Data Tier ("&amp;NSGGroups[[#This Row],[Tier]]&amp;") "&amp;NSGGroups[[#This Row],[SubDesc(Computed)]], 50)</f>
        <v>430: Database, Data Tier (1) Data for Applications</v>
      </c>
      <c r="F101" t="str">
        <f>VLOOKUP(NSGGroups[[#This Row],[SNetID]], Subnets[], 4, FALSE)</f>
        <v>Database_430_SLG_Dev_w2</v>
      </c>
      <c r="G101" t="str">
        <f>VLOOKUP(NSGGroups[[#This Row],[SNetID]], Subnets[#All], 9, FALSE)</f>
        <v>Database</v>
      </c>
      <c r="H101">
        <v>1</v>
      </c>
      <c r="I101" t="str">
        <f>VLOOKUP(NSGGroups[[#This Row],[SNetID]], Subnets[#All], 11, FALSE)</f>
        <v>Data for Applications</v>
      </c>
      <c r="J101" t="str">
        <f>VLOOKUP(NSGGroups[[#This Row],[SNetID]], Subnets[], 8, FALSE)</f>
        <v>w2</v>
      </c>
      <c r="K101" t="s">
        <v>1162</v>
      </c>
      <c r="L101" t="str">
        <f>VLOOKUP(NSGGroups[[#This Row],[SNetID]], Subnets[], 5, FALSE)</f>
        <v>Dev</v>
      </c>
      <c r="M101" t="str">
        <f>VLOOKUP(NSGGroups[[#This Row],[SNetID]], Subnets[#All], 12, FALSE)&amp;VLOOKUP(NSGGroups[[#This Row],[SNetID]], Subnets[#All], 13, FALSE)</f>
        <v>10.131.42.0/24</v>
      </c>
      <c r="N101" s="53" t="str">
        <f>"New-AzureNetworkSecurityGroup -Name '" &amp; NSGGroups[[#This Row],[Title]]&amp; "' -Location $VNETSite_"&amp;NSGGroups[[#This Row],[SiteNumber]]&amp;".location -Label '"&amp;NSGGroups[[#This Row],[Description]]&amp;"'"</f>
        <v>New-AzureNetworkSecurityGroup -Name 'NSG_Database_430_SLG_Dev_w2' -Location $VNETSite_PreProd2.location -Label '430: Database, Data Tier (1) Data for Applications'</v>
      </c>
    </row>
    <row r="102" spans="1:14" x14ac:dyDescent="0.45">
      <c r="A102" t="s">
        <v>1351</v>
      </c>
      <c r="B102" t="s">
        <v>1249</v>
      </c>
      <c r="C102">
        <f>VLOOKUP(NSGGroups[[#This Row],[SNetID]], Subnets[#All], 2, FALSE)</f>
        <v>450</v>
      </c>
      <c r="D102" t="str">
        <f>"NSG_"&amp;NSGGroups[[#This Row],[SubnetName(computed)]]</f>
        <v>NSG_DMZ_450_SLG_Dev_w2</v>
      </c>
      <c r="E102" t="str">
        <f>LEFT(NSGGroups[[#This Row],[SubnetNumber(Computed)]]&amp;": "&amp; NSGGroups[[#This Row],[Application(Compluted)]]&amp;", Data Tier ("&amp;NSGGroups[[#This Row],[Tier]]&amp;") "&amp;NSGGroups[[#This Row],[SubDesc(Computed)]], 50)</f>
        <v>450: DMZ, Data Tier (2) Internet EndPoint Machines</v>
      </c>
      <c r="F102" t="str">
        <f>VLOOKUP(NSGGroups[[#This Row],[SNetID]], Subnets[], 4, FALSE)</f>
        <v>DMZ_450_SLG_Dev_w2</v>
      </c>
      <c r="G102" t="str">
        <f>VLOOKUP(NSGGroups[[#This Row],[SNetID]], Subnets[#All], 9, FALSE)</f>
        <v>DMZ</v>
      </c>
      <c r="H102">
        <v>2</v>
      </c>
      <c r="I102" t="str">
        <f>VLOOKUP(NSGGroups[[#This Row],[SNetID]], Subnets[#All], 11, FALSE)</f>
        <v>Internet EndPoint Machines</v>
      </c>
      <c r="J102" t="str">
        <f>VLOOKUP(NSGGroups[[#This Row],[SNetID]], Subnets[], 8, FALSE)</f>
        <v>w2</v>
      </c>
      <c r="K102" t="s">
        <v>1162</v>
      </c>
      <c r="L102" t="str">
        <f>VLOOKUP(NSGGroups[[#This Row],[SNetID]], Subnets[], 5, FALSE)</f>
        <v>Dev</v>
      </c>
      <c r="M102" t="str">
        <f>VLOOKUP(NSGGroups[[#This Row],[SNetID]], Subnets[#All], 12, FALSE)&amp;VLOOKUP(NSGGroups[[#This Row],[SNetID]], Subnets[#All], 13, FALSE)</f>
        <v>10.131.43.0/24</v>
      </c>
      <c r="N102" s="53" t="str">
        <f>"New-AzureNetworkSecurityGroup -Name '" &amp; NSGGroups[[#This Row],[Title]]&amp; "' -Location $VNETSite_"&amp;NSGGroups[[#This Row],[SiteNumber]]&amp;".location -Label '"&amp;NSGGroups[[#This Row],[Description]]&amp;"'"</f>
        <v>New-AzureNetworkSecurityGroup -Name 'NSG_DMZ_450_SLG_Dev_w2' -Location $VNETSite_PreProd2.location -Label '450: DMZ, Data Tier (2) Internet EndPoint Machines'</v>
      </c>
    </row>
    <row r="103" spans="1:14" x14ac:dyDescent="0.45">
      <c r="A103" t="s">
        <v>1352</v>
      </c>
      <c r="B103" t="s">
        <v>1250</v>
      </c>
      <c r="C103">
        <f>VLOOKUP(NSGGroups[[#This Row],[SNetID]], Subnets[#All], 2, FALSE)</f>
        <v>470</v>
      </c>
      <c r="D103" t="str">
        <f>"NSG_"&amp;NSGGroups[[#This Row],[SubnetName(computed)]]</f>
        <v>NSG_Future_470_SLG_PreProd_w2</v>
      </c>
      <c r="E103" t="str">
        <f>LEFT(NSGGroups[[#This Row],[SubnetNumber(Computed)]]&amp;": "&amp; NSGGroups[[#This Row],[Application(Compluted)]]&amp;", Data Tier ("&amp;NSGGroups[[#This Row],[Tier]]&amp;") "&amp;NSGGroups[[#This Row],[SubDesc(Computed)]], 50)</f>
        <v>470: Future, Data Tier (0) Future Consideration</v>
      </c>
      <c r="F103" t="str">
        <f>VLOOKUP(NSGGroups[[#This Row],[SNetID]], Subnets[], 4, FALSE)</f>
        <v>Future_470_SLG_PreProd_w2</v>
      </c>
      <c r="G103" t="str">
        <f>VLOOKUP(NSGGroups[[#This Row],[SNetID]], Subnets[#All], 9, FALSE)</f>
        <v>Future</v>
      </c>
      <c r="H103">
        <f>VLOOKUP(NSGGroups[[#This Row],[SNetID]], Subnets[#All], 10, FALSE)</f>
        <v>0</v>
      </c>
      <c r="I103" t="str">
        <f>VLOOKUP(NSGGroups[[#This Row],[SNetID]], Subnets[#All], 11, FALSE)</f>
        <v>Future Consideration</v>
      </c>
      <c r="J103" t="str">
        <f>VLOOKUP(NSGGroups[[#This Row],[SNetID]], Subnets[], 8, FALSE)</f>
        <v>w2</v>
      </c>
      <c r="K103" t="s">
        <v>1162</v>
      </c>
      <c r="L103" t="str">
        <f>VLOOKUP(NSGGroups[[#This Row],[SNetID]], Subnets[], 5, FALSE)</f>
        <v>PreProd</v>
      </c>
      <c r="M103" t="str">
        <f>VLOOKUP(NSGGroups[[#This Row],[SNetID]], Subnets[#All], 12, FALSE)&amp;VLOOKUP(NSGGroups[[#This Row],[SNetID]], Subnets[#All], 13, FALSE)</f>
        <v>10.131.44.0/23</v>
      </c>
      <c r="N103" s="53" t="str">
        <f>"New-AzureNetworkSecurityGroup -Name '" &amp; NSGGroups[[#This Row],[Title]]&amp; "' -Location $VNETSite_"&amp;NSGGroups[[#This Row],[SiteNumber]]&amp;".location -Label '"&amp;NSGGroups[[#This Row],[Description]]&amp;"'"</f>
        <v>New-AzureNetworkSecurityGroup -Name 'NSG_Future_470_SLG_PreProd_w2' -Location $VNETSite_PreProd2.location -Label '470: Future, Data Tier (0) Future Consideration'</v>
      </c>
    </row>
    <row r="104" spans="1:14" x14ac:dyDescent="0.45">
      <c r="A104" t="s">
        <v>1353</v>
      </c>
      <c r="B104" t="s">
        <v>1251</v>
      </c>
      <c r="C104">
        <f>VLOOKUP(NSGGroups[[#This Row],[SNetID]], Subnets[#All], 2, FALSE)</f>
        <v>470</v>
      </c>
      <c r="D104" t="str">
        <f>"NSG_"&amp;NSGGroups[[#This Row],[SubnetName(computed)]]</f>
        <v>NSG_Future_470_SLG_PreProd_w2</v>
      </c>
      <c r="E104" t="str">
        <f>LEFT(NSGGroups[[#This Row],[SubnetNumber(Computed)]]&amp;": "&amp; NSGGroups[[#This Row],[Application(Compluted)]]&amp;", Data Tier ("&amp;NSGGroups[[#This Row],[Tier]]&amp;") "&amp;NSGGroups[[#This Row],[SubDesc(Computed)]], 50)</f>
        <v>470: Future, Data Tier (1) Future Consideration</v>
      </c>
      <c r="F104" t="str">
        <f>VLOOKUP(NSGGroups[[#This Row],[SNetID]], Subnets[], 4, FALSE)</f>
        <v>Future_470_SLG_PreProd_w2</v>
      </c>
      <c r="G104" t="str">
        <f>VLOOKUP(NSGGroups[[#This Row],[SNetID]], Subnets[#All], 9, FALSE)</f>
        <v>Future</v>
      </c>
      <c r="H104">
        <v>1</v>
      </c>
      <c r="I104" t="str">
        <f>VLOOKUP(NSGGroups[[#This Row],[SNetID]], Subnets[#All], 11, FALSE)</f>
        <v>Future Consideration</v>
      </c>
      <c r="J104" t="str">
        <f>VLOOKUP(NSGGroups[[#This Row],[SNetID]], Subnets[], 8, FALSE)</f>
        <v>w2</v>
      </c>
      <c r="K104" t="s">
        <v>1162</v>
      </c>
      <c r="L104" t="str">
        <f>VLOOKUP(NSGGroups[[#This Row],[SNetID]], Subnets[], 5, FALSE)</f>
        <v>PreProd</v>
      </c>
      <c r="M104" t="str">
        <f>VLOOKUP(NSGGroups[[#This Row],[SNetID]], Subnets[#All], 12, FALSE)&amp;VLOOKUP(NSGGroups[[#This Row],[SNetID]], Subnets[#All], 13, FALSE)</f>
        <v>10.131.46.0/24</v>
      </c>
      <c r="N104" s="53" t="str">
        <f>"New-AzureNetworkSecurityGroup -Name '" &amp; NSGGroups[[#This Row],[Title]]&amp; "' -Location $VNETSite_"&amp;NSGGroups[[#This Row],[SiteNumber]]&amp;".location -Label '"&amp;NSGGroups[[#This Row],[Description]]&amp;"'"</f>
        <v>New-AzureNetworkSecurityGroup -Name 'NSG_Future_470_SLG_PreProd_w2' -Location $VNETSite_PreProd2.location -Label '470: Future, Data Tier (1) Future Consideration'</v>
      </c>
    </row>
    <row r="105" spans="1:14" x14ac:dyDescent="0.45">
      <c r="A105" t="s">
        <v>1354</v>
      </c>
      <c r="B105" t="s">
        <v>1252</v>
      </c>
      <c r="C105">
        <f>VLOOKUP(NSGGroups[[#This Row],[SNetID]], Subnets[#All], 2, FALSE)</f>
        <v>499</v>
      </c>
      <c r="D105" t="str">
        <f>"NSG_"&amp;NSGGroups[[#This Row],[SubnetName(computed)]]</f>
        <v>NSG_Gateway_499_SLG_PreProd_w2</v>
      </c>
      <c r="E105" t="str">
        <f>LEFT(NSGGroups[[#This Row],[SubnetNumber(Computed)]]&amp;": "&amp; NSGGroups[[#This Row],[Application(Compluted)]]&amp;", Data Tier ("&amp;NSGGroups[[#This Row],[Tier]]&amp;") "&amp;NSGGroups[[#This Row],[SubDesc(Computed)]], 50)</f>
        <v>499: Gateway, Data Tier (2) Gateway Services to Lo</v>
      </c>
      <c r="F105" t="str">
        <f>VLOOKUP(NSGGroups[[#This Row],[SNetID]], Subnets[], 4, FALSE)</f>
        <v>Gateway_499_SLG_PreProd_w2</v>
      </c>
      <c r="G105" t="str">
        <f>VLOOKUP(NSGGroups[[#This Row],[SNetID]], Subnets[#All], 9, FALSE)</f>
        <v>Gateway</v>
      </c>
      <c r="H105">
        <v>2</v>
      </c>
      <c r="I105" t="str">
        <f>VLOOKUP(NSGGroups[[#This Row],[SNetID]], Subnets[#All], 11, FALSE)</f>
        <v>Gateway Services to Local Networks</v>
      </c>
      <c r="J105" t="str">
        <f>VLOOKUP(NSGGroups[[#This Row],[SNetID]], Subnets[], 8, FALSE)</f>
        <v>w2</v>
      </c>
      <c r="K105" t="s">
        <v>1162</v>
      </c>
      <c r="L105" t="str">
        <f>VLOOKUP(NSGGroups[[#This Row],[SNetID]], Subnets[], 5, FALSE)</f>
        <v>PreProd</v>
      </c>
      <c r="M105" t="str">
        <f>VLOOKUP(NSGGroups[[#This Row],[SNetID]], Subnets[#All], 12, FALSE)&amp;VLOOKUP(NSGGroups[[#This Row],[SNetID]], Subnets[#All], 13, FALSE)</f>
        <v>10.131.47.248/29</v>
      </c>
      <c r="N105" s="53" t="str">
        <f>"New-AzureNetworkSecurityGroup -Name '" &amp; NSGGroups[[#This Row],[Title]]&amp; "' -Location $VNETSite_"&amp;NSGGroups[[#This Row],[SiteNumber]]&amp;".location -Label '"&amp;NSGGroups[[#This Row],[Description]]&amp;"'"</f>
        <v>New-AzureNetworkSecurityGroup -Name 'NSG_Gateway_499_SLG_PreProd_w2' -Location $VNETSite_PreProd2.location -Label '499: Gateway, Data Tier (2) Gateway Services to Lo'</v>
      </c>
    </row>
    <row r="106" spans="1:14" x14ac:dyDescent="0.45">
      <c r="A106" t="s">
        <v>1424</v>
      </c>
      <c r="B106" t="s">
        <v>1253</v>
      </c>
      <c r="C106">
        <f>VLOOKUP(NSGGroups[[#This Row],[SNetID]], Subnets[#All], 2, FALSE)</f>
        <v>310</v>
      </c>
      <c r="D106" t="str">
        <f>"NSG_"&amp;NSGGroups[[#This Row],[SubnetName(computed)]]</f>
        <v>NSG_Web_310_SLG_Test_w1</v>
      </c>
      <c r="E106" t="str">
        <f>LEFT(NSGGroups[[#This Row],[SubnetNumber(Computed)]]&amp;": "&amp; NSGGroups[[#This Row],[Application(Compluted)]]&amp;", Data Tier ("&amp;NSGGroups[[#This Row],[Tier]]&amp;") "&amp;NSGGroups[[#This Row],[SubDesc(Computed)]], 50)</f>
        <v>310: Web, Data Tier (2) HTTP and HTTPS services</v>
      </c>
      <c r="F106" t="str">
        <f>VLOOKUP(NSGGroups[[#This Row],[SNetID]], Subnets[], 4, FALSE)</f>
        <v>Web_310_SLG_Test_w1</v>
      </c>
      <c r="G106" t="str">
        <f>VLOOKUP(NSGGroups[[#This Row],[SNetID]], Subnets[#All], 9, FALSE)</f>
        <v>Web</v>
      </c>
      <c r="H106">
        <v>2</v>
      </c>
      <c r="I106" t="str">
        <f>VLOOKUP(NSGGroups[[#This Row],[SNetID]], Subnets[#All], 11, FALSE)</f>
        <v>HTTP and HTTPS services</v>
      </c>
      <c r="J106" t="str">
        <f>VLOOKUP(NSGGroups[[#This Row],[SNetID]], Subnets[], 8, FALSE)</f>
        <v>w1</v>
      </c>
      <c r="K106" t="s">
        <v>1162</v>
      </c>
      <c r="L106" t="str">
        <f>VLOOKUP(NSGGroups[[#This Row],[SNetID]], Subnets[], 5, FALSE)</f>
        <v>Test</v>
      </c>
      <c r="M106" t="str">
        <f>VLOOKUP(NSGGroups[[#This Row],[SNetID]], Subnets[#All], 12, FALSE)&amp;VLOOKUP(NSGGroups[[#This Row],[SNetID]], Subnets[#All], 13, FALSE)</f>
        <v>10.131.96.0/24</v>
      </c>
      <c r="N106" s="53" t="str">
        <f>"New-AzureNetworkSecurityGroup -Name '" &amp; NSGGroups[[#This Row],[Title]]&amp; "' -Location $VNETSite_"&amp;NSGGroups[[#This Row],[SiteNumber]]&amp;".location -Label '"&amp;NSGGroups[[#This Row],[Description]]&amp;"'"</f>
        <v>New-AzureNetworkSecurityGroup -Name 'NSG_Web_310_SLG_Test_w1' -Location $VNETSite_PreProd2.location -Label '310: Web, Data Tier (2) HTTP and HTTPS services'</v>
      </c>
    </row>
    <row r="107" spans="1:14" x14ac:dyDescent="0.45">
      <c r="A107" t="s">
        <v>1425</v>
      </c>
      <c r="B107" t="s">
        <v>1254</v>
      </c>
      <c r="C107">
        <f>VLOOKUP(NSGGroups[[#This Row],[SNetID]], Subnets[#All], 2, FALSE)</f>
        <v>320</v>
      </c>
      <c r="D107" t="str">
        <f>"NSG_"&amp;NSGGroups[[#This Row],[SubnetName(computed)]]</f>
        <v>NSG_App_320_SLG_Test_w1</v>
      </c>
      <c r="E107" t="str">
        <f>LEFT(NSGGroups[[#This Row],[SubnetNumber(Computed)]]&amp;": "&amp; NSGGroups[[#This Row],[Application(Compluted)]]&amp;", Data Tier ("&amp;NSGGroups[[#This Row],[Tier]]&amp;") "&amp;NSGGroups[[#This Row],[SubDesc(Computed)]], 50)</f>
        <v>320: App, Data Tier (1) Web Services, OEM applicat</v>
      </c>
      <c r="F107" t="str">
        <f>VLOOKUP(NSGGroups[[#This Row],[SNetID]], Subnets[], 4, FALSE)</f>
        <v>App_320_SLG_Test_w1</v>
      </c>
      <c r="G107" t="str">
        <f>VLOOKUP(NSGGroups[[#This Row],[SNetID]], Subnets[#All], 9, FALSE)</f>
        <v>App</v>
      </c>
      <c r="H107">
        <v>1</v>
      </c>
      <c r="I107" t="str">
        <f>VLOOKUP(NSGGroups[[#This Row],[SNetID]], Subnets[#All], 11, FALSE)</f>
        <v>Web Services, OEM applications</v>
      </c>
      <c r="J107" t="str">
        <f>VLOOKUP(NSGGroups[[#This Row],[SNetID]], Subnets[], 8, FALSE)</f>
        <v>w1</v>
      </c>
      <c r="K107" t="s">
        <v>1162</v>
      </c>
      <c r="L107" t="str">
        <f>VLOOKUP(NSGGroups[[#This Row],[SNetID]], Subnets[], 5, FALSE)</f>
        <v>Test</v>
      </c>
      <c r="M107" t="str">
        <f>VLOOKUP(NSGGroups[[#This Row],[SNetID]], Subnets[#All], 12, FALSE)&amp;VLOOKUP(NSGGroups[[#This Row],[SNetID]], Subnets[#All], 13, FALSE)</f>
        <v>10.131.97.0/24</v>
      </c>
      <c r="N107" s="53" t="str">
        <f>"New-AzureNetworkSecurityGroup -Name '" &amp; NSGGroups[[#This Row],[Title]]&amp; "' -Location $VNETSite_"&amp;NSGGroups[[#This Row],[SiteNumber]]&amp;".location -Label '"&amp;NSGGroups[[#This Row],[Description]]&amp;"'"</f>
        <v>New-AzureNetworkSecurityGroup -Name 'NSG_App_320_SLG_Test_w1' -Location $VNETSite_PreProd2.location -Label '320: App, Data Tier (1) Web Services, OEM applicat'</v>
      </c>
    </row>
    <row r="108" spans="1:14" x14ac:dyDescent="0.45">
      <c r="A108" t="s">
        <v>1426</v>
      </c>
      <c r="B108" t="s">
        <v>1255</v>
      </c>
      <c r="C108">
        <f>VLOOKUP(NSGGroups[[#This Row],[SNetID]], Subnets[#All], 2, FALSE)</f>
        <v>330</v>
      </c>
      <c r="D108" t="str">
        <f>"NSG_"&amp;NSGGroups[[#This Row],[SubnetName(computed)]]</f>
        <v>NSG_Database_330_SLG_Test_w1</v>
      </c>
      <c r="E108" t="str">
        <f>LEFT(NSGGroups[[#This Row],[SubnetNumber(Computed)]]&amp;": "&amp; NSGGroups[[#This Row],[Application(Compluted)]]&amp;", Data Tier ("&amp;NSGGroups[[#This Row],[Tier]]&amp;") "&amp;NSGGroups[[#This Row],[SubDesc(Computed)]], 50)</f>
        <v>330: Database, Data Tier (1) Data for Applications</v>
      </c>
      <c r="F108" t="str">
        <f>VLOOKUP(NSGGroups[[#This Row],[SNetID]], Subnets[], 4, FALSE)</f>
        <v>Database_330_SLG_Test_w1</v>
      </c>
      <c r="G108" t="str">
        <f>VLOOKUP(NSGGroups[[#This Row],[SNetID]], Subnets[#All], 9, FALSE)</f>
        <v>Database</v>
      </c>
      <c r="H108">
        <v>1</v>
      </c>
      <c r="I108" t="str">
        <f>VLOOKUP(NSGGroups[[#This Row],[SNetID]], Subnets[#All], 11, FALSE)</f>
        <v>Data for Applications</v>
      </c>
      <c r="J108" t="str">
        <f>VLOOKUP(NSGGroups[[#This Row],[SNetID]], Subnets[], 8, FALSE)</f>
        <v>w1</v>
      </c>
      <c r="K108" t="s">
        <v>1162</v>
      </c>
      <c r="L108" t="str">
        <f>VLOOKUP(NSGGroups[[#This Row],[SNetID]], Subnets[], 5, FALSE)</f>
        <v>Test</v>
      </c>
      <c r="M108" t="str">
        <f>VLOOKUP(NSGGroups[[#This Row],[SNetID]], Subnets[#All], 12, FALSE)&amp;VLOOKUP(NSGGroups[[#This Row],[SNetID]], Subnets[#All], 13, FALSE)</f>
        <v>10.131.98.0/24</v>
      </c>
      <c r="N108" s="53" t="str">
        <f>"New-AzureNetworkSecurityGroup -Name '" &amp; NSGGroups[[#This Row],[Title]]&amp; "' -Location $VNETSite_"&amp;NSGGroups[[#This Row],[SiteNumber]]&amp;".location -Label '"&amp;NSGGroups[[#This Row],[Description]]&amp;"'"</f>
        <v>New-AzureNetworkSecurityGroup -Name 'NSG_Database_330_SLG_Test_w1' -Location $VNETSite_PreProd2.location -Label '330: Database, Data Tier (1) Data for Applications'</v>
      </c>
    </row>
    <row r="109" spans="1:14" x14ac:dyDescent="0.45">
      <c r="A109" t="s">
        <v>1427</v>
      </c>
      <c r="B109" t="s">
        <v>1256</v>
      </c>
      <c r="C109">
        <f>VLOOKUP(NSGGroups[[#This Row],[SNetID]], Subnets[#All], 2, FALSE)</f>
        <v>350</v>
      </c>
      <c r="D109" t="str">
        <f>"NSG_"&amp;NSGGroups[[#This Row],[SubnetName(computed)]]</f>
        <v>NSG_DMZ_350_SLG_Test_w1</v>
      </c>
      <c r="E109" t="str">
        <f>LEFT(NSGGroups[[#This Row],[SubnetNumber(Computed)]]&amp;": "&amp; NSGGroups[[#This Row],[Application(Compluted)]]&amp;", Data Tier ("&amp;NSGGroups[[#This Row],[Tier]]&amp;") "&amp;NSGGroups[[#This Row],[SubDesc(Computed)]], 50)</f>
        <v>350: DMZ, Data Tier (2) Internet EndPoint Machines</v>
      </c>
      <c r="F109" t="str">
        <f>VLOOKUP(NSGGroups[[#This Row],[SNetID]], Subnets[], 4, FALSE)</f>
        <v>DMZ_350_SLG_Test_w1</v>
      </c>
      <c r="G109" t="str">
        <f>VLOOKUP(NSGGroups[[#This Row],[SNetID]], Subnets[#All], 9, FALSE)</f>
        <v>DMZ</v>
      </c>
      <c r="H109">
        <v>2</v>
      </c>
      <c r="I109" t="str">
        <f>VLOOKUP(NSGGroups[[#This Row],[SNetID]], Subnets[#All], 11, FALSE)</f>
        <v>Internet EndPoint Machines</v>
      </c>
      <c r="J109" t="str">
        <f>VLOOKUP(NSGGroups[[#This Row],[SNetID]], Subnets[], 8, FALSE)</f>
        <v>w1</v>
      </c>
      <c r="K109" t="s">
        <v>1162</v>
      </c>
      <c r="L109" t="str">
        <f>VLOOKUP(NSGGroups[[#This Row],[SNetID]], Subnets[], 5, FALSE)</f>
        <v>Test</v>
      </c>
      <c r="M109" t="str">
        <f>VLOOKUP(NSGGroups[[#This Row],[SNetID]], Subnets[#All], 12, FALSE)&amp;VLOOKUP(NSGGroups[[#This Row],[SNetID]], Subnets[#All], 13, FALSE)</f>
        <v>10.131.99.0/24</v>
      </c>
      <c r="N109" s="53" t="str">
        <f>"New-AzureNetworkSecurityGroup -Name '" &amp; NSGGroups[[#This Row],[Title]]&amp; "' -Location $VNETSite_"&amp;NSGGroups[[#This Row],[SiteNumber]]&amp;".location -Label '"&amp;NSGGroups[[#This Row],[Description]]&amp;"'"</f>
        <v>New-AzureNetworkSecurityGroup -Name 'NSG_DMZ_350_SLG_Test_w1' -Location $VNETSite_PreProd2.location -Label '350: DMZ, Data Tier (2) Internet EndPoint Machines'</v>
      </c>
    </row>
    <row r="110" spans="1:14" x14ac:dyDescent="0.45">
      <c r="A110" t="s">
        <v>1428</v>
      </c>
      <c r="B110" t="s">
        <v>1257</v>
      </c>
      <c r="C110">
        <f>VLOOKUP(NSGGroups[[#This Row],[SNetID]], Subnets[#All], 2, FALSE)</f>
        <v>360</v>
      </c>
      <c r="D110" t="str">
        <f>"NSG_"&amp;NSGGroups[[#This Row],[SubnetName(computed)]]</f>
        <v>NSG_Users_Tier0_360_SLG_Test_w1</v>
      </c>
      <c r="E110" t="str">
        <f>LEFT(NSGGroups[[#This Row],[SubnetNumber(Computed)]]&amp;": "&amp; NSGGroups[[#This Row],[Application(Compluted)]]&amp;", Data Tier ("&amp;NSGGroups[[#This Row],[Tier]]&amp;") "&amp;NSGGroups[[#This Row],[SubDesc(Computed)]], 50)</f>
        <v>360: Users_Tier0, Data Tier (2) Tier 0 - Direct Co</v>
      </c>
      <c r="F110" t="str">
        <f>VLOOKUP(NSGGroups[[#This Row],[SNetID]], Subnets[], 4, FALSE)</f>
        <v>Users_Tier0_360_SLG_Test_w1</v>
      </c>
      <c r="G110" t="str">
        <f>VLOOKUP(NSGGroups[[#This Row],[SNetID]], Subnets[#All], 9, FALSE)</f>
        <v>Users_Tier0</v>
      </c>
      <c r="H110">
        <v>2</v>
      </c>
      <c r="I110"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10" t="str">
        <f>VLOOKUP(NSGGroups[[#This Row],[SNetID]], Subnets[], 8, FALSE)</f>
        <v>w1</v>
      </c>
      <c r="K110" t="s">
        <v>1165</v>
      </c>
      <c r="L110" t="str">
        <f>VLOOKUP(NSGGroups[[#This Row],[SNetID]], Subnets[], 5, FALSE)</f>
        <v>Test</v>
      </c>
      <c r="M110" t="str">
        <f>VLOOKUP(NSGGroups[[#This Row],[SNetID]], Subnets[#All], 12, FALSE)&amp;VLOOKUP(NSGGroups[[#This Row],[SNetID]], Subnets[#All], 13, FALSE)</f>
        <v>10.131.100.0/25</v>
      </c>
      <c r="N110" s="53" t="str">
        <f>"New-AzureNetworkSecurityGroup -Name '" &amp; NSGGroups[[#This Row],[Title]]&amp; "' -Location $VNETSite_"&amp;NSGGroups[[#This Row],[SiteNumber]]&amp;".location -Label '"&amp;NSGGroups[[#This Row],[Description]]&amp;"'"</f>
        <v>New-AzureNetworkSecurityGroup -Name 'NSG_Users_Tier0_360_SLG_Test_w1' -Location $VNETSite_Prod1.location -Label '360: Users_Tier0, Data Tier (2) Tier 0 - Direct Co'</v>
      </c>
    </row>
    <row r="111" spans="1:14" x14ac:dyDescent="0.45">
      <c r="A111" t="s">
        <v>1429</v>
      </c>
      <c r="B111" t="s">
        <v>1258</v>
      </c>
      <c r="C111">
        <f>VLOOKUP(NSGGroups[[#This Row],[SNetID]], Subnets[#All], 2, FALSE)</f>
        <v>361</v>
      </c>
      <c r="D111" t="str">
        <f>"NSG_"&amp;NSGGroups[[#This Row],[SubnetName(computed)]]</f>
        <v>NSG_Users_Tier1_361_SLG_Test_w1</v>
      </c>
      <c r="E111" t="str">
        <f>LEFT(NSGGroups[[#This Row],[SubnetNumber(Computed)]]&amp;": "&amp; NSGGroups[[#This Row],[Application(Compluted)]]&amp;", Data Tier ("&amp;NSGGroups[[#This Row],[Tier]]&amp;") "&amp;NSGGroups[[#This Row],[SubDesc(Computed)]], 50)</f>
        <v>361: Users_Tier1, Data Tier (1) Tier 1 administrat</v>
      </c>
      <c r="F111" t="str">
        <f>VLOOKUP(NSGGroups[[#This Row],[SNetID]], Subnets[], 4, FALSE)</f>
        <v>Users_Tier1_361_SLG_Test_w1</v>
      </c>
      <c r="G111" t="str">
        <f>VLOOKUP(NSGGroups[[#This Row],[SNetID]], Subnets[#All], 9, FALSE)</f>
        <v>Users_Tier1</v>
      </c>
      <c r="H111">
        <v>1</v>
      </c>
      <c r="I111" t="str">
        <f>VLOOKUP(NSGGroups[[#This Row],[SNetID]], Subnets[#All], 11, FALSE)</f>
        <v>Tier 1 administrator - manage enterprise servers, services, and applications</v>
      </c>
      <c r="J111" t="str">
        <f>VLOOKUP(NSGGroups[[#This Row],[SNetID]], Subnets[], 8, FALSE)</f>
        <v>w1</v>
      </c>
      <c r="K111" t="s">
        <v>1165</v>
      </c>
      <c r="L111" t="str">
        <f>VLOOKUP(NSGGroups[[#This Row],[SNetID]], Subnets[], 5, FALSE)</f>
        <v>Test</v>
      </c>
      <c r="M111" t="str">
        <f>VLOOKUP(NSGGroups[[#This Row],[SNetID]], Subnets[#All], 12, FALSE)&amp;VLOOKUP(NSGGroups[[#This Row],[SNetID]], Subnets[#All], 13, FALSE)</f>
        <v>10.131.100.128/25</v>
      </c>
      <c r="N111" s="53" t="str">
        <f>"New-AzureNetworkSecurityGroup -Name '" &amp; NSGGroups[[#This Row],[Title]]&amp; "' -Location $VNETSite_"&amp;NSGGroups[[#This Row],[SiteNumber]]&amp;".location -Label '"&amp;NSGGroups[[#This Row],[Description]]&amp;"'"</f>
        <v>New-AzureNetworkSecurityGroup -Name 'NSG_Users_Tier1_361_SLG_Test_w1' -Location $VNETSite_Prod1.location -Label '361: Users_Tier1, Data Tier (1) Tier 1 administrat'</v>
      </c>
    </row>
    <row r="112" spans="1:14" x14ac:dyDescent="0.45">
      <c r="A112" t="s">
        <v>1430</v>
      </c>
      <c r="B112" t="s">
        <v>1259</v>
      </c>
      <c r="C112">
        <f>VLOOKUP(NSGGroups[[#This Row],[SNetID]], Subnets[#All], 2, FALSE)</f>
        <v>362</v>
      </c>
      <c r="D112" t="str">
        <f>"NSG_"&amp;NSGGroups[[#This Row],[SubnetName(computed)]]</f>
        <v>NSG_Users_Tier2_362_SLG_Test_w1</v>
      </c>
      <c r="E112" t="str">
        <f>LEFT(NSGGroups[[#This Row],[SubnetNumber(Computed)]]&amp;": "&amp; NSGGroups[[#This Row],[Application(Compluted)]]&amp;", Data Tier ("&amp;NSGGroups[[#This Row],[Tier]]&amp;") "&amp;NSGGroups[[#This Row],[SubDesc(Computed)]], 50)</f>
        <v>362: Users_Tier2, Data Tier (0) Tier 2 - Control o</v>
      </c>
      <c r="F112" t="str">
        <f>VLOOKUP(NSGGroups[[#This Row],[SNetID]], Subnets[], 4, FALSE)</f>
        <v>Users_Tier2_362_SLG_Test_w1</v>
      </c>
      <c r="G112" t="str">
        <f>VLOOKUP(NSGGroups[[#This Row],[SNetID]], Subnets[#All], 9, FALSE)</f>
        <v>Users_Tier2</v>
      </c>
      <c r="H112">
        <f>VLOOKUP(NSGGroups[[#This Row],[SNetID]], Subnets[#All], 10, FALSE)</f>
        <v>0</v>
      </c>
      <c r="I112" t="str">
        <f>VLOOKUP(NSGGroups[[#This Row],[SNetID]], Subnets[#All], 11, FALSE)</f>
        <v>Tier 2 - Control of user workstations and devices. Tier 2 administrator accounts have administrative control of a significant amount of business value that is hosted on user workstations and devices</v>
      </c>
      <c r="J112" t="str">
        <f>VLOOKUP(NSGGroups[[#This Row],[SNetID]], Subnets[], 8, FALSE)</f>
        <v>w1</v>
      </c>
      <c r="K112" t="s">
        <v>1165</v>
      </c>
      <c r="L112" t="str">
        <f>VLOOKUP(NSGGroups[[#This Row],[SNetID]], Subnets[], 5, FALSE)</f>
        <v>Test</v>
      </c>
      <c r="M112" t="str">
        <f>VLOOKUP(NSGGroups[[#This Row],[SNetID]], Subnets[#All], 12, FALSE)&amp;VLOOKUP(NSGGroups[[#This Row],[SNetID]], Subnets[#All], 13, FALSE)</f>
        <v>10.131.101.0/25</v>
      </c>
      <c r="N112" s="53" t="str">
        <f>"New-AzureNetworkSecurityGroup -Name '" &amp; NSGGroups[[#This Row],[Title]]&amp; "' -Location $VNETSite_"&amp;NSGGroups[[#This Row],[SiteNumber]]&amp;".location -Label '"&amp;NSGGroups[[#This Row],[Description]]&amp;"'"</f>
        <v>New-AzureNetworkSecurityGroup -Name 'NSG_Users_Tier2_362_SLG_Test_w1' -Location $VNETSite_Prod1.location -Label '362: Users_Tier2, Data Tier (0) Tier 2 - Control o'</v>
      </c>
    </row>
    <row r="113" spans="1:14" x14ac:dyDescent="0.45">
      <c r="A113" t="s">
        <v>1431</v>
      </c>
      <c r="B113" t="s">
        <v>1260</v>
      </c>
      <c r="C113">
        <f>VLOOKUP(NSGGroups[[#This Row],[SNetID]], Subnets[#All], 2, FALSE)</f>
        <v>363</v>
      </c>
      <c r="D113" t="str">
        <f>"NSG_"&amp;NSGGroups[[#This Row],[SubnetName(computed)]]</f>
        <v>NSG_Users_Tier0_363_SLG_Dev_w1</v>
      </c>
      <c r="E113" t="str">
        <f>LEFT(NSGGroups[[#This Row],[SubnetNumber(Computed)]]&amp;": "&amp; NSGGroups[[#This Row],[Application(Compluted)]]&amp;", Data Tier ("&amp;NSGGroups[[#This Row],[Tier]]&amp;") "&amp;NSGGroups[[#This Row],[SubDesc(Computed)]], 50)</f>
        <v>363: Users_Tier0, Data Tier (2) Tier 0 - Direct Co</v>
      </c>
      <c r="F113" t="str">
        <f>VLOOKUP(NSGGroups[[#This Row],[SNetID]], Subnets[], 4, FALSE)</f>
        <v>Users_Tier0_363_SLG_Dev_w1</v>
      </c>
      <c r="G113" t="str">
        <f>VLOOKUP(NSGGroups[[#This Row],[SNetID]], Subnets[#All], 9, FALSE)</f>
        <v>Users_Tier0</v>
      </c>
      <c r="H113">
        <v>2</v>
      </c>
      <c r="I113"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13" t="str">
        <f>VLOOKUP(NSGGroups[[#This Row],[SNetID]], Subnets[], 8, FALSE)</f>
        <v>w1</v>
      </c>
      <c r="K113" t="s">
        <v>1165</v>
      </c>
      <c r="L113" t="str">
        <f>VLOOKUP(NSGGroups[[#This Row],[SNetID]], Subnets[], 5, FALSE)</f>
        <v>Dev</v>
      </c>
      <c r="M113" t="str">
        <f>VLOOKUP(NSGGroups[[#This Row],[SNetID]], Subnets[#All], 12, FALSE)&amp;VLOOKUP(NSGGroups[[#This Row],[SNetID]], Subnets[#All], 13, FALSE)</f>
        <v>10.131.101.128/25</v>
      </c>
      <c r="N113" s="53" t="str">
        <f>"New-AzureNetworkSecurityGroup -Name '" &amp; NSGGroups[[#This Row],[Title]]&amp; "' -Location $VNETSite_"&amp;NSGGroups[[#This Row],[SiteNumber]]&amp;".location -Label '"&amp;NSGGroups[[#This Row],[Description]]&amp;"'"</f>
        <v>New-AzureNetworkSecurityGroup -Name 'NSG_Users_Tier0_363_SLG_Dev_w1' -Location $VNETSite_Prod1.location -Label '363: Users_Tier0, Data Tier (2) Tier 0 - Direct Co'</v>
      </c>
    </row>
    <row r="114" spans="1:14" x14ac:dyDescent="0.45">
      <c r="A114" t="s">
        <v>1432</v>
      </c>
      <c r="B114" t="s">
        <v>1261</v>
      </c>
      <c r="C114">
        <f>VLOOKUP(NSGGroups[[#This Row],[SNetID]], Subnets[#All], 2, FALSE)</f>
        <v>364</v>
      </c>
      <c r="D114" t="str">
        <f>"NSG_"&amp;NSGGroups[[#This Row],[SubnetName(computed)]]</f>
        <v>NSG_Users_Tier1_364_SLG_Dev_w1</v>
      </c>
      <c r="E114" t="str">
        <f>LEFT(NSGGroups[[#This Row],[SubnetNumber(Computed)]]&amp;": "&amp; NSGGroups[[#This Row],[Application(Compluted)]]&amp;", Data Tier ("&amp;NSGGroups[[#This Row],[Tier]]&amp;") "&amp;NSGGroups[[#This Row],[SubDesc(Computed)]], 50)</f>
        <v>364: Users_Tier1, Data Tier (0) Tier 1 administrat</v>
      </c>
      <c r="F114" t="str">
        <f>VLOOKUP(NSGGroups[[#This Row],[SNetID]], Subnets[], 4, FALSE)</f>
        <v>Users_Tier1_364_SLG_Dev_w1</v>
      </c>
      <c r="G114" t="str">
        <f>VLOOKUP(NSGGroups[[#This Row],[SNetID]], Subnets[#All], 9, FALSE)</f>
        <v>Users_Tier1</v>
      </c>
      <c r="H114">
        <f>VLOOKUP(NSGGroups[[#This Row],[SNetID]], Subnets[#All], 10, FALSE)</f>
        <v>0</v>
      </c>
      <c r="I114" t="str">
        <f>VLOOKUP(NSGGroups[[#This Row],[SNetID]], Subnets[#All], 11, FALSE)</f>
        <v>Tier 1 administrator - manage enterprise servers, services, and applications</v>
      </c>
      <c r="J114" t="str">
        <f>VLOOKUP(NSGGroups[[#This Row],[SNetID]], Subnets[], 8, FALSE)</f>
        <v>w1</v>
      </c>
      <c r="K114" t="s">
        <v>1165</v>
      </c>
      <c r="L114" t="str">
        <f>VLOOKUP(NSGGroups[[#This Row],[SNetID]], Subnets[], 5, FALSE)</f>
        <v>Dev</v>
      </c>
      <c r="M114" t="str">
        <f>VLOOKUP(NSGGroups[[#This Row],[SNetID]], Subnets[#All], 12, FALSE)&amp;VLOOKUP(NSGGroups[[#This Row],[SNetID]], Subnets[#All], 13, FALSE)</f>
        <v>10.131.102.0/25</v>
      </c>
      <c r="N114" s="53" t="str">
        <f>"New-AzureNetworkSecurityGroup -Name '" &amp; NSGGroups[[#This Row],[Title]]&amp; "' -Location $VNETSite_"&amp;NSGGroups[[#This Row],[SiteNumber]]&amp;".location -Label '"&amp;NSGGroups[[#This Row],[Description]]&amp;"'"</f>
        <v>New-AzureNetworkSecurityGroup -Name 'NSG_Users_Tier1_364_SLG_Dev_w1' -Location $VNETSite_Prod1.location -Label '364: Users_Tier1, Data Tier (0) Tier 1 administrat'</v>
      </c>
    </row>
    <row r="115" spans="1:14" x14ac:dyDescent="0.45">
      <c r="A115" t="s">
        <v>1433</v>
      </c>
      <c r="B115" t="s">
        <v>1262</v>
      </c>
      <c r="C115">
        <f>VLOOKUP(NSGGroups[[#This Row],[SNetID]], Subnets[#All], 2, FALSE)</f>
        <v>365</v>
      </c>
      <c r="D115" t="str">
        <f>"NSG_"&amp;NSGGroups[[#This Row],[SubnetName(computed)]]</f>
        <v>NSG_Users_Tier2_365_SLG_Dev_w1</v>
      </c>
      <c r="E115" t="str">
        <f>LEFT(NSGGroups[[#This Row],[SubnetNumber(Computed)]]&amp;": "&amp; NSGGroups[[#This Row],[Application(Compluted)]]&amp;", Data Tier ("&amp;NSGGroups[[#This Row],[Tier]]&amp;") "&amp;NSGGroups[[#This Row],[SubDesc(Computed)]], 50)</f>
        <v>365: Users_Tier2, Data Tier (1) Tier 2 - Control o</v>
      </c>
      <c r="F115" t="str">
        <f>VLOOKUP(NSGGroups[[#This Row],[SNetID]], Subnets[], 4, FALSE)</f>
        <v>Users_Tier2_365_SLG_Dev_w1</v>
      </c>
      <c r="G115" t="str">
        <f>VLOOKUP(NSGGroups[[#This Row],[SNetID]], Subnets[#All], 9, FALSE)</f>
        <v>Users_Tier2</v>
      </c>
      <c r="H115">
        <v>1</v>
      </c>
      <c r="I115" t="str">
        <f>VLOOKUP(NSGGroups[[#This Row],[SNetID]], Subnets[#All], 11, FALSE)</f>
        <v>Tier 2 - Control of user workstations and devices. Tier 2 administrator accounts have administrative control of a significant amount of business value that is hosted on user workstations and devices</v>
      </c>
      <c r="J115" t="str">
        <f>VLOOKUP(NSGGroups[[#This Row],[SNetID]], Subnets[], 8, FALSE)</f>
        <v>w1</v>
      </c>
      <c r="K115" t="s">
        <v>1165</v>
      </c>
      <c r="L115" t="str">
        <f>VLOOKUP(NSGGroups[[#This Row],[SNetID]], Subnets[], 5, FALSE)</f>
        <v>Dev</v>
      </c>
      <c r="M115" t="str">
        <f>VLOOKUP(NSGGroups[[#This Row],[SNetID]], Subnets[#All], 12, FALSE)&amp;VLOOKUP(NSGGroups[[#This Row],[SNetID]], Subnets[#All], 13, FALSE)</f>
        <v>10.131.102.128/25</v>
      </c>
      <c r="N115" s="53" t="str">
        <f>"New-AzureNetworkSecurityGroup -Name '" &amp; NSGGroups[[#This Row],[Title]]&amp; "' -Location $VNETSite_"&amp;NSGGroups[[#This Row],[SiteNumber]]&amp;".location -Label '"&amp;NSGGroups[[#This Row],[Description]]&amp;"'"</f>
        <v>New-AzureNetworkSecurityGroup -Name 'NSG_Users_Tier2_365_SLG_Dev_w1' -Location $VNETSite_Prod1.location -Label '365: Users_Tier2, Data Tier (1) Tier 2 - Control o'</v>
      </c>
    </row>
    <row r="116" spans="1:14" x14ac:dyDescent="0.45">
      <c r="A116" t="s">
        <v>1434</v>
      </c>
      <c r="B116" t="s">
        <v>1263</v>
      </c>
      <c r="C116">
        <f>VLOOKUP(NSGGroups[[#This Row],[SNetID]], Subnets[#All], 2, FALSE)</f>
        <v>410</v>
      </c>
      <c r="D116" t="str">
        <f>"NSG_"&amp;NSGGroups[[#This Row],[SubnetName(computed)]]</f>
        <v>NSG_Web_410_SLG_Dev_w1</v>
      </c>
      <c r="E116" t="str">
        <f>LEFT(NSGGroups[[#This Row],[SubnetNumber(Computed)]]&amp;": "&amp; NSGGroups[[#This Row],[Application(Compluted)]]&amp;", Data Tier ("&amp;NSGGroups[[#This Row],[Tier]]&amp;") "&amp;NSGGroups[[#This Row],[SubDesc(Computed)]], 50)</f>
        <v>410: Web, Data Tier (2) HTTP and HTTPS services</v>
      </c>
      <c r="F116" t="str">
        <f>VLOOKUP(NSGGroups[[#This Row],[SNetID]], Subnets[], 4, FALSE)</f>
        <v>Web_410_SLG_Dev_w1</v>
      </c>
      <c r="G116" t="str">
        <f>VLOOKUP(NSGGroups[[#This Row],[SNetID]], Subnets[#All], 9, FALSE)</f>
        <v>Web</v>
      </c>
      <c r="H116">
        <v>2</v>
      </c>
      <c r="I116" t="str">
        <f>VLOOKUP(NSGGroups[[#This Row],[SNetID]], Subnets[#All], 11, FALSE)</f>
        <v>HTTP and HTTPS services</v>
      </c>
      <c r="J116" t="str">
        <f>VLOOKUP(NSGGroups[[#This Row],[SNetID]], Subnets[], 8, FALSE)</f>
        <v>w1</v>
      </c>
      <c r="K116" t="s">
        <v>1165</v>
      </c>
      <c r="L116" t="str">
        <f>VLOOKUP(NSGGroups[[#This Row],[SNetID]], Subnets[], 5, FALSE)</f>
        <v>Dev</v>
      </c>
      <c r="M116" t="str">
        <f>VLOOKUP(NSGGroups[[#This Row],[SNetID]], Subnets[#All], 12, FALSE)&amp;VLOOKUP(NSGGroups[[#This Row],[SNetID]], Subnets[#All], 13, FALSE)</f>
        <v>10.131.103.0/24</v>
      </c>
      <c r="N116" s="53" t="str">
        <f>"New-AzureNetworkSecurityGroup -Name '" &amp; NSGGroups[[#This Row],[Title]]&amp; "' -Location $VNETSite_"&amp;NSGGroups[[#This Row],[SiteNumber]]&amp;".location -Label '"&amp;NSGGroups[[#This Row],[Description]]&amp;"'"</f>
        <v>New-AzureNetworkSecurityGroup -Name 'NSG_Web_410_SLG_Dev_w1' -Location $VNETSite_Prod1.location -Label '410: Web, Data Tier (2) HTTP and HTTPS services'</v>
      </c>
    </row>
    <row r="117" spans="1:14" x14ac:dyDescent="0.45">
      <c r="A117" t="s">
        <v>1435</v>
      </c>
      <c r="B117" t="s">
        <v>1264</v>
      </c>
      <c r="C117">
        <f>VLOOKUP(NSGGroups[[#This Row],[SNetID]], Subnets[#All], 2, FALSE)</f>
        <v>420</v>
      </c>
      <c r="D117" t="str">
        <f>"NSG_"&amp;NSGGroups[[#This Row],[SubnetName(computed)]]</f>
        <v>NSG_App_420_SLG_Dev_w1</v>
      </c>
      <c r="E117" t="str">
        <f>LEFT(NSGGroups[[#This Row],[SubnetNumber(Computed)]]&amp;": "&amp; NSGGroups[[#This Row],[Application(Compluted)]]&amp;", Data Tier ("&amp;NSGGroups[[#This Row],[Tier]]&amp;") "&amp;NSGGroups[[#This Row],[SubDesc(Computed)]], 50)</f>
        <v>420: App, Data Tier (2) Web Services, OEM applicat</v>
      </c>
      <c r="F117" t="str">
        <f>VLOOKUP(NSGGroups[[#This Row],[SNetID]], Subnets[], 4, FALSE)</f>
        <v>App_420_SLG_Dev_w1</v>
      </c>
      <c r="G117" t="str">
        <f>VLOOKUP(NSGGroups[[#This Row],[SNetID]], Subnets[#All], 9, FALSE)</f>
        <v>App</v>
      </c>
      <c r="H117">
        <v>2</v>
      </c>
      <c r="I117" t="str">
        <f>VLOOKUP(NSGGroups[[#This Row],[SNetID]], Subnets[#All], 11, FALSE)</f>
        <v>Web Services, OEM applications</v>
      </c>
      <c r="J117" t="str">
        <f>VLOOKUP(NSGGroups[[#This Row],[SNetID]], Subnets[], 8, FALSE)</f>
        <v>w1</v>
      </c>
      <c r="K117" t="s">
        <v>1164</v>
      </c>
      <c r="L117" t="str">
        <f>VLOOKUP(NSGGroups[[#This Row],[SNetID]], Subnets[], 5, FALSE)</f>
        <v>Dev</v>
      </c>
      <c r="M117" t="str">
        <f>VLOOKUP(NSGGroups[[#This Row],[SNetID]], Subnets[#All], 12, FALSE)&amp;VLOOKUP(NSGGroups[[#This Row],[SNetID]], Subnets[#All], 13, FALSE)</f>
        <v>10.131.104.0/24</v>
      </c>
      <c r="N117" s="53" t="str">
        <f>"New-AzureNetworkSecurityGroup -Name '" &amp; NSGGroups[[#This Row],[Title]]&amp; "' -Location $VNETSite_"&amp;NSGGroups[[#This Row],[SiteNumber]]&amp;".location -Label '"&amp;NSGGroups[[#This Row],[Description]]&amp;"'"</f>
        <v>New-AzureNetworkSecurityGroup -Name 'NSG_App_420_SLG_Dev_w1' -Location $VNETSite_Prod2.location -Label '420: App, Data Tier (2) Web Services, OEM applicat'</v>
      </c>
    </row>
    <row r="118" spans="1:14" x14ac:dyDescent="0.45">
      <c r="A118" t="s">
        <v>1436</v>
      </c>
      <c r="B118" t="s">
        <v>1265</v>
      </c>
      <c r="C118">
        <f>VLOOKUP(NSGGroups[[#This Row],[SNetID]], Subnets[#All], 2, FALSE)</f>
        <v>430</v>
      </c>
      <c r="D118" t="str">
        <f>"NSG_"&amp;NSGGroups[[#This Row],[SubnetName(computed)]]</f>
        <v>NSG_Database_430_SLG_Dev_w1</v>
      </c>
      <c r="E118" t="str">
        <f>LEFT(NSGGroups[[#This Row],[SubnetNumber(Computed)]]&amp;": "&amp; NSGGroups[[#This Row],[Application(Compluted)]]&amp;", Data Tier ("&amp;NSGGroups[[#This Row],[Tier]]&amp;") "&amp;NSGGroups[[#This Row],[SubDesc(Computed)]], 50)</f>
        <v>430: Database, Data Tier (1) Data for Applications</v>
      </c>
      <c r="F118" t="str">
        <f>VLOOKUP(NSGGroups[[#This Row],[SNetID]], Subnets[], 4, FALSE)</f>
        <v>Database_430_SLG_Dev_w1</v>
      </c>
      <c r="G118" t="str">
        <f>VLOOKUP(NSGGroups[[#This Row],[SNetID]], Subnets[#All], 9, FALSE)</f>
        <v>Database</v>
      </c>
      <c r="H118">
        <v>1</v>
      </c>
      <c r="I118" t="str">
        <f>VLOOKUP(NSGGroups[[#This Row],[SNetID]], Subnets[#All], 11, FALSE)</f>
        <v>Data for Applications</v>
      </c>
      <c r="J118" t="str">
        <f>VLOOKUP(NSGGroups[[#This Row],[SNetID]], Subnets[], 8, FALSE)</f>
        <v>w1</v>
      </c>
      <c r="K118" t="s">
        <v>1164</v>
      </c>
      <c r="L118" t="str">
        <f>VLOOKUP(NSGGroups[[#This Row],[SNetID]], Subnets[], 5, FALSE)</f>
        <v>Dev</v>
      </c>
      <c r="M118" t="str">
        <f>VLOOKUP(NSGGroups[[#This Row],[SNetID]], Subnets[#All], 12, FALSE)&amp;VLOOKUP(NSGGroups[[#This Row],[SNetID]], Subnets[#All], 13, FALSE)</f>
        <v>10.131.105.0/24</v>
      </c>
      <c r="N118" s="53" t="str">
        <f>"New-AzureNetworkSecurityGroup -Name '" &amp; NSGGroups[[#This Row],[Title]]&amp; "' -Location $VNETSite_"&amp;NSGGroups[[#This Row],[SiteNumber]]&amp;".location -Label '"&amp;NSGGroups[[#This Row],[Description]]&amp;"'"</f>
        <v>New-AzureNetworkSecurityGroup -Name 'NSG_Database_430_SLG_Dev_w1' -Location $VNETSite_Prod2.location -Label '430: Database, Data Tier (1) Data for Applications'</v>
      </c>
    </row>
    <row r="119" spans="1:14" x14ac:dyDescent="0.45">
      <c r="A119" t="s">
        <v>1437</v>
      </c>
      <c r="B119" t="s">
        <v>1266</v>
      </c>
      <c r="C119">
        <f>VLOOKUP(NSGGroups[[#This Row],[SNetID]], Subnets[#All], 2, FALSE)</f>
        <v>450</v>
      </c>
      <c r="D119" t="str">
        <f>"NSG_"&amp;NSGGroups[[#This Row],[SubnetName(computed)]]</f>
        <v>NSG_DMZ_450_SLG_Dev_w1</v>
      </c>
      <c r="E119" t="str">
        <f>LEFT(NSGGroups[[#This Row],[SubnetNumber(Computed)]]&amp;": "&amp; NSGGroups[[#This Row],[Application(Compluted)]]&amp;", Data Tier ("&amp;NSGGroups[[#This Row],[Tier]]&amp;") "&amp;NSGGroups[[#This Row],[SubDesc(Computed)]], 50)</f>
        <v>450: DMZ, Data Tier (0) Internet EndPoint Machines</v>
      </c>
      <c r="F119" t="str">
        <f>VLOOKUP(NSGGroups[[#This Row],[SNetID]], Subnets[], 4, FALSE)</f>
        <v>DMZ_450_SLG_Dev_w1</v>
      </c>
      <c r="G119" t="str">
        <f>VLOOKUP(NSGGroups[[#This Row],[SNetID]], Subnets[#All], 9, FALSE)</f>
        <v>DMZ</v>
      </c>
      <c r="H119">
        <f>VLOOKUP(NSGGroups[[#This Row],[SNetID]], Subnets[#All], 10, FALSE)</f>
        <v>0</v>
      </c>
      <c r="I119" t="str">
        <f>VLOOKUP(NSGGroups[[#This Row],[SNetID]], Subnets[#All], 11, FALSE)</f>
        <v>Internet EndPoint Machines</v>
      </c>
      <c r="J119" t="str">
        <f>VLOOKUP(NSGGroups[[#This Row],[SNetID]], Subnets[], 8, FALSE)</f>
        <v>w1</v>
      </c>
      <c r="K119" t="s">
        <v>1164</v>
      </c>
      <c r="L119" t="str">
        <f>VLOOKUP(NSGGroups[[#This Row],[SNetID]], Subnets[], 5, FALSE)</f>
        <v>Dev</v>
      </c>
      <c r="M119" t="str">
        <f>VLOOKUP(NSGGroups[[#This Row],[SNetID]], Subnets[#All], 12, FALSE)&amp;VLOOKUP(NSGGroups[[#This Row],[SNetID]], Subnets[#All], 13, FALSE)</f>
        <v>10.131.106.0/24</v>
      </c>
      <c r="N119" s="53" t="str">
        <f>"New-AzureNetworkSecurityGroup -Name '" &amp; NSGGroups[[#This Row],[Title]]&amp; "' -Location $VNETSite_"&amp;NSGGroups[[#This Row],[SiteNumber]]&amp;".location -Label '"&amp;NSGGroups[[#This Row],[Description]]&amp;"'"</f>
        <v>New-AzureNetworkSecurityGroup -Name 'NSG_DMZ_450_SLG_Dev_w1' -Location $VNETSite_Prod2.location -Label '450: DMZ, Data Tier (0) Internet EndPoint Machines'</v>
      </c>
    </row>
    <row r="120" spans="1:14" x14ac:dyDescent="0.45">
      <c r="A120" t="s">
        <v>1438</v>
      </c>
      <c r="B120" t="s">
        <v>1267</v>
      </c>
      <c r="C120">
        <f>VLOOKUP(NSGGroups[[#This Row],[SNetID]], Subnets[#All], 2, FALSE)</f>
        <v>470</v>
      </c>
      <c r="D120" t="str">
        <f>"NSG_"&amp;NSGGroups[[#This Row],[SubnetName(computed)]]</f>
        <v>NSG_Future_470_SLG_Dev_w1</v>
      </c>
      <c r="E120" t="str">
        <f>LEFT(NSGGroups[[#This Row],[SubnetNumber(Computed)]]&amp;": "&amp; NSGGroups[[#This Row],[Application(Compluted)]]&amp;", Data Tier ("&amp;NSGGroups[[#This Row],[Tier]]&amp;") "&amp;NSGGroups[[#This Row],[SubDesc(Computed)]], 50)</f>
        <v>470: Future, Data Tier (2) Future Consideration</v>
      </c>
      <c r="F120" t="str">
        <f>VLOOKUP(NSGGroups[[#This Row],[SNetID]], Subnets[], 4, FALSE)</f>
        <v>Future_470_SLG_Dev_w1</v>
      </c>
      <c r="G120" t="str">
        <f>VLOOKUP(NSGGroups[[#This Row],[SNetID]], Subnets[#All], 9, FALSE)</f>
        <v>Future</v>
      </c>
      <c r="H120">
        <v>2</v>
      </c>
      <c r="I120" t="str">
        <f>VLOOKUP(NSGGroups[[#This Row],[SNetID]], Subnets[#All], 11, FALSE)</f>
        <v>Future Consideration</v>
      </c>
      <c r="J120" t="str">
        <f>VLOOKUP(NSGGroups[[#This Row],[SNetID]], Subnets[], 8, FALSE)</f>
        <v>w1</v>
      </c>
      <c r="K120" t="s">
        <v>1164</v>
      </c>
      <c r="L120" t="str">
        <f>VLOOKUP(NSGGroups[[#This Row],[SNetID]], Subnets[], 5, FALSE)</f>
        <v>Dev</v>
      </c>
      <c r="M120" t="str">
        <f>VLOOKUP(NSGGroups[[#This Row],[SNetID]], Subnets[#All], 12, FALSE)&amp;VLOOKUP(NSGGroups[[#This Row],[SNetID]], Subnets[#All], 13, FALSE)</f>
        <v>10.131.108.0/23</v>
      </c>
      <c r="N120" s="53" t="str">
        <f>"New-AzureNetworkSecurityGroup -Name '" &amp; NSGGroups[[#This Row],[Title]]&amp; "' -Location $VNETSite_"&amp;NSGGroups[[#This Row],[SiteNumber]]&amp;".location -Label '"&amp;NSGGroups[[#This Row],[Description]]&amp;"'"</f>
        <v>New-AzureNetworkSecurityGroup -Name 'NSG_Future_470_SLG_Dev_w1' -Location $VNETSite_Prod2.location -Label '470: Future, Data Tier (2) Future Consideration'</v>
      </c>
    </row>
    <row r="121" spans="1:14" x14ac:dyDescent="0.45">
      <c r="A121" t="s">
        <v>1439</v>
      </c>
      <c r="B121" t="s">
        <v>1268</v>
      </c>
      <c r="C121">
        <f>VLOOKUP(NSGGroups[[#This Row],[SNetID]], Subnets[#All], 2, FALSE)</f>
        <v>470</v>
      </c>
      <c r="D121" t="str">
        <f>"NSG_"&amp;NSGGroups[[#This Row],[SubnetName(computed)]]</f>
        <v>NSG_Future_470_SLG_Dev_w1</v>
      </c>
      <c r="E121" t="str">
        <f>LEFT(NSGGroups[[#This Row],[SubnetNumber(Computed)]]&amp;": "&amp; NSGGroups[[#This Row],[Application(Compluted)]]&amp;", Data Tier ("&amp;NSGGroups[[#This Row],[Tier]]&amp;") "&amp;NSGGroups[[#This Row],[SubDesc(Computed)]], 50)</f>
        <v>470: Future, Data Tier (0) Future Consideration</v>
      </c>
      <c r="F121" t="str">
        <f>VLOOKUP(NSGGroups[[#This Row],[SNetID]], Subnets[], 4, FALSE)</f>
        <v>Future_470_SLG_Dev_w1</v>
      </c>
      <c r="G121" t="str">
        <f>VLOOKUP(NSGGroups[[#This Row],[SNetID]], Subnets[#All], 9, FALSE)</f>
        <v>Future</v>
      </c>
      <c r="H121">
        <f>VLOOKUP(NSGGroups[[#This Row],[SNetID]], Subnets[#All], 10, FALSE)</f>
        <v>0</v>
      </c>
      <c r="I121" t="str">
        <f>VLOOKUP(NSGGroups[[#This Row],[SNetID]], Subnets[#All], 11, FALSE)</f>
        <v>Future Consideration</v>
      </c>
      <c r="J121" t="str">
        <f>VLOOKUP(NSGGroups[[#This Row],[SNetID]], Subnets[], 8, FALSE)</f>
        <v>w1</v>
      </c>
      <c r="K121" t="s">
        <v>1164</v>
      </c>
      <c r="L121" t="str">
        <f>VLOOKUP(NSGGroups[[#This Row],[SNetID]], Subnets[], 5, FALSE)</f>
        <v>Dev</v>
      </c>
      <c r="M121" t="str">
        <f>VLOOKUP(NSGGroups[[#This Row],[SNetID]], Subnets[#All], 12, FALSE)&amp;VLOOKUP(NSGGroups[[#This Row],[SNetID]], Subnets[#All], 13, FALSE)</f>
        <v>10.131.110.0/24</v>
      </c>
      <c r="N121" s="53" t="str">
        <f>"New-AzureNetworkSecurityGroup -Name '" &amp; NSGGroups[[#This Row],[Title]]&amp; "' -Location $VNETSite_"&amp;NSGGroups[[#This Row],[SiteNumber]]&amp;".location -Label '"&amp;NSGGroups[[#This Row],[Description]]&amp;"'"</f>
        <v>New-AzureNetworkSecurityGroup -Name 'NSG_Future_470_SLG_Dev_w1' -Location $VNETSite_Prod2.location -Label '470: Future, Data Tier (0) Future Consideration'</v>
      </c>
    </row>
    <row r="122" spans="1:14" x14ac:dyDescent="0.45">
      <c r="A122" t="s">
        <v>1440</v>
      </c>
      <c r="B122" t="s">
        <v>1269</v>
      </c>
      <c r="C122">
        <f>VLOOKUP(NSGGroups[[#This Row],[SNetID]], Subnets[#All], 2, FALSE)</f>
        <v>499</v>
      </c>
      <c r="D122" t="str">
        <f>"NSG_"&amp;NSGGroups[[#This Row],[SubnetName(computed)]]</f>
        <v>NSG_Gateway_499_SLG_PreProd_w1</v>
      </c>
      <c r="E122" t="str">
        <f>LEFT(NSGGroups[[#This Row],[SubnetNumber(Computed)]]&amp;": "&amp; NSGGroups[[#This Row],[Application(Compluted)]]&amp;", Data Tier ("&amp;NSGGroups[[#This Row],[Tier]]&amp;") "&amp;NSGGroups[[#This Row],[SubDesc(Computed)]], 50)</f>
        <v>499: Gateway, Data Tier (1) Gateway Services to Lo</v>
      </c>
      <c r="F122" t="str">
        <f>VLOOKUP(NSGGroups[[#This Row],[SNetID]], Subnets[], 4, FALSE)</f>
        <v>Gateway_499_SLG_PreProd_w1</v>
      </c>
      <c r="G122" t="str">
        <f>VLOOKUP(NSGGroups[[#This Row],[SNetID]], Subnets[#All], 9, FALSE)</f>
        <v>Gateway</v>
      </c>
      <c r="H122">
        <v>1</v>
      </c>
      <c r="I122" t="str">
        <f>VLOOKUP(NSGGroups[[#This Row],[SNetID]], Subnets[#All], 11, FALSE)</f>
        <v>Gateway Services to Local Networks</v>
      </c>
      <c r="J122" t="str">
        <f>VLOOKUP(NSGGroups[[#This Row],[SNetID]], Subnets[], 8, FALSE)</f>
        <v>w1</v>
      </c>
      <c r="K122" t="s">
        <v>1164</v>
      </c>
      <c r="L122" t="str">
        <f>VLOOKUP(NSGGroups[[#This Row],[SNetID]], Subnets[], 5, FALSE)</f>
        <v>PreProd</v>
      </c>
      <c r="M122" t="str">
        <f>VLOOKUP(NSGGroups[[#This Row],[SNetID]], Subnets[#All], 12, FALSE)&amp;VLOOKUP(NSGGroups[[#This Row],[SNetID]], Subnets[#All], 13, FALSE)</f>
        <v>10.131.111.248/29</v>
      </c>
      <c r="N122" s="53" t="str">
        <f>"New-AzureNetworkSecurityGroup -Name '" &amp; NSGGroups[[#This Row],[Title]]&amp; "' -Location $VNETSite_"&amp;NSGGroups[[#This Row],[SiteNumber]]&amp;".location -Label '"&amp;NSGGroups[[#This Row],[Description]]&amp;"'"</f>
        <v>New-AzureNetworkSecurityGroup -Name 'NSG_Gateway_499_SLG_PreProd_w1' -Location $VNETSite_Prod2.location -Label '499: Gateway, Data Tier (1) Gateway Services to Lo'</v>
      </c>
    </row>
    <row r="123" spans="1:14" x14ac:dyDescent="0.45">
      <c r="A123" t="s">
        <v>1441</v>
      </c>
      <c r="B123" t="s">
        <v>1270</v>
      </c>
      <c r="C123">
        <f>VLOOKUP(NSGGroups[[#This Row],[SNetID]], Subnets[#All], 2, FALSE)</f>
        <v>110</v>
      </c>
      <c r="D123" t="str">
        <f>"NSG_"&amp;NSGGroups[[#This Row],[SubnetName(computed)]]</f>
        <v>NSG_Web_110_SLG_prod_w2</v>
      </c>
      <c r="E123" t="str">
        <f>LEFT(NSGGroups[[#This Row],[SubnetNumber(Computed)]]&amp;": "&amp; NSGGroups[[#This Row],[Application(Compluted)]]&amp;", Data Tier ("&amp;NSGGroups[[#This Row],[Tier]]&amp;") "&amp;NSGGroups[[#This Row],[SubDesc(Computed)]], 50)</f>
        <v>110: Web, Data Tier (2) HTTP and HTTPS services</v>
      </c>
      <c r="F123" t="str">
        <f>VLOOKUP(NSGGroups[[#This Row],[SNetID]], Subnets[], 4, FALSE)</f>
        <v>Web_110_SLG_prod_w2</v>
      </c>
      <c r="G123" t="str">
        <f>VLOOKUP(NSGGroups[[#This Row],[SNetID]], Subnets[#All], 9, FALSE)</f>
        <v>Web</v>
      </c>
      <c r="H123">
        <v>2</v>
      </c>
      <c r="I123" t="str">
        <f>VLOOKUP(NSGGroups[[#This Row],[SNetID]], Subnets[#All], 11, FALSE)</f>
        <v>HTTP and HTTPS services</v>
      </c>
      <c r="J123" t="str">
        <f>VLOOKUP(NSGGroups[[#This Row],[SNetID]], Subnets[], 8, FALSE)</f>
        <v>w2</v>
      </c>
      <c r="K123" t="s">
        <v>1164</v>
      </c>
      <c r="L123" t="str">
        <f>VLOOKUP(NSGGroups[[#This Row],[SNetID]], Subnets[], 5, FALSE)</f>
        <v>prod</v>
      </c>
      <c r="M123" t="str">
        <f>VLOOKUP(NSGGroups[[#This Row],[SNetID]], Subnets[#All], 12, FALSE)&amp;VLOOKUP(NSGGroups[[#This Row],[SNetID]], Subnets[#All], 13, FALSE)</f>
        <v>10.131.2.0/24</v>
      </c>
      <c r="N123" s="53" t="str">
        <f>"New-AzureNetworkSecurityGroup -Name '" &amp; NSGGroups[[#This Row],[Title]]&amp; "' -Location $VNETSite_"&amp;NSGGroups[[#This Row],[SiteNumber]]&amp;".location -Label '"&amp;NSGGroups[[#This Row],[Description]]&amp;"'"</f>
        <v>New-AzureNetworkSecurityGroup -Name 'NSG_Web_110_SLG_prod_w2' -Location $VNETSite_Prod2.location -Label '110: Web, Data Tier (2) HTTP and HTTPS services'</v>
      </c>
    </row>
    <row r="124" spans="1:14" x14ac:dyDescent="0.45">
      <c r="A124" t="s">
        <v>1442</v>
      </c>
      <c r="B124" t="s">
        <v>1271</v>
      </c>
      <c r="C124">
        <f>VLOOKUP(NSGGroups[[#This Row],[SNetID]], Subnets[#All], 2, FALSE)</f>
        <v>120</v>
      </c>
      <c r="D124" t="str">
        <f>"NSG_"&amp;NSGGroups[[#This Row],[SubnetName(computed)]]</f>
        <v>NSG_App_120_SLG_prod_w2</v>
      </c>
      <c r="E124" t="str">
        <f>LEFT(NSGGroups[[#This Row],[SubnetNumber(Computed)]]&amp;": "&amp; NSGGroups[[#This Row],[Application(Compluted)]]&amp;", Data Tier ("&amp;NSGGroups[[#This Row],[Tier]]&amp;") "&amp;NSGGroups[[#This Row],[SubDesc(Computed)]], 50)</f>
        <v>120: App, Data Tier (2) Web Services, OEM applicat</v>
      </c>
      <c r="F124" t="str">
        <f>VLOOKUP(NSGGroups[[#This Row],[SNetID]], Subnets[], 4, FALSE)</f>
        <v>App_120_SLG_prod_w2</v>
      </c>
      <c r="G124" t="str">
        <f>VLOOKUP(NSGGroups[[#This Row],[SNetID]], Subnets[#All], 9, FALSE)</f>
        <v>App</v>
      </c>
      <c r="H124">
        <f>VLOOKUP(NSGGroups[[#This Row],[SNetID]], Subnets[#All], 10, FALSE)</f>
        <v>2</v>
      </c>
      <c r="I124" t="str">
        <f>VLOOKUP(NSGGroups[[#This Row],[SNetID]], Subnets[#All], 11, FALSE)</f>
        <v>Web Services, OEM applications</v>
      </c>
      <c r="J124" t="str">
        <f>VLOOKUP(NSGGroups[[#This Row],[SNetID]], Subnets[], 8, FALSE)</f>
        <v>w2</v>
      </c>
      <c r="K124" t="s">
        <v>1168</v>
      </c>
      <c r="L124" t="str">
        <f>VLOOKUP(NSGGroups[[#This Row],[SNetID]], Subnets[], 5, FALSE)</f>
        <v>prod</v>
      </c>
      <c r="M124" t="str">
        <f>VLOOKUP(NSGGroups[[#This Row],[SNetID]], Subnets[#All], 12, FALSE)&amp;VLOOKUP(NSGGroups[[#This Row],[SNetID]], Subnets[#All], 13, FALSE)</f>
        <v>10.131.4.0/24</v>
      </c>
      <c r="N124" s="53" t="str">
        <f>"New-AzureNetworkSecurityGroup -Name '" &amp; NSGGroups[[#This Row],[Title]]&amp; "' -Location $VNETSite_"&amp;NSGGroups[[#This Row],[SiteNumber]]&amp;".location -Label '"&amp;NSGGroups[[#This Row],[Description]]&amp;"'"</f>
        <v>New-AzureNetworkSecurityGroup -Name 'NSG_App_120_SLG_prod_w2' -Location $VNETSite_Services1.location -Label '120: App, Data Tier (2) Web Services, OEM applicat'</v>
      </c>
    </row>
    <row r="125" spans="1:14" x14ac:dyDescent="0.45">
      <c r="A125" t="s">
        <v>1443</v>
      </c>
      <c r="B125" t="s">
        <v>1272</v>
      </c>
      <c r="C125">
        <f>VLOOKUP(NSGGroups[[#This Row],[SNetID]], Subnets[#All], 2, FALSE)</f>
        <v>130</v>
      </c>
      <c r="D125" t="str">
        <f>"NSG_"&amp;NSGGroups[[#This Row],[SubnetName(computed)]]</f>
        <v>NSG_Database_130_SLG_prod_w2</v>
      </c>
      <c r="E125" t="str">
        <f>LEFT(NSGGroups[[#This Row],[SubnetNumber(Computed)]]&amp;": "&amp; NSGGroups[[#This Row],[Application(Compluted)]]&amp;", Data Tier ("&amp;NSGGroups[[#This Row],[Tier]]&amp;") "&amp;NSGGroups[[#This Row],[SubDesc(Computed)]], 50)</f>
        <v>130: Database, Data Tier (2) Data for Applications</v>
      </c>
      <c r="F125" t="str">
        <f>VLOOKUP(NSGGroups[[#This Row],[SNetID]], Subnets[], 4, FALSE)</f>
        <v>Database_130_SLG_prod_w2</v>
      </c>
      <c r="G125" t="str">
        <f>VLOOKUP(NSGGroups[[#This Row],[SNetID]], Subnets[#All], 9, FALSE)</f>
        <v>Database</v>
      </c>
      <c r="H125">
        <v>2</v>
      </c>
      <c r="I125" t="str">
        <f>VLOOKUP(NSGGroups[[#This Row],[SNetID]], Subnets[#All], 11, FALSE)</f>
        <v>Data for Applications</v>
      </c>
      <c r="J125" t="str">
        <f>VLOOKUP(NSGGroups[[#This Row],[SNetID]], Subnets[], 8, FALSE)</f>
        <v>w2</v>
      </c>
      <c r="K125" t="s">
        <v>1168</v>
      </c>
      <c r="L125" t="str">
        <f>VLOOKUP(NSGGroups[[#This Row],[SNetID]], Subnets[], 5, FALSE)</f>
        <v>prod</v>
      </c>
      <c r="M125" t="str">
        <f>VLOOKUP(NSGGroups[[#This Row],[SNetID]], Subnets[#All], 12, FALSE)&amp;VLOOKUP(NSGGroups[[#This Row],[SNetID]], Subnets[#All], 13, FALSE)</f>
        <v>10.131.6.0/24</v>
      </c>
      <c r="N125" s="53" t="str">
        <f>"New-AzureNetworkSecurityGroup -Name '" &amp; NSGGroups[[#This Row],[Title]]&amp; "' -Location $VNETSite_"&amp;NSGGroups[[#This Row],[SiteNumber]]&amp;".location -Label '"&amp;NSGGroups[[#This Row],[Description]]&amp;"'"</f>
        <v>New-AzureNetworkSecurityGroup -Name 'NSG_Database_130_SLG_prod_w2' -Location $VNETSite_Services1.location -Label '130: Database, Data Tier (2) Data for Applications'</v>
      </c>
    </row>
    <row r="126" spans="1:14" x14ac:dyDescent="0.45">
      <c r="A126" t="s">
        <v>1444</v>
      </c>
      <c r="B126" t="s">
        <v>1273</v>
      </c>
      <c r="C126">
        <f>VLOOKUP(NSGGroups[[#This Row],[SNetID]], Subnets[#All], 2, FALSE)</f>
        <v>150</v>
      </c>
      <c r="D126" t="str">
        <f>"NSG_"&amp;NSGGroups[[#This Row],[SubnetName(computed)]]</f>
        <v>NSG_DMZ_150_SLG_prod_w2</v>
      </c>
      <c r="E126" t="str">
        <f>LEFT(NSGGroups[[#This Row],[SubnetNumber(Computed)]]&amp;": "&amp; NSGGroups[[#This Row],[Application(Compluted)]]&amp;", Data Tier ("&amp;NSGGroups[[#This Row],[Tier]]&amp;") "&amp;NSGGroups[[#This Row],[SubDesc(Computed)]], 50)</f>
        <v>150: DMZ, Data Tier (0) Internet EndPoint Machines</v>
      </c>
      <c r="F126" t="str">
        <f>VLOOKUP(NSGGroups[[#This Row],[SNetID]], Subnets[], 4, FALSE)</f>
        <v>DMZ_150_SLG_prod_w2</v>
      </c>
      <c r="G126" t="str">
        <f>VLOOKUP(NSGGroups[[#This Row],[SNetID]], Subnets[#All], 9, FALSE)</f>
        <v>DMZ</v>
      </c>
      <c r="H126">
        <f>VLOOKUP(NSGGroups[[#This Row],[SNetID]], Subnets[#All], 10, FALSE)</f>
        <v>0</v>
      </c>
      <c r="I126" t="str">
        <f>VLOOKUP(NSGGroups[[#This Row],[SNetID]], Subnets[#All], 11, FALSE)</f>
        <v>Internet EndPoint Machines</v>
      </c>
      <c r="J126" t="str">
        <f>VLOOKUP(NSGGroups[[#This Row],[SNetID]], Subnets[], 8, FALSE)</f>
        <v>w2</v>
      </c>
      <c r="K126" t="s">
        <v>1168</v>
      </c>
      <c r="L126" t="str">
        <f>VLOOKUP(NSGGroups[[#This Row],[SNetID]], Subnets[], 5, FALSE)</f>
        <v>prod</v>
      </c>
      <c r="M126" t="str">
        <f>VLOOKUP(NSGGroups[[#This Row],[SNetID]], Subnets[#All], 12, FALSE)&amp;VLOOKUP(NSGGroups[[#This Row],[SNetID]], Subnets[#All], 13, FALSE)</f>
        <v>10.131.8.0/24</v>
      </c>
      <c r="N126" s="53" t="str">
        <f>"New-AzureNetworkSecurityGroup -Name '" &amp; NSGGroups[[#This Row],[Title]]&amp; "' -Location $VNETSite_"&amp;NSGGroups[[#This Row],[SiteNumber]]&amp;".location -Label '"&amp;NSGGroups[[#This Row],[Description]]&amp;"'"</f>
        <v>New-AzureNetworkSecurityGroup -Name 'NSG_DMZ_150_SLG_prod_w2' -Location $VNETSite_Services1.location -Label '150: DMZ, Data Tier (0) Internet EndPoint Machines'</v>
      </c>
    </row>
    <row r="127" spans="1:14" x14ac:dyDescent="0.45">
      <c r="A127" t="s">
        <v>1445</v>
      </c>
      <c r="B127" t="s">
        <v>1274</v>
      </c>
      <c r="C127">
        <f>VLOOKUP(NSGGroups[[#This Row],[SNetID]], Subnets[#All], 2, FALSE)</f>
        <v>160</v>
      </c>
      <c r="D127" t="str">
        <f>"NSG_"&amp;NSGGroups[[#This Row],[SubnetName(computed)]]</f>
        <v>NSG_User_Tier0_160_SLG_prod_w2</v>
      </c>
      <c r="E127" t="str">
        <f>LEFT(NSGGroups[[#This Row],[SubnetNumber(Computed)]]&amp;": "&amp; NSGGroups[[#This Row],[Application(Compluted)]]&amp;", Data Tier ("&amp;NSGGroups[[#This Row],[Tier]]&amp;") "&amp;NSGGroups[[#This Row],[SubDesc(Computed)]], 50)</f>
        <v>160: User_Tier0, Data Tier (0) Tier 0 - Direct Con</v>
      </c>
      <c r="F127" t="str">
        <f>VLOOKUP(NSGGroups[[#This Row],[SNetID]], Subnets[], 4, FALSE)</f>
        <v>User_Tier0_160_SLG_prod_w2</v>
      </c>
      <c r="G127" t="str">
        <f>VLOOKUP(NSGGroups[[#This Row],[SNetID]], Subnets[#All], 9, FALSE)</f>
        <v>User_Tier0</v>
      </c>
      <c r="H127">
        <f>VLOOKUP(NSGGroups[[#This Row],[SNetID]], Subnets[#All], 10, FALSE)</f>
        <v>0</v>
      </c>
      <c r="I127" t="str">
        <f>VLOOKUP(NSGGroups[[#This Row],[SNetID]], Subnets[#All], 11, FALSE)</f>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
      <c r="J127" t="str">
        <f>VLOOKUP(NSGGroups[[#This Row],[SNetID]], Subnets[], 8, FALSE)</f>
        <v>w2</v>
      </c>
      <c r="K127" t="s">
        <v>1168</v>
      </c>
      <c r="L127" t="str">
        <f>VLOOKUP(NSGGroups[[#This Row],[SNetID]], Subnets[], 5, FALSE)</f>
        <v>prod</v>
      </c>
      <c r="M127" t="str">
        <f>VLOOKUP(NSGGroups[[#This Row],[SNetID]], Subnets[#All], 12, FALSE)&amp;VLOOKUP(NSGGroups[[#This Row],[SNetID]], Subnets[#All], 13, FALSE)</f>
        <v>10.131.10.0/25</v>
      </c>
      <c r="N127" s="53" t="str">
        <f>"New-AzureNetworkSecurityGroup -Name '" &amp; NSGGroups[[#This Row],[Title]]&amp; "' -Location $VNETSite_"&amp;NSGGroups[[#This Row],[SiteNumber]]&amp;".location -Label '"&amp;NSGGroups[[#This Row],[Description]]&amp;"'"</f>
        <v>New-AzureNetworkSecurityGroup -Name 'NSG_User_Tier0_160_SLG_prod_w2' -Location $VNETSite_Services1.location -Label '160: User_Tier0, Data Tier (0) Tier 0 - Direct Con'</v>
      </c>
    </row>
    <row r="128" spans="1:14" x14ac:dyDescent="0.45">
      <c r="A128" t="s">
        <v>1446</v>
      </c>
      <c r="B128" t="s">
        <v>1275</v>
      </c>
      <c r="C128">
        <f>VLOOKUP(NSGGroups[[#This Row],[SNetID]], Subnets[#All], 2, FALSE)</f>
        <v>161</v>
      </c>
      <c r="D128" t="str">
        <f>"NSG_"&amp;NSGGroups[[#This Row],[SubnetName(computed)]]</f>
        <v>NSG_Users_Tier1_161_SLG_prod_w2</v>
      </c>
      <c r="E128" t="str">
        <f>LEFT(NSGGroups[[#This Row],[SubnetNumber(Computed)]]&amp;": "&amp; NSGGroups[[#This Row],[Application(Compluted)]]&amp;", Data Tier ("&amp;NSGGroups[[#This Row],[Tier]]&amp;") "&amp;NSGGroups[[#This Row],[SubDesc(Computed)]], 50)</f>
        <v>161: Users_Tier1, Data Tier (0) Tier 1 administrat</v>
      </c>
      <c r="F128" t="str">
        <f>VLOOKUP(NSGGroups[[#This Row],[SNetID]], Subnets[], 4, FALSE)</f>
        <v>Users_Tier1_161_SLG_prod_w2</v>
      </c>
      <c r="G128" t="str">
        <f>VLOOKUP(NSGGroups[[#This Row],[SNetID]], Subnets[#All], 9, FALSE)</f>
        <v>Users_Tier1</v>
      </c>
      <c r="H128">
        <f>VLOOKUP(NSGGroups[[#This Row],[SNetID]], Subnets[#All], 10, FALSE)</f>
        <v>0</v>
      </c>
      <c r="I128" t="str">
        <f>VLOOKUP(NSGGroups[[#This Row],[SNetID]], Subnets[#All], 11, FALSE)</f>
        <v>Tier 1 administrator - manage enterprise servers, services, and applications</v>
      </c>
      <c r="J128" t="str">
        <f>VLOOKUP(NSGGroups[[#This Row],[SNetID]], Subnets[], 8, FALSE)</f>
        <v>w2</v>
      </c>
      <c r="K128" t="s">
        <v>1166</v>
      </c>
      <c r="L128" t="str">
        <f>VLOOKUP(NSGGroups[[#This Row],[SNetID]], Subnets[], 5, FALSE)</f>
        <v>prod</v>
      </c>
      <c r="M128" t="str">
        <f>VLOOKUP(NSGGroups[[#This Row],[SNetID]], Subnets[#All], 12, FALSE)&amp;VLOOKUP(NSGGroups[[#This Row],[SNetID]], Subnets[#All], 13, FALSE)</f>
        <v>10.131.10.128/25</v>
      </c>
      <c r="N128" s="53" t="str">
        <f>"New-AzureNetworkSecurityGroup -Name '" &amp; NSGGroups[[#This Row],[Title]]&amp; "' -Location $VNETSite_"&amp;NSGGroups[[#This Row],[SiteNumber]]&amp;".location -Label '"&amp;NSGGroups[[#This Row],[Description]]&amp;"'"</f>
        <v>New-AzureNetworkSecurityGroup -Name 'NSG_Users_Tier1_161_SLG_prod_w2' -Location $VNETSite_Services2.location -Label '161: Users_Tier1, Data Tier (0) Tier 1 administrat'</v>
      </c>
    </row>
    <row r="129" spans="1:14" x14ac:dyDescent="0.45">
      <c r="A129" t="s">
        <v>1447</v>
      </c>
      <c r="B129" t="s">
        <v>1276</v>
      </c>
      <c r="C129">
        <f>VLOOKUP(NSGGroups[[#This Row],[SNetID]], Subnets[#All], 2, FALSE)</f>
        <v>162</v>
      </c>
      <c r="D129" t="str">
        <f>"NSG_"&amp;NSGGroups[[#This Row],[SubnetName(computed)]]</f>
        <v>NSG_Users_Tier2_162_SLG_prod_w2</v>
      </c>
      <c r="E129" t="str">
        <f>LEFT(NSGGroups[[#This Row],[SubnetNumber(Computed)]]&amp;": "&amp; NSGGroups[[#This Row],[Application(Compluted)]]&amp;", Data Tier ("&amp;NSGGroups[[#This Row],[Tier]]&amp;") "&amp;NSGGroups[[#This Row],[SubDesc(Computed)]], 50)</f>
        <v>162: Users_Tier2, Data Tier (2) Tier 2 - Control o</v>
      </c>
      <c r="F129" t="str">
        <f>VLOOKUP(NSGGroups[[#This Row],[SNetID]], Subnets[], 4, FALSE)</f>
        <v>Users_Tier2_162_SLG_prod_w2</v>
      </c>
      <c r="G129" t="str">
        <f>VLOOKUP(NSGGroups[[#This Row],[SNetID]], Subnets[#All], 9, FALSE)</f>
        <v>Users_Tier2</v>
      </c>
      <c r="H129">
        <v>2</v>
      </c>
      <c r="I129" t="str">
        <f>VLOOKUP(NSGGroups[[#This Row],[SNetID]], Subnets[#All], 11, FALSE)</f>
        <v>Tier 2 - Control of user workstations and devices. Tier 2 administrator accounts have administrative control of a significant amount of business value that is hosted on user workstations and devices</v>
      </c>
      <c r="J129" t="str">
        <f>VLOOKUP(NSGGroups[[#This Row],[SNetID]], Subnets[], 8, FALSE)</f>
        <v>w2</v>
      </c>
      <c r="K129" t="s">
        <v>1166</v>
      </c>
      <c r="L129" t="str">
        <f>VLOOKUP(NSGGroups[[#This Row],[SNetID]], Subnets[], 5, FALSE)</f>
        <v>prod</v>
      </c>
      <c r="M129" t="str">
        <f>VLOOKUP(NSGGroups[[#This Row],[SNetID]], Subnets[#All], 12, FALSE)&amp;VLOOKUP(NSGGroups[[#This Row],[SNetID]], Subnets[#All], 13, FALSE)</f>
        <v>10.131.11.0/25</v>
      </c>
      <c r="N129" s="53" t="str">
        <f>"New-AzureNetworkSecurityGroup -Name '" &amp; NSGGroups[[#This Row],[Title]]&amp; "' -Location $VNETSite_"&amp;NSGGroups[[#This Row],[SiteNumber]]&amp;".location -Label '"&amp;NSGGroups[[#This Row],[Description]]&amp;"'"</f>
        <v>New-AzureNetworkSecurityGroup -Name 'NSG_Users_Tier2_162_SLG_prod_w2' -Location $VNETSite_Services2.location -Label '162: Users_Tier2, Data Tier (2) Tier 2 - Control o'</v>
      </c>
    </row>
    <row r="130" spans="1:14" x14ac:dyDescent="0.45">
      <c r="A130" t="s">
        <v>1448</v>
      </c>
      <c r="B130" t="s">
        <v>1277</v>
      </c>
      <c r="C130">
        <f>VLOOKUP(NSGGroups[[#This Row],[SNetID]], Subnets[#All], 2, FALSE)</f>
        <v>163</v>
      </c>
      <c r="D130" t="str">
        <f>"NSG_"&amp;NSGGroups[[#This Row],[SubnetName(computed)]]</f>
        <v>NSG_Deprecated_163_SLG_prod_w2</v>
      </c>
      <c r="E130" t="str">
        <f>LEFT(NSGGroups[[#This Row],[SubnetNumber(Computed)]]&amp;": "&amp; NSGGroups[[#This Row],[Application(Compluted)]]&amp;", Data Tier ("&amp;NSGGroups[[#This Row],[Tier]]&amp;") "&amp;NSGGroups[[#This Row],[SubDesc(Computed)]], 50)</f>
        <v>163: Deprecated, Data Tier (0) Tier 3 - Developmen</v>
      </c>
      <c r="F130" t="str">
        <f>VLOOKUP(NSGGroups[[#This Row],[SNetID]], Subnets[], 4, FALSE)</f>
        <v>Deprecated_163_SLG_prod_w2</v>
      </c>
      <c r="G130" t="str">
        <f>VLOOKUP(NSGGroups[[#This Row],[SNetID]], Subnets[#All], 9, FALSE)</f>
        <v>Deprecated</v>
      </c>
      <c r="H130">
        <v>0</v>
      </c>
      <c r="I130" t="str">
        <f>VLOOKUP(NSGGroups[[#This Row],[SNetID]], Subnets[#All], 11, FALSE)</f>
        <v>Tier 3 - Development, Test, Acceptance and Production Lifecycle workstations</v>
      </c>
      <c r="J130" t="str">
        <f>VLOOKUP(NSGGroups[[#This Row],[SNetID]], Subnets[], 8, FALSE)</f>
        <v>w2</v>
      </c>
      <c r="K130" t="s">
        <v>1166</v>
      </c>
      <c r="L130" t="str">
        <f>VLOOKUP(NSGGroups[[#This Row],[SNetID]], Subnets[], 5, FALSE)</f>
        <v>prod</v>
      </c>
      <c r="M130" t="str">
        <f>VLOOKUP(NSGGroups[[#This Row],[SNetID]], Subnets[#All], 12, FALSE)&amp;VLOOKUP(NSGGroups[[#This Row],[SNetID]], Subnets[#All], 13, FALSE)</f>
        <v>10.131.11.128/25</v>
      </c>
      <c r="N130" s="53" t="str">
        <f>"New-AzureNetworkSecurityGroup -Name '" &amp; NSGGroups[[#This Row],[Title]]&amp; "' -Location $VNETSite_"&amp;NSGGroups[[#This Row],[SiteNumber]]&amp;".location -Label '"&amp;NSGGroups[[#This Row],[Description]]&amp;"'"</f>
        <v>New-AzureNetworkSecurityGroup -Name 'NSG_Deprecated_163_SLG_prod_w2' -Location $VNETSite_Services2.location -Label '163: Deprecated, Data Tier (0) Tier 3 - Developmen'</v>
      </c>
    </row>
    <row r="131" spans="1:14" x14ac:dyDescent="0.45">
      <c r="A131" t="s">
        <v>1449</v>
      </c>
      <c r="B131" t="s">
        <v>1278</v>
      </c>
      <c r="C131">
        <f>VLOOKUP(NSGGroups[[#This Row],[SNetID]], Subnets[#All], 2, FALSE)</f>
        <v>164</v>
      </c>
      <c r="D131" t="str">
        <f>"NSG_"&amp;NSGGroups[[#This Row],[SubnetName(computed)]]</f>
        <v>NSG_Deprecated_164_SLG_prod_w2</v>
      </c>
      <c r="E131" t="str">
        <f>LEFT(NSGGroups[[#This Row],[SubnetNumber(Computed)]]&amp;": "&amp; NSGGroups[[#This Row],[Application(Compluted)]]&amp;", Data Tier ("&amp;NSGGroups[[#This Row],[Tier]]&amp;") "&amp;NSGGroups[[#This Row],[SubDesc(Computed)]], 50)</f>
        <v>164: Deprecated, Data Tier (0) Tier 4 - Corp Netwo</v>
      </c>
      <c r="F131" t="str">
        <f>VLOOKUP(NSGGroups[[#This Row],[SNetID]], Subnets[], 4, FALSE)</f>
        <v>Deprecated_164_SLG_prod_w2</v>
      </c>
      <c r="G131" t="str">
        <f>VLOOKUP(NSGGroups[[#This Row],[SNetID]], Subnets[#All], 9, FALSE)</f>
        <v>Deprecated</v>
      </c>
      <c r="H131">
        <f>VLOOKUP(NSGGroups[[#This Row],[SNetID]], Subnets[#All], 10, FALSE)</f>
        <v>0</v>
      </c>
      <c r="I131" t="str">
        <f>VLOOKUP(NSGGroups[[#This Row],[SNetID]], Subnets[#All], 11, FALSE)</f>
        <v>Tier 4 - Corp Network users for employees</v>
      </c>
      <c r="J131" t="str">
        <f>VLOOKUP(NSGGroups[[#This Row],[SNetID]], Subnets[], 8, FALSE)</f>
        <v>w2</v>
      </c>
      <c r="K131" t="s">
        <v>1166</v>
      </c>
      <c r="L131" t="str">
        <f>VLOOKUP(NSGGroups[[#This Row],[SNetID]], Subnets[], 5, FALSE)</f>
        <v>prod</v>
      </c>
      <c r="M131" t="str">
        <f>VLOOKUP(NSGGroups[[#This Row],[SNetID]], Subnets[#All], 12, FALSE)&amp;VLOOKUP(NSGGroups[[#This Row],[SNetID]], Subnets[#All], 13, FALSE)</f>
        <v>10.131.12.0/25</v>
      </c>
      <c r="N131" s="53" t="str">
        <f>"New-AzureNetworkSecurityGroup -Name '" &amp; NSGGroups[[#This Row],[Title]]&amp; "' -Location $VNETSite_"&amp;NSGGroups[[#This Row],[SiteNumber]]&amp;".location -Label '"&amp;NSGGroups[[#This Row],[Description]]&amp;"'"</f>
        <v>New-AzureNetworkSecurityGroup -Name 'NSG_Deprecated_164_SLG_prod_w2' -Location $VNETSite_Services2.location -Label '164: Deprecated, Data Tier (0) Tier 4 - Corp Netwo'</v>
      </c>
    </row>
    <row r="132" spans="1:14" x14ac:dyDescent="0.45">
      <c r="A132" t="s">
        <v>1450</v>
      </c>
      <c r="B132" t="s">
        <v>1279</v>
      </c>
      <c r="C132">
        <f>VLOOKUP(NSGGroups[[#This Row],[SNetID]], Subnets[#All], 2, FALSE)</f>
        <v>170</v>
      </c>
      <c r="D132" t="str">
        <f>"NSG_"&amp;NSGGroups[[#This Row],[SubnetName(computed)]]</f>
        <v>NSG_Future_170_SLG_prod_w2</v>
      </c>
      <c r="E132" t="str">
        <f>LEFT(NSGGroups[[#This Row],[SubnetNumber(Computed)]]&amp;": "&amp; NSGGroups[[#This Row],[Application(Compluted)]]&amp;", Data Tier ("&amp;NSGGroups[[#This Row],[Tier]]&amp;") "&amp;NSGGroups[[#This Row],[SubDesc(Computed)]], 50)</f>
        <v>170: Future, Data Tier (0) Future Consideration</v>
      </c>
      <c r="F132" t="str">
        <f>VLOOKUP(NSGGroups[[#This Row],[SNetID]], Subnets[], 4, FALSE)</f>
        <v>Future_170_SLG_prod_w2</v>
      </c>
      <c r="G132" t="str">
        <f>VLOOKUP(NSGGroups[[#This Row],[SNetID]], Subnets[#All], 9, FALSE)</f>
        <v>Future</v>
      </c>
      <c r="H132">
        <f>VLOOKUP(NSGGroups[[#This Row],[SNetID]], Subnets[#All], 10, FALSE)</f>
        <v>0</v>
      </c>
      <c r="I132" t="str">
        <f>VLOOKUP(NSGGroups[[#This Row],[SNetID]], Subnets[#All], 11, FALSE)</f>
        <v>Future Consideration</v>
      </c>
      <c r="J132" t="str">
        <f>VLOOKUP(NSGGroups[[#This Row],[SNetID]], Subnets[], 8, FALSE)</f>
        <v>w2</v>
      </c>
      <c r="K132" t="s">
        <v>1178</v>
      </c>
      <c r="L132" t="str">
        <f>VLOOKUP(NSGGroups[[#This Row],[SNetID]], Subnets[], 5, FALSE)</f>
        <v>prod</v>
      </c>
      <c r="M132" t="str">
        <f>VLOOKUP(NSGGroups[[#This Row],[SNetID]], Subnets[#All], 12, FALSE)&amp;VLOOKUP(NSGGroups[[#This Row],[SNetID]], Subnets[#All], 13, FALSE)</f>
        <v>10.131.13.0/24</v>
      </c>
      <c r="N132" s="53" t="str">
        <f>"New-AzureNetworkSecurityGroup -Name '" &amp; NSGGroups[[#This Row],[Title]]&amp; "' -Location $VNETSite_"&amp;NSGGroups[[#This Row],[SiteNumber]]&amp;".location -Label '"&amp;NSGGroups[[#This Row],[Description]]&amp;"'"</f>
        <v>New-AzureNetworkSecurityGroup -Name 'NSG_Future_170_SLG_prod_w2' -Location $VNETSite_Storage1.location -Label '170: Future, Data Tier (0) Future Consideration'</v>
      </c>
    </row>
    <row r="133" spans="1:14" x14ac:dyDescent="0.45">
      <c r="A133" t="s">
        <v>1451</v>
      </c>
      <c r="B133" t="s">
        <v>1280</v>
      </c>
      <c r="C133">
        <f>VLOOKUP(NSGGroups[[#This Row],[SNetID]], Subnets[#All], 2, FALSE)</f>
        <v>170</v>
      </c>
      <c r="D133" t="str">
        <f>"NSG_"&amp;NSGGroups[[#This Row],[SubnetName(computed)]]</f>
        <v>NSG_Future_170_SLG_prod_w2</v>
      </c>
      <c r="E133" t="str">
        <f>LEFT(NSGGroups[[#This Row],[SubnetNumber(Computed)]]&amp;": "&amp; NSGGroups[[#This Row],[Application(Compluted)]]&amp;", Data Tier ("&amp;NSGGroups[[#This Row],[Tier]]&amp;") "&amp;NSGGroups[[#This Row],[SubDesc(Computed)]], 50)</f>
        <v>170: Future, Data Tier (0) Future Consideration</v>
      </c>
      <c r="F133" t="str">
        <f>VLOOKUP(NSGGroups[[#This Row],[SNetID]], Subnets[], 4, FALSE)</f>
        <v>Future_170_SLG_prod_w2</v>
      </c>
      <c r="G133" t="str">
        <f>VLOOKUP(NSGGroups[[#This Row],[SNetID]], Subnets[#All], 9, FALSE)</f>
        <v>Future</v>
      </c>
      <c r="H133">
        <f>VLOOKUP(NSGGroups[[#This Row],[SNetID]], Subnets[#All], 10, FALSE)</f>
        <v>0</v>
      </c>
      <c r="I133" t="str">
        <f>VLOOKUP(NSGGroups[[#This Row],[SNetID]], Subnets[#All], 11, FALSE)</f>
        <v>Future Consideration</v>
      </c>
      <c r="J133" t="str">
        <f>VLOOKUP(NSGGroups[[#This Row],[SNetID]], Subnets[], 8, FALSE)</f>
        <v>w2</v>
      </c>
      <c r="K133" t="s">
        <v>1178</v>
      </c>
      <c r="L133" t="str">
        <f>VLOOKUP(NSGGroups[[#This Row],[SNetID]], Subnets[], 5, FALSE)</f>
        <v>prod</v>
      </c>
      <c r="M133" t="str">
        <f>VLOOKUP(NSGGroups[[#This Row],[SNetID]], Subnets[#All], 12, FALSE)&amp;VLOOKUP(NSGGroups[[#This Row],[SNetID]], Subnets[#All], 13, FALSE)</f>
        <v>10.131.14.0/24</v>
      </c>
      <c r="N133" s="53" t="str">
        <f>"New-AzureNetworkSecurityGroup -Name '" &amp; NSGGroups[[#This Row],[Title]]&amp; "' -Location $VNETSite_"&amp;NSGGroups[[#This Row],[SiteNumber]]&amp;".location -Label '"&amp;NSGGroups[[#This Row],[Description]]&amp;"'"</f>
        <v>New-AzureNetworkSecurityGroup -Name 'NSG_Future_170_SLG_prod_w2' -Location $VNETSite_Storage1.location -Label '170: Future, Data Tier (0) Future Consideration'</v>
      </c>
    </row>
    <row r="134" spans="1:14" x14ac:dyDescent="0.45">
      <c r="A134" t="s">
        <v>1452</v>
      </c>
      <c r="B134" t="s">
        <v>1281</v>
      </c>
      <c r="C134">
        <f>VLOOKUP(NSGGroups[[#This Row],[SNetID]], Subnets[#All], 2, FALSE)</f>
        <v>199</v>
      </c>
      <c r="D134" t="str">
        <f>"NSG_"&amp;NSGGroups[[#This Row],[SubnetName(computed)]]</f>
        <v>NSG_Gateway_199_SLG_prod_w2</v>
      </c>
      <c r="E134" t="str">
        <f>LEFT(NSGGroups[[#This Row],[SubnetNumber(Computed)]]&amp;": "&amp; NSGGroups[[#This Row],[Application(Compluted)]]&amp;", Data Tier ("&amp;NSGGroups[[#This Row],[Tier]]&amp;") "&amp;NSGGroups[[#This Row],[SubDesc(Computed)]], 50)</f>
        <v>199: Gateway, Data Tier (1) Gateway Services to Lo</v>
      </c>
      <c r="F134" t="str">
        <f>VLOOKUP(NSGGroups[[#This Row],[SNetID]], Subnets[], 4, FALSE)</f>
        <v>Gateway_199_SLG_prod_w2</v>
      </c>
      <c r="G134" t="str">
        <f>VLOOKUP(NSGGroups[[#This Row],[SNetID]], Subnets[#All], 9, FALSE)</f>
        <v>Gateway</v>
      </c>
      <c r="H134">
        <v>1</v>
      </c>
      <c r="I134" t="str">
        <f>VLOOKUP(NSGGroups[[#This Row],[SNetID]], Subnets[#All], 11, FALSE)</f>
        <v>Gateway Services to Local Networks</v>
      </c>
      <c r="J134" t="str">
        <f>VLOOKUP(NSGGroups[[#This Row],[SNetID]], Subnets[], 8, FALSE)</f>
        <v>w2</v>
      </c>
      <c r="K134" t="s">
        <v>1178</v>
      </c>
      <c r="L134" t="str">
        <f>VLOOKUP(NSGGroups[[#This Row],[SNetID]], Subnets[], 5, FALSE)</f>
        <v>prod</v>
      </c>
      <c r="M134" t="str">
        <f>VLOOKUP(NSGGroups[[#This Row],[SNetID]], Subnets[#All], 12, FALSE)&amp;VLOOKUP(NSGGroups[[#This Row],[SNetID]], Subnets[#All], 13, FALSE)</f>
        <v>10.131.15.248/29</v>
      </c>
      <c r="N134" s="53" t="str">
        <f>"New-AzureNetworkSecurityGroup -Name '" &amp; NSGGroups[[#This Row],[Title]]&amp; "' -Location $VNETSite_"&amp;NSGGroups[[#This Row],[SiteNumber]]&amp;".location -Label '"&amp;NSGGroups[[#This Row],[Description]]&amp;"'"</f>
        <v>New-AzureNetworkSecurityGroup -Name 'NSG_Gateway_199_SLG_prod_w2' -Location $VNETSite_Storage1.location -Label '199: Gateway, Data Tier (1) Gateway Services to Lo'</v>
      </c>
    </row>
    <row r="135" spans="1:14" x14ac:dyDescent="0.45">
      <c r="A135" t="s">
        <v>1453</v>
      </c>
      <c r="B135" t="s">
        <v>1282</v>
      </c>
      <c r="C135">
        <f>VLOOKUP(NSGGroups[[#This Row],[SNetID]], Subnets[#All], 2, FALSE)</f>
        <v>110</v>
      </c>
      <c r="D135" t="str">
        <f>"NSG_"&amp;NSGGroups[[#This Row],[SubnetName(computed)]]</f>
        <v>NSG_Web_110_SLG_prod_w1</v>
      </c>
      <c r="E135" t="str">
        <f>LEFT(NSGGroups[[#This Row],[SubnetNumber(Computed)]]&amp;": "&amp; NSGGroups[[#This Row],[Application(Compluted)]]&amp;", Data Tier ("&amp;NSGGroups[[#This Row],[Tier]]&amp;") "&amp;NSGGroups[[#This Row],[SubDesc(Computed)]], 50)</f>
        <v>110: Web, Data Tier (0) HTTP and HTTPS services</v>
      </c>
      <c r="F135" t="str">
        <f>VLOOKUP(NSGGroups[[#This Row],[SNetID]], Subnets[], 4, FALSE)</f>
        <v>Web_110_SLG_prod_w1</v>
      </c>
      <c r="G135" t="str">
        <f>VLOOKUP(NSGGroups[[#This Row],[SNetID]], Subnets[#All], 9, FALSE)</f>
        <v>Web</v>
      </c>
      <c r="H135">
        <f>VLOOKUP(NSGGroups[[#This Row],[SNetID]], Subnets[#All], 10, FALSE)</f>
        <v>0</v>
      </c>
      <c r="I135" t="str">
        <f>VLOOKUP(NSGGroups[[#This Row],[SNetID]], Subnets[#All], 11, FALSE)</f>
        <v>HTTP and HTTPS services</v>
      </c>
      <c r="J135" t="str">
        <f>VLOOKUP(NSGGroups[[#This Row],[SNetID]], Subnets[], 8, FALSE)</f>
        <v>w1</v>
      </c>
      <c r="K135" t="s">
        <v>1167</v>
      </c>
      <c r="L135" t="str">
        <f>VLOOKUP(NSGGroups[[#This Row],[SNetID]], Subnets[], 5, FALSE)</f>
        <v>prod</v>
      </c>
      <c r="M135" t="str">
        <f>VLOOKUP(NSGGroups[[#This Row],[SNetID]], Subnets[#All], 12, FALSE)&amp;VLOOKUP(NSGGroups[[#This Row],[SNetID]], Subnets[#All], 13, FALSE)</f>
        <v>10.131.64.0/24</v>
      </c>
      <c r="N135" s="53" t="str">
        <f>"New-AzureNetworkSecurityGroup -Name '" &amp; NSGGroups[[#This Row],[Title]]&amp; "' -Location $VNETSite_"&amp;NSGGroups[[#This Row],[SiteNumber]]&amp;".location -Label '"&amp;NSGGroups[[#This Row],[Description]]&amp;"'"</f>
        <v>New-AzureNetworkSecurityGroup -Name 'NSG_Web_110_SLG_prod_w1' -Location $VNETSite_Storage2.location -Label '110: Web, Data Tier (0) HTTP and HTTPS services'</v>
      </c>
    </row>
    <row r="136" spans="1:14" x14ac:dyDescent="0.45">
      <c r="A136" t="s">
        <v>1454</v>
      </c>
      <c r="B136" t="s">
        <v>1283</v>
      </c>
      <c r="C136">
        <f>VLOOKUP(NSGGroups[[#This Row],[SNetID]], Subnets[#All], 2, FALSE)</f>
        <v>120</v>
      </c>
      <c r="D136" t="str">
        <f>"NSG_"&amp;NSGGroups[[#This Row],[SubnetName(computed)]]</f>
        <v>NSG_App_120_SLG_prod_w1</v>
      </c>
      <c r="E136" t="str">
        <f>LEFT(NSGGroups[[#This Row],[SubnetNumber(Computed)]]&amp;": "&amp; NSGGroups[[#This Row],[Application(Compluted)]]&amp;", Data Tier ("&amp;NSGGroups[[#This Row],[Tier]]&amp;") "&amp;NSGGroups[[#This Row],[SubDesc(Computed)]], 50)</f>
        <v>120: App, Data Tier (2) Web Services, OEM applicat</v>
      </c>
      <c r="F136" t="str">
        <f>VLOOKUP(NSGGroups[[#This Row],[SNetID]], Subnets[], 4, FALSE)</f>
        <v>App_120_SLG_prod_w1</v>
      </c>
      <c r="G136" t="str">
        <f>VLOOKUP(NSGGroups[[#This Row],[SNetID]], Subnets[#All], 9, FALSE)</f>
        <v>App</v>
      </c>
      <c r="H136">
        <f>VLOOKUP(NSGGroups[[#This Row],[SNetID]], Subnets[#All], 10, FALSE)</f>
        <v>2</v>
      </c>
      <c r="I136" t="str">
        <f>VLOOKUP(NSGGroups[[#This Row],[SNetID]], Subnets[#All], 11, FALSE)</f>
        <v>Web Services, OEM applications</v>
      </c>
      <c r="J136" t="str">
        <f>VLOOKUP(NSGGroups[[#This Row],[SNetID]], Subnets[], 8, FALSE)</f>
        <v>w1</v>
      </c>
      <c r="K136" t="s">
        <v>1167</v>
      </c>
      <c r="L136" t="str">
        <f>VLOOKUP(NSGGroups[[#This Row],[SNetID]], Subnets[], 5, FALSE)</f>
        <v>prod</v>
      </c>
      <c r="M136" t="str">
        <f>VLOOKUP(NSGGroups[[#This Row],[SNetID]], Subnets[#All], 12, FALSE)&amp;VLOOKUP(NSGGroups[[#This Row],[SNetID]], Subnets[#All], 13, FALSE)</f>
        <v>10.131.66.0/24</v>
      </c>
      <c r="N136" s="53" t="str">
        <f>"New-AzureNetworkSecurityGroup -Name '" &amp; NSGGroups[[#This Row],[Title]]&amp; "' -Location $VNETSite_"&amp;NSGGroups[[#This Row],[SiteNumber]]&amp;".location -Label '"&amp;NSGGroups[[#This Row],[Description]]&amp;"'"</f>
        <v>New-AzureNetworkSecurityGroup -Name 'NSG_App_120_SLG_prod_w1' -Location $VNETSite_Storage2.location -Label '120: App, Data Tier (2) Web Services, OEM applicat'</v>
      </c>
    </row>
    <row r="137" spans="1:14" x14ac:dyDescent="0.45">
      <c r="A137" t="s">
        <v>1455</v>
      </c>
      <c r="B137" t="s">
        <v>1284</v>
      </c>
      <c r="C137">
        <f>VLOOKUP(NSGGroups[[#This Row],[SNetID]], Subnets[#All], 2, FALSE)</f>
        <v>130</v>
      </c>
      <c r="D137" t="str">
        <f>"NSG_"&amp;NSGGroups[[#This Row],[SubnetName(computed)]]</f>
        <v>NSG_Database_130_SLG_prod_w1</v>
      </c>
      <c r="E137" t="str">
        <f>LEFT(NSGGroups[[#This Row],[SubnetNumber(Computed)]]&amp;": "&amp; NSGGroups[[#This Row],[Application(Compluted)]]&amp;", Data Tier ("&amp;NSGGroups[[#This Row],[Tier]]&amp;") "&amp;NSGGroups[[#This Row],[SubDesc(Computed)]], 50)</f>
        <v>130: Database, Data Tier (1) Data for Applications</v>
      </c>
      <c r="F137" t="str">
        <f>VLOOKUP(NSGGroups[[#This Row],[SNetID]], Subnets[], 4, FALSE)</f>
        <v>Database_130_SLG_prod_w1</v>
      </c>
      <c r="G137" t="str">
        <f>VLOOKUP(NSGGroups[[#This Row],[SNetID]], Subnets[#All], 9, FALSE)</f>
        <v>Database</v>
      </c>
      <c r="H137">
        <v>1</v>
      </c>
      <c r="I137" t="str">
        <f>VLOOKUP(NSGGroups[[#This Row],[SNetID]], Subnets[#All], 11, FALSE)</f>
        <v>Data for Applications</v>
      </c>
      <c r="J137" t="str">
        <f>VLOOKUP(NSGGroups[[#This Row],[SNetID]], Subnets[], 8, FALSE)</f>
        <v>w1</v>
      </c>
      <c r="K137" t="s">
        <v>1167</v>
      </c>
      <c r="L137" t="str">
        <f>VLOOKUP(NSGGroups[[#This Row],[SNetID]], Subnets[], 5, FALSE)</f>
        <v>prod</v>
      </c>
      <c r="M137" t="str">
        <f>VLOOKUP(NSGGroups[[#This Row],[SNetID]], Subnets[#All], 12, FALSE)&amp;VLOOKUP(NSGGroups[[#This Row],[SNetID]], Subnets[#All], 13, FALSE)</f>
        <v>10.131.68.0/24</v>
      </c>
      <c r="N137" s="53" t="str">
        <f>"New-AzureNetworkSecurityGroup -Name '" &amp; NSGGroups[[#This Row],[Title]]&amp; "' -Location $VNETSite_"&amp;NSGGroups[[#This Row],[SiteNumber]]&amp;".location -Label '"&amp;NSGGroups[[#This Row],[Description]]&amp;"'"</f>
        <v>New-AzureNetworkSecurityGroup -Name 'NSG_Database_130_SLG_prod_w1' -Location $VNETSite_Storage2.location -Label '130: Database, Data Tier (1) Data for Applications'</v>
      </c>
    </row>
    <row r="138" spans="1:14" x14ac:dyDescent="0.45">
      <c r="A138" t="s">
        <v>979</v>
      </c>
    </row>
    <row r="144" spans="1:14" x14ac:dyDescent="0.45">
      <c r="J144" t="s">
        <v>1169</v>
      </c>
    </row>
    <row r="145" spans="10:10" x14ac:dyDescent="0.45">
      <c r="J145" t="s">
        <v>1170</v>
      </c>
    </row>
  </sheetData>
  <sortState ref="A72">
    <sortCondition ref="A72"/>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7A1B6A7C-A9B4-41B2-BB98-1F6A3236AD19}">
  <ds:schemaRefs>
    <ds:schemaRef ds:uri="http://purl.org/dc/elements/1.1/"/>
    <ds:schemaRef ds:uri="http://schemas.microsoft.com/office/2006/metadata/properties"/>
    <ds:schemaRef ds:uri="http://www.w3.org/XML/1998/namespace"/>
    <ds:schemaRef ds:uri="http://purl.org/dc/dcmitype/"/>
    <ds:schemaRef ds:uri="http://schemas.microsoft.com/sharepoint/v3"/>
    <ds:schemaRef ds:uri="http://schemas.microsoft.com/office/2006/documentManagement/types"/>
    <ds:schemaRef ds:uri="c0a86418-2b64-471f-9481-49bf08eb0dd7"/>
    <ds:schemaRef ds:uri="http://purl.org/dc/terms/"/>
    <ds:schemaRef ds:uri="http://schemas.microsoft.com/office/infopath/2007/PartnerControls"/>
    <ds:schemaRef ds:uri="http://schemas.openxmlformats.org/package/2006/metadata/core-properties"/>
    <ds:schemaRef ds:uri="1f65bb1f-ea05-496a-8d40-636bcb76c6ea"/>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Notes</vt:lpstr>
      <vt:lpstr>Departments</vt:lpstr>
      <vt:lpstr>Subscriptions</vt:lpstr>
      <vt:lpstr>Partner</vt:lpstr>
      <vt:lpstr>Locations</vt:lpstr>
      <vt:lpstr>VNETS</vt:lpstr>
      <vt:lpstr>Subnets</vt:lpstr>
      <vt:lpstr>LclNtwrk</vt:lpstr>
      <vt:lpstr>NSGGroups</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2016-09-12T18:50:08Z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