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ropbox\Notebooks\MobiTool update\"/>
    </mc:Choice>
  </mc:AlternateContent>
  <bookViews>
    <workbookView xWindow="0" yWindow="0" windowWidth="23040" windowHeight="9192" activeTab="1"/>
  </bookViews>
  <sheets>
    <sheet name="Readmefirst" sheetId="24" r:id="rId1"/>
    <sheet name="vehicles specifications" sheetId="1" r:id="rId2"/>
    <sheet name="ei names mapping" sheetId="7" r:id="rId3"/>
    <sheet name="EoL and shipping" sheetId="25" r:id="rId4"/>
    <sheet name="abrasion emissions" sheetId="5" r:id="rId5"/>
    <sheet name="energy battery" sheetId="3" r:id="rId6"/>
    <sheet name="fuels and tailpipe emissions" sheetId="2" r:id="rId7"/>
    <sheet name="lci-kick scooter" sheetId="6" r:id="rId8"/>
    <sheet name="lci-motorbikes&lt;4kW" sheetId="19" r:id="rId9"/>
    <sheet name="lci-motorbikes-4-11kW" sheetId="20" r:id="rId10"/>
    <sheet name="lci-motorbikes-11-35kW" sheetId="21" r:id="rId11"/>
    <sheet name="lci-motorbikes&gt;35kW" sheetId="22" r:id="rId12"/>
    <sheet name="lci-motorbikes-gas-4-11kW" sheetId="16" r:id="rId13"/>
    <sheet name="lci-motorbikes-gas-11-35kW" sheetId="17" r:id="rId14"/>
    <sheet name="lci-motorbikes-gas-&gt;35kW" sheetId="18" r:id="rId15"/>
    <sheet name="lci-scooter&lt;4kW" sheetId="28" r:id="rId16"/>
    <sheet name="lci-scooter-4-11kW" sheetId="14" r:id="rId17"/>
    <sheet name="lci-scooter-electric&lt;4kW" sheetId="29" r:id="rId18"/>
    <sheet name="lci-scooter-electric-4-11kW" sheetId="15" r:id="rId19"/>
    <sheet name="lci-moped" sheetId="13" r:id="rId20"/>
    <sheet name="lci-bicycle" sheetId="8" r:id="rId21"/>
    <sheet name="lci-electric-bicycle-25kmh" sheetId="9" r:id="rId22"/>
    <sheet name="lci-electric-bicycle-45kmh" sheetId="10" r:id="rId23"/>
    <sheet name="lci-electric-bicycle-cargo" sheetId="11" r:id="rId24"/>
    <sheet name="lci-tram" sheetId="12" r:id="rId25"/>
    <sheet name="lci-others" sheetId="23" r:id="rId26"/>
  </sheets>
  <calcPr calcId="162913"/>
</workbook>
</file>

<file path=xl/calcChain.xml><?xml version="1.0" encoding="utf-8"?>
<calcChain xmlns="http://schemas.openxmlformats.org/spreadsheetml/2006/main">
  <c r="CI3" i="1" l="1"/>
  <c r="CI28" i="1"/>
  <c r="CJ28" i="1"/>
  <c r="CK28" i="1"/>
  <c r="CI29" i="1"/>
  <c r="CJ29" i="1"/>
  <c r="CK29" i="1"/>
  <c r="CI30" i="1"/>
  <c r="CJ30" i="1"/>
  <c r="CK30" i="1"/>
  <c r="CI31" i="1"/>
  <c r="CJ31" i="1"/>
  <c r="CK31" i="1"/>
  <c r="CI32" i="1"/>
  <c r="CJ32" i="1"/>
  <c r="CK32" i="1"/>
  <c r="CI33" i="1"/>
  <c r="CJ33" i="1"/>
  <c r="CK33" i="1"/>
  <c r="CI34" i="1"/>
  <c r="CJ34" i="1"/>
  <c r="CK34" i="1"/>
  <c r="CI35" i="1"/>
  <c r="CJ35" i="1"/>
  <c r="CK35" i="1"/>
  <c r="CI36" i="1"/>
  <c r="CJ36" i="1"/>
  <c r="CK36" i="1"/>
  <c r="CI37" i="1"/>
  <c r="CJ37" i="1"/>
  <c r="CK37" i="1"/>
  <c r="CI38" i="1"/>
  <c r="CJ38" i="1"/>
  <c r="CK38" i="1"/>
  <c r="CI39" i="1"/>
  <c r="CJ39" i="1"/>
  <c r="CK39" i="1"/>
  <c r="CI40" i="1"/>
  <c r="CJ40" i="1"/>
  <c r="CK40" i="1"/>
  <c r="CI41" i="1"/>
  <c r="CJ41" i="1"/>
  <c r="CK41" i="1"/>
  <c r="CI42" i="1"/>
  <c r="CJ42" i="1"/>
  <c r="CK42" i="1"/>
  <c r="CI43" i="1"/>
  <c r="CJ43" i="1"/>
  <c r="CK43" i="1"/>
  <c r="CI44" i="1"/>
  <c r="CJ44" i="1"/>
  <c r="CK44" i="1"/>
  <c r="CI45" i="1"/>
  <c r="CJ45" i="1"/>
  <c r="CK45" i="1"/>
  <c r="CI46" i="1"/>
  <c r="CJ46" i="1"/>
  <c r="CK46" i="1"/>
  <c r="CI47" i="1"/>
  <c r="CJ47" i="1"/>
  <c r="CK47" i="1"/>
  <c r="CI48" i="1"/>
  <c r="CJ48" i="1"/>
  <c r="CK48" i="1"/>
  <c r="CI49" i="1"/>
  <c r="CJ49" i="1"/>
  <c r="CK49" i="1"/>
  <c r="CI50" i="1"/>
  <c r="CJ50" i="1"/>
  <c r="CK50" i="1"/>
  <c r="CI51" i="1"/>
  <c r="CJ51" i="1"/>
  <c r="CK51" i="1"/>
  <c r="CI52" i="1"/>
  <c r="CJ52" i="1"/>
  <c r="CK52" i="1"/>
  <c r="CI53" i="1"/>
  <c r="CJ53" i="1"/>
  <c r="CK53" i="1"/>
  <c r="CI54" i="1"/>
  <c r="CJ54" i="1"/>
  <c r="CK54" i="1"/>
  <c r="CI55" i="1"/>
  <c r="CJ55" i="1"/>
  <c r="CK55" i="1"/>
  <c r="CI56" i="1"/>
  <c r="CJ56" i="1"/>
  <c r="CK56" i="1"/>
  <c r="CI57" i="1"/>
  <c r="CJ57" i="1"/>
  <c r="CK57" i="1"/>
  <c r="CI58" i="1"/>
  <c r="CJ58" i="1"/>
  <c r="CK58" i="1"/>
  <c r="CI59" i="1"/>
  <c r="CJ59" i="1"/>
  <c r="CK59" i="1"/>
  <c r="CI60" i="1"/>
  <c r="CJ60" i="1"/>
  <c r="CK60" i="1"/>
  <c r="CI61" i="1"/>
  <c r="CJ61" i="1"/>
  <c r="CK61" i="1"/>
  <c r="CI62" i="1"/>
  <c r="CJ62" i="1"/>
  <c r="CK62" i="1"/>
  <c r="CI63" i="1"/>
  <c r="CJ63" i="1"/>
  <c r="CK63" i="1"/>
  <c r="CI64" i="1"/>
  <c r="CJ64" i="1"/>
  <c r="CK64" i="1"/>
  <c r="CI65" i="1"/>
  <c r="CJ65" i="1"/>
  <c r="CK65" i="1"/>
  <c r="CI66" i="1"/>
  <c r="CJ66" i="1"/>
  <c r="CK66" i="1"/>
  <c r="CI67" i="1"/>
  <c r="CJ67" i="1"/>
  <c r="CK67" i="1"/>
  <c r="CI68" i="1"/>
  <c r="CJ68" i="1"/>
  <c r="CK68" i="1"/>
  <c r="CI69" i="1"/>
  <c r="CJ69" i="1"/>
  <c r="CK69" i="1"/>
  <c r="CI70" i="1"/>
  <c r="CJ70" i="1"/>
  <c r="CK70" i="1"/>
  <c r="CI71" i="1"/>
  <c r="CJ71" i="1"/>
  <c r="CK71" i="1"/>
  <c r="CI72" i="1"/>
  <c r="CJ72" i="1"/>
  <c r="CK72" i="1"/>
  <c r="CI73" i="1"/>
  <c r="CJ73" i="1"/>
  <c r="CK73" i="1"/>
  <c r="CI74" i="1"/>
  <c r="CJ74" i="1"/>
  <c r="CK74" i="1"/>
  <c r="CI75" i="1"/>
  <c r="CJ75" i="1"/>
  <c r="CK75" i="1"/>
  <c r="CI76" i="1"/>
  <c r="CJ76" i="1"/>
  <c r="CK76" i="1"/>
  <c r="CI77" i="1"/>
  <c r="CJ77" i="1"/>
  <c r="CK77" i="1"/>
  <c r="CI78" i="1"/>
  <c r="CJ78" i="1"/>
  <c r="CK78" i="1"/>
  <c r="CI79" i="1"/>
  <c r="CJ79" i="1"/>
  <c r="CK79" i="1"/>
  <c r="CI80" i="1"/>
  <c r="CJ80" i="1"/>
  <c r="CK80" i="1"/>
  <c r="CI81" i="1"/>
  <c r="CJ81" i="1"/>
  <c r="CK81" i="1"/>
  <c r="CI82" i="1"/>
  <c r="CJ82" i="1"/>
  <c r="CK82" i="1"/>
  <c r="CI83" i="1"/>
  <c r="CJ83" i="1"/>
  <c r="CK83" i="1"/>
  <c r="CI84" i="1"/>
  <c r="CJ84" i="1"/>
  <c r="CK84" i="1"/>
  <c r="CI85" i="1"/>
  <c r="CJ85" i="1"/>
  <c r="CK85" i="1"/>
  <c r="CI86" i="1"/>
  <c r="CJ86" i="1"/>
  <c r="CK86" i="1"/>
  <c r="CK27" i="1"/>
  <c r="CJ27" i="1"/>
  <c r="CI27" i="1"/>
  <c r="CK4" i="1"/>
  <c r="CK5" i="1"/>
  <c r="CK6" i="1"/>
  <c r="CK7" i="1"/>
  <c r="CK8" i="1"/>
  <c r="CK9" i="1"/>
  <c r="CK10" i="1"/>
  <c r="CK11" i="1"/>
  <c r="CK12" i="1"/>
  <c r="CK13" i="1"/>
  <c r="CK14" i="1"/>
  <c r="CK15" i="1"/>
  <c r="CK16" i="1"/>
  <c r="CK17" i="1"/>
  <c r="CK18" i="1"/>
  <c r="CK19" i="1"/>
  <c r="CK20" i="1"/>
  <c r="CK21" i="1"/>
  <c r="CK22" i="1"/>
  <c r="CK3" i="1"/>
  <c r="CJ4" i="1"/>
  <c r="CJ5" i="1"/>
  <c r="CJ6" i="1"/>
  <c r="CJ7" i="1"/>
  <c r="CJ8" i="1"/>
  <c r="CJ9" i="1"/>
  <c r="CJ10" i="1"/>
  <c r="CJ11" i="1"/>
  <c r="CJ12" i="1"/>
  <c r="CJ13" i="1"/>
  <c r="CJ14" i="1"/>
  <c r="CJ15" i="1"/>
  <c r="CJ16" i="1"/>
  <c r="CJ17" i="1"/>
  <c r="CJ18" i="1"/>
  <c r="CJ19" i="1"/>
  <c r="CJ20" i="1"/>
  <c r="CJ21" i="1"/>
  <c r="CJ22" i="1"/>
  <c r="CJ3" i="1"/>
  <c r="CI4" i="1"/>
  <c r="CI5" i="1"/>
  <c r="CI6" i="1"/>
  <c r="CI7" i="1"/>
  <c r="CI8" i="1"/>
  <c r="CI9" i="1"/>
  <c r="CI10" i="1"/>
  <c r="CI11" i="1"/>
  <c r="CI12" i="1"/>
  <c r="CI13" i="1"/>
  <c r="CI14" i="1"/>
  <c r="CI15" i="1"/>
  <c r="CI16" i="1"/>
  <c r="CI17" i="1"/>
  <c r="CI18" i="1"/>
  <c r="CI19" i="1"/>
  <c r="CI20" i="1"/>
  <c r="CI21" i="1"/>
  <c r="CI22" i="1"/>
  <c r="U49" i="1"/>
  <c r="L220" i="7" l="1"/>
  <c r="L219" i="7"/>
  <c r="L218" i="7"/>
  <c r="L217" i="7"/>
  <c r="L216" i="7"/>
  <c r="L215" i="7"/>
  <c r="L214" i="7"/>
  <c r="L213" i="7"/>
  <c r="L212" i="7"/>
  <c r="L211" i="7"/>
  <c r="L210" i="7"/>
  <c r="L209" i="7"/>
  <c r="L208" i="7"/>
  <c r="L207" i="7"/>
  <c r="L206" i="7"/>
  <c r="L205" i="7"/>
  <c r="L204" i="7"/>
  <c r="L203" i="7"/>
  <c r="L202" i="7"/>
  <c r="L201" i="7"/>
  <c r="L200" i="7"/>
  <c r="L199" i="7"/>
  <c r="L198" i="7"/>
  <c r="L197" i="7"/>
  <c r="L196" i="7"/>
  <c r="L195" i="7"/>
  <c r="L194" i="7"/>
  <c r="L193" i="7"/>
  <c r="L192" i="7"/>
  <c r="L191" i="7"/>
  <c r="L190" i="7"/>
  <c r="L189" i="7"/>
  <c r="L188" i="7"/>
  <c r="L187" i="7"/>
  <c r="L186" i="7"/>
  <c r="L185" i="7"/>
  <c r="L184" i="7"/>
  <c r="L183" i="7"/>
  <c r="L182" i="7"/>
  <c r="L181" i="7"/>
  <c r="L180" i="7"/>
  <c r="L179" i="7"/>
  <c r="L178" i="7"/>
  <c r="L177" i="7"/>
  <c r="L176" i="7"/>
  <c r="L175" i="7"/>
  <c r="L174" i="7"/>
  <c r="L173" i="7"/>
  <c r="L172" i="7"/>
  <c r="L171" i="7"/>
  <c r="L170" i="7"/>
  <c r="L169" i="7"/>
  <c r="L168" i="7"/>
  <c r="L167" i="7"/>
  <c r="L166" i="7"/>
  <c r="L165" i="7"/>
  <c r="L164" i="7"/>
  <c r="L163" i="7"/>
  <c r="L162" i="7"/>
  <c r="L161" i="7"/>
  <c r="L156" i="7"/>
  <c r="L155" i="7"/>
  <c r="L154" i="7"/>
  <c r="L153" i="7"/>
  <c r="L152" i="7"/>
  <c r="L151" i="7"/>
  <c r="L150" i="7"/>
  <c r="L149" i="7"/>
  <c r="L148" i="7"/>
  <c r="L147" i="7"/>
  <c r="L146" i="7"/>
  <c r="B246" i="9" s="1"/>
  <c r="L145" i="7"/>
  <c r="L144" i="7"/>
  <c r="L143" i="7"/>
  <c r="L142" i="7"/>
  <c r="L141" i="7"/>
  <c r="L140" i="7"/>
  <c r="L139" i="7"/>
  <c r="L138" i="7"/>
  <c r="B242" i="6" s="1"/>
  <c r="L137" i="7"/>
  <c r="H483" i="29"/>
  <c r="D483" i="29"/>
  <c r="C483" i="29"/>
  <c r="A483" i="29"/>
  <c r="H482" i="29"/>
  <c r="D482" i="29"/>
  <c r="C482" i="29"/>
  <c r="A482" i="29"/>
  <c r="H481" i="29"/>
  <c r="D481" i="29"/>
  <c r="C481" i="29"/>
  <c r="A481" i="29"/>
  <c r="H480" i="29"/>
  <c r="D480" i="29"/>
  <c r="C480" i="29"/>
  <c r="A480" i="29"/>
  <c r="D479" i="29"/>
  <c r="C479" i="29"/>
  <c r="H478" i="29"/>
  <c r="D478" i="29"/>
  <c r="C478" i="29"/>
  <c r="A478" i="29"/>
  <c r="H477" i="29"/>
  <c r="D477" i="29"/>
  <c r="C477" i="29"/>
  <c r="A477" i="29"/>
  <c r="C476" i="29"/>
  <c r="A476" i="29"/>
  <c r="C475" i="29"/>
  <c r="B453" i="29"/>
  <c r="H475" i="29"/>
  <c r="H476" i="29"/>
  <c r="B452" i="29"/>
  <c r="B447" i="29"/>
  <c r="A475" i="29"/>
  <c r="H445" i="29"/>
  <c r="D445" i="29"/>
  <c r="C445" i="29"/>
  <c r="A445" i="29"/>
  <c r="H444" i="29"/>
  <c r="D444" i="29"/>
  <c r="C444" i="29"/>
  <c r="A444" i="29"/>
  <c r="H443" i="29"/>
  <c r="D443" i="29"/>
  <c r="C443" i="29"/>
  <c r="A443" i="29"/>
  <c r="H442" i="29"/>
  <c r="D442" i="29"/>
  <c r="C442" i="29"/>
  <c r="A442" i="29"/>
  <c r="D441" i="29"/>
  <c r="C441" i="29"/>
  <c r="H440" i="29"/>
  <c r="D440" i="29"/>
  <c r="C440" i="29"/>
  <c r="A440" i="29"/>
  <c r="H439" i="29"/>
  <c r="D439" i="29"/>
  <c r="C439" i="29"/>
  <c r="A439" i="29"/>
  <c r="C438" i="29"/>
  <c r="A438" i="29"/>
  <c r="C437" i="29"/>
  <c r="A437" i="29"/>
  <c r="B415" i="29"/>
  <c r="H437" i="29"/>
  <c r="H438" i="29"/>
  <c r="B414" i="29"/>
  <c r="B409" i="29"/>
  <c r="H407" i="29"/>
  <c r="D407" i="29"/>
  <c r="C407" i="29"/>
  <c r="A407" i="29"/>
  <c r="H406" i="29"/>
  <c r="D406" i="29"/>
  <c r="C406" i="29"/>
  <c r="A406" i="29"/>
  <c r="H405" i="29"/>
  <c r="D405" i="29"/>
  <c r="C405" i="29"/>
  <c r="A405" i="29"/>
  <c r="H404" i="29"/>
  <c r="D404" i="29"/>
  <c r="C404" i="29"/>
  <c r="A404" i="29"/>
  <c r="D403" i="29"/>
  <c r="C403" i="29"/>
  <c r="H402" i="29"/>
  <c r="D402" i="29"/>
  <c r="C402" i="29"/>
  <c r="A402" i="29"/>
  <c r="H401" i="29"/>
  <c r="D401" i="29"/>
  <c r="C401" i="29"/>
  <c r="A401" i="29"/>
  <c r="C400" i="29"/>
  <c r="A400" i="29"/>
  <c r="C399" i="29"/>
  <c r="B377" i="29"/>
  <c r="H399" i="29"/>
  <c r="H400" i="29"/>
  <c r="B376" i="29"/>
  <c r="B371" i="29"/>
  <c r="A399" i="29"/>
  <c r="H369" i="29"/>
  <c r="D369" i="29"/>
  <c r="C369" i="29"/>
  <c r="A369" i="29"/>
  <c r="H368" i="29"/>
  <c r="D368" i="29"/>
  <c r="C368" i="29"/>
  <c r="A368" i="29"/>
  <c r="H367" i="29"/>
  <c r="D367" i="29"/>
  <c r="C367" i="29"/>
  <c r="A367" i="29"/>
  <c r="H366" i="29"/>
  <c r="D366" i="29"/>
  <c r="C366" i="29"/>
  <c r="A366" i="29"/>
  <c r="D365" i="29"/>
  <c r="C365" i="29"/>
  <c r="H364" i="29"/>
  <c r="D364" i="29"/>
  <c r="C364" i="29"/>
  <c r="A364" i="29"/>
  <c r="H363" i="29"/>
  <c r="D363" i="29"/>
  <c r="C363" i="29"/>
  <c r="A363" i="29"/>
  <c r="C362" i="29"/>
  <c r="A362" i="29"/>
  <c r="C361" i="29"/>
  <c r="B339" i="29"/>
  <c r="H361" i="29"/>
  <c r="H362" i="29"/>
  <c r="B338" i="29"/>
  <c r="B333" i="29"/>
  <c r="A361" i="29"/>
  <c r="H331" i="29"/>
  <c r="D331" i="29"/>
  <c r="C331" i="29"/>
  <c r="A331" i="29"/>
  <c r="H330" i="29"/>
  <c r="D330" i="29"/>
  <c r="C330" i="29"/>
  <c r="A330" i="29"/>
  <c r="H329" i="29"/>
  <c r="D329" i="29"/>
  <c r="C329" i="29"/>
  <c r="A329" i="29"/>
  <c r="H328" i="29"/>
  <c r="D328" i="29"/>
  <c r="C328" i="29"/>
  <c r="A328" i="29"/>
  <c r="H327" i="29"/>
  <c r="D327" i="29"/>
  <c r="C327" i="29"/>
  <c r="A327" i="29"/>
  <c r="H326" i="29"/>
  <c r="D326" i="29"/>
  <c r="C326" i="29"/>
  <c r="A326" i="29"/>
  <c r="H325" i="29"/>
  <c r="D325" i="29"/>
  <c r="C325" i="29"/>
  <c r="A325" i="29"/>
  <c r="C324" i="29"/>
  <c r="A324" i="29"/>
  <c r="C323" i="29"/>
  <c r="A323" i="29"/>
  <c r="B301" i="29"/>
  <c r="H323" i="29"/>
  <c r="H324" i="29"/>
  <c r="B300" i="29"/>
  <c r="B295" i="29"/>
  <c r="H293" i="29"/>
  <c r="D293" i="29"/>
  <c r="C293" i="29"/>
  <c r="A293" i="29"/>
  <c r="H292" i="29"/>
  <c r="D292" i="29"/>
  <c r="C292" i="29"/>
  <c r="A292" i="29"/>
  <c r="H291" i="29"/>
  <c r="D291" i="29"/>
  <c r="C291" i="29"/>
  <c r="A291" i="29"/>
  <c r="H290" i="29"/>
  <c r="D290" i="29"/>
  <c r="C290" i="29"/>
  <c r="A290" i="29"/>
  <c r="H289" i="29"/>
  <c r="D289" i="29"/>
  <c r="C289" i="29"/>
  <c r="A289" i="29"/>
  <c r="H288" i="29"/>
  <c r="D288" i="29"/>
  <c r="C288" i="29"/>
  <c r="A288" i="29"/>
  <c r="H287" i="29"/>
  <c r="D287" i="29"/>
  <c r="C287" i="29"/>
  <c r="A287" i="29"/>
  <c r="C286" i="29"/>
  <c r="C285" i="29"/>
  <c r="B263" i="29"/>
  <c r="H285" i="29"/>
  <c r="H286" i="29"/>
  <c r="B262" i="29"/>
  <c r="B257" i="29"/>
  <c r="A285" i="29"/>
  <c r="A286" i="29"/>
  <c r="H255" i="29"/>
  <c r="D255" i="29"/>
  <c r="C255" i="29"/>
  <c r="A255" i="29"/>
  <c r="H254" i="29"/>
  <c r="D254" i="29"/>
  <c r="C254" i="29"/>
  <c r="A254" i="29"/>
  <c r="H253" i="29"/>
  <c r="D253" i="29"/>
  <c r="C253" i="29"/>
  <c r="A253" i="29"/>
  <c r="H252" i="29"/>
  <c r="D252" i="29"/>
  <c r="C252" i="29"/>
  <c r="A252" i="29"/>
  <c r="H251" i="29"/>
  <c r="D251" i="29"/>
  <c r="C251" i="29"/>
  <c r="A251" i="29"/>
  <c r="H250" i="29"/>
  <c r="D250" i="29"/>
  <c r="C250" i="29"/>
  <c r="A250" i="29"/>
  <c r="H249" i="29"/>
  <c r="D249" i="29"/>
  <c r="C249" i="29"/>
  <c r="A249" i="29"/>
  <c r="C248" i="29"/>
  <c r="C247" i="29"/>
  <c r="B225" i="29"/>
  <c r="H247" i="29"/>
  <c r="H248" i="29"/>
  <c r="B224" i="29"/>
  <c r="B219" i="29"/>
  <c r="A247" i="29"/>
  <c r="A248" i="29"/>
  <c r="H217" i="29"/>
  <c r="D217" i="29"/>
  <c r="C217" i="29"/>
  <c r="A217" i="29"/>
  <c r="H216" i="29"/>
  <c r="D216" i="29"/>
  <c r="C216" i="29"/>
  <c r="A216" i="29"/>
  <c r="H215" i="29"/>
  <c r="D215" i="29"/>
  <c r="C215" i="29"/>
  <c r="A215" i="29"/>
  <c r="H214" i="29"/>
  <c r="D214" i="29"/>
  <c r="C214" i="29"/>
  <c r="A214" i="29"/>
  <c r="H213" i="29"/>
  <c r="D213" i="29"/>
  <c r="C213" i="29"/>
  <c r="A213" i="29"/>
  <c r="H212" i="29"/>
  <c r="D212" i="29"/>
  <c r="C212" i="29"/>
  <c r="A212" i="29"/>
  <c r="H211" i="29"/>
  <c r="D211" i="29"/>
  <c r="C211" i="29"/>
  <c r="A211" i="29"/>
  <c r="C210" i="29"/>
  <c r="H209" i="29"/>
  <c r="H210" i="29"/>
  <c r="C209" i="29"/>
  <c r="B187" i="29"/>
  <c r="B186" i="29"/>
  <c r="B181" i="29"/>
  <c r="A209" i="29"/>
  <c r="A210" i="29"/>
  <c r="H177" i="29"/>
  <c r="D177" i="29"/>
  <c r="C177" i="29"/>
  <c r="A177" i="29"/>
  <c r="H176" i="29"/>
  <c r="D176" i="29"/>
  <c r="C176" i="29"/>
  <c r="A176" i="29"/>
  <c r="H175" i="29"/>
  <c r="D175" i="29"/>
  <c r="C175" i="29"/>
  <c r="A175" i="29"/>
  <c r="H174" i="29"/>
  <c r="D174" i="29"/>
  <c r="C174" i="29"/>
  <c r="A174" i="29"/>
  <c r="H173" i="29"/>
  <c r="D173" i="29"/>
  <c r="C173" i="29"/>
  <c r="A173" i="29"/>
  <c r="H172" i="29"/>
  <c r="D172" i="29"/>
  <c r="C172" i="29"/>
  <c r="A172" i="29"/>
  <c r="H171" i="29"/>
  <c r="D171" i="29"/>
  <c r="C171" i="29"/>
  <c r="A171" i="29"/>
  <c r="H170" i="29"/>
  <c r="D170" i="29"/>
  <c r="C170" i="29"/>
  <c r="A170" i="29"/>
  <c r="H169" i="29"/>
  <c r="D169" i="29"/>
  <c r="C169" i="29"/>
  <c r="A169" i="29"/>
  <c r="H168" i="29"/>
  <c r="D168" i="29"/>
  <c r="C168" i="29"/>
  <c r="A168" i="29"/>
  <c r="H167" i="29"/>
  <c r="D167" i="29"/>
  <c r="C167" i="29"/>
  <c r="B142" i="29"/>
  <c r="B141" i="29"/>
  <c r="B136" i="29"/>
  <c r="A167" i="29"/>
  <c r="H132" i="29"/>
  <c r="D132" i="29"/>
  <c r="C132" i="29"/>
  <c r="A132" i="29"/>
  <c r="H131" i="29"/>
  <c r="D131" i="29"/>
  <c r="C131" i="29"/>
  <c r="A131" i="29"/>
  <c r="H130" i="29"/>
  <c r="D130" i="29"/>
  <c r="C130" i="29"/>
  <c r="A130" i="29"/>
  <c r="H129" i="29"/>
  <c r="D129" i="29"/>
  <c r="C129" i="29"/>
  <c r="A129" i="29"/>
  <c r="H128" i="29"/>
  <c r="D128" i="29"/>
  <c r="C128" i="29"/>
  <c r="A128" i="29"/>
  <c r="H127" i="29"/>
  <c r="D127" i="29"/>
  <c r="C127" i="29"/>
  <c r="A127" i="29"/>
  <c r="H126" i="29"/>
  <c r="D126" i="29"/>
  <c r="C126" i="29"/>
  <c r="A126" i="29"/>
  <c r="H125" i="29"/>
  <c r="D125" i="29"/>
  <c r="C125" i="29"/>
  <c r="A125" i="29"/>
  <c r="H124" i="29"/>
  <c r="D124" i="29"/>
  <c r="C124" i="29"/>
  <c r="A124" i="29"/>
  <c r="H123" i="29"/>
  <c r="D123" i="29"/>
  <c r="C123" i="29"/>
  <c r="A123" i="29"/>
  <c r="H122" i="29"/>
  <c r="D122" i="29"/>
  <c r="C122" i="29"/>
  <c r="B97" i="29"/>
  <c r="B96" i="29"/>
  <c r="B91" i="29"/>
  <c r="A122" i="29"/>
  <c r="H87" i="29"/>
  <c r="D87" i="29"/>
  <c r="C87" i="29"/>
  <c r="A87" i="29"/>
  <c r="H86" i="29"/>
  <c r="D86" i="29"/>
  <c r="C86" i="29"/>
  <c r="A86" i="29"/>
  <c r="H85" i="29"/>
  <c r="D85" i="29"/>
  <c r="C85" i="29"/>
  <c r="A85" i="29"/>
  <c r="H84" i="29"/>
  <c r="D84" i="29"/>
  <c r="C84" i="29"/>
  <c r="A84" i="29"/>
  <c r="H83" i="29"/>
  <c r="D83" i="29"/>
  <c r="C83" i="29"/>
  <c r="A83" i="29"/>
  <c r="H82" i="29"/>
  <c r="D82" i="29"/>
  <c r="C82" i="29"/>
  <c r="A82" i="29"/>
  <c r="H81" i="29"/>
  <c r="D81" i="29"/>
  <c r="C81" i="29"/>
  <c r="A81" i="29"/>
  <c r="H80" i="29"/>
  <c r="D80" i="29"/>
  <c r="C80" i="29"/>
  <c r="A80" i="29"/>
  <c r="H79" i="29"/>
  <c r="D79" i="29"/>
  <c r="C79" i="29"/>
  <c r="A79" i="29"/>
  <c r="H78" i="29"/>
  <c r="D78" i="29"/>
  <c r="C78" i="29"/>
  <c r="A78" i="29"/>
  <c r="H77" i="29"/>
  <c r="D77" i="29"/>
  <c r="C77" i="29"/>
  <c r="A77" i="29"/>
  <c r="B52" i="29"/>
  <c r="B51" i="29"/>
  <c r="B46" i="29"/>
  <c r="H42" i="29"/>
  <c r="D42" i="29"/>
  <c r="C42" i="29"/>
  <c r="A42" i="29"/>
  <c r="H41" i="29"/>
  <c r="D41" i="29"/>
  <c r="C41" i="29"/>
  <c r="A41" i="29"/>
  <c r="H40" i="29"/>
  <c r="D40" i="29"/>
  <c r="C40" i="29"/>
  <c r="A40" i="29"/>
  <c r="H39" i="29"/>
  <c r="D39" i="29"/>
  <c r="C39" i="29"/>
  <c r="A39" i="29"/>
  <c r="H38" i="29"/>
  <c r="D38" i="29"/>
  <c r="C38" i="29"/>
  <c r="A38" i="29"/>
  <c r="H37" i="29"/>
  <c r="D37" i="29"/>
  <c r="C37" i="29"/>
  <c r="A37" i="29"/>
  <c r="H36" i="29"/>
  <c r="D36" i="29"/>
  <c r="C36" i="29"/>
  <c r="A36" i="29"/>
  <c r="H35" i="29"/>
  <c r="D35" i="29"/>
  <c r="C35" i="29"/>
  <c r="A35" i="29"/>
  <c r="H34" i="29"/>
  <c r="D34" i="29"/>
  <c r="C34" i="29"/>
  <c r="A34" i="29"/>
  <c r="H33" i="29"/>
  <c r="D33" i="29"/>
  <c r="C33" i="29"/>
  <c r="A33" i="29"/>
  <c r="H32" i="29"/>
  <c r="D32" i="29"/>
  <c r="C32" i="29"/>
  <c r="B7" i="29"/>
  <c r="B6" i="29"/>
  <c r="B1" i="29"/>
  <c r="A32" i="29"/>
  <c r="A33" i="1"/>
  <c r="H687" i="28"/>
  <c r="D687" i="28"/>
  <c r="C687" i="28"/>
  <c r="A687" i="28"/>
  <c r="H686" i="28"/>
  <c r="D686" i="28"/>
  <c r="C686" i="28"/>
  <c r="A686" i="28"/>
  <c r="H685" i="28"/>
  <c r="D685" i="28"/>
  <c r="C685" i="28"/>
  <c r="A685" i="28"/>
  <c r="E684" i="28"/>
  <c r="D684" i="28"/>
  <c r="A684" i="28"/>
  <c r="E683" i="28"/>
  <c r="D683" i="28"/>
  <c r="A683" i="28"/>
  <c r="E682" i="28"/>
  <c r="D682" i="28"/>
  <c r="A682" i="28"/>
  <c r="E681" i="28"/>
  <c r="D681" i="28"/>
  <c r="A681" i="28"/>
  <c r="E680" i="28"/>
  <c r="D680" i="28"/>
  <c r="A680" i="28"/>
  <c r="E679" i="28"/>
  <c r="D679" i="28"/>
  <c r="A679" i="28"/>
  <c r="E678" i="28"/>
  <c r="D678" i="28"/>
  <c r="A678" i="28"/>
  <c r="E677" i="28"/>
  <c r="D677" i="28"/>
  <c r="A677" i="28"/>
  <c r="E676" i="28"/>
  <c r="D676" i="28"/>
  <c r="A676" i="28"/>
  <c r="E675" i="28"/>
  <c r="D675" i="28"/>
  <c r="A675" i="28"/>
  <c r="E674" i="28"/>
  <c r="D674" i="28"/>
  <c r="A674" i="28"/>
  <c r="E673" i="28"/>
  <c r="D673" i="28"/>
  <c r="A673" i="28"/>
  <c r="E672" i="28"/>
  <c r="D672" i="28"/>
  <c r="A672" i="28"/>
  <c r="E671" i="28"/>
  <c r="D671" i="28"/>
  <c r="A671" i="28"/>
  <c r="E670" i="28"/>
  <c r="D670" i="28"/>
  <c r="A670" i="28"/>
  <c r="E669" i="28"/>
  <c r="D669" i="28"/>
  <c r="A669" i="28"/>
  <c r="E668" i="28"/>
  <c r="D668" i="28"/>
  <c r="A668" i="28"/>
  <c r="E667" i="28"/>
  <c r="D667" i="28"/>
  <c r="A667" i="28"/>
  <c r="E666" i="28"/>
  <c r="D666" i="28"/>
  <c r="A666" i="28"/>
  <c r="E665" i="28"/>
  <c r="D665" i="28"/>
  <c r="A665" i="28"/>
  <c r="E664" i="28"/>
  <c r="D664" i="28"/>
  <c r="A664" i="28"/>
  <c r="E663" i="28"/>
  <c r="D663" i="28"/>
  <c r="A663" i="28"/>
  <c r="E662" i="28"/>
  <c r="D662" i="28"/>
  <c r="A662" i="28"/>
  <c r="E661" i="28"/>
  <c r="D661" i="28"/>
  <c r="A661" i="28"/>
  <c r="E660" i="28"/>
  <c r="D660" i="28"/>
  <c r="A660" i="28"/>
  <c r="E659" i="28"/>
  <c r="D659" i="28"/>
  <c r="A659" i="28"/>
  <c r="E658" i="28"/>
  <c r="D658" i="28"/>
  <c r="A658" i="28"/>
  <c r="E657" i="28"/>
  <c r="D657" i="28"/>
  <c r="A657" i="28"/>
  <c r="E656" i="28"/>
  <c r="D656" i="28"/>
  <c r="A656" i="28"/>
  <c r="E655" i="28"/>
  <c r="D655" i="28"/>
  <c r="A655" i="28"/>
  <c r="E654" i="28"/>
  <c r="D654" i="28"/>
  <c r="A654" i="28"/>
  <c r="E653" i="28"/>
  <c r="D653" i="28"/>
  <c r="A653" i="28"/>
  <c r="E652" i="28"/>
  <c r="D652" i="28"/>
  <c r="A652" i="28"/>
  <c r="E651" i="28"/>
  <c r="D651" i="28"/>
  <c r="A651" i="28"/>
  <c r="E650" i="28"/>
  <c r="D650" i="28"/>
  <c r="A650" i="28"/>
  <c r="E649" i="28"/>
  <c r="D649" i="28"/>
  <c r="A649" i="28"/>
  <c r="E648" i="28"/>
  <c r="D648" i="28"/>
  <c r="A648" i="28"/>
  <c r="E647" i="28"/>
  <c r="D647" i="28"/>
  <c r="A647" i="28"/>
  <c r="E646" i="28"/>
  <c r="D646" i="28"/>
  <c r="A646" i="28"/>
  <c r="E645" i="28"/>
  <c r="D645" i="28"/>
  <c r="A645" i="28"/>
  <c r="H644" i="28"/>
  <c r="D644" i="28"/>
  <c r="C644" i="28"/>
  <c r="A644" i="28"/>
  <c r="H643" i="28"/>
  <c r="D643" i="28"/>
  <c r="C643" i="28"/>
  <c r="A643" i="28"/>
  <c r="H642" i="28"/>
  <c r="D642" i="28"/>
  <c r="C642" i="28"/>
  <c r="A642" i="28"/>
  <c r="H641" i="28"/>
  <c r="D641" i="28"/>
  <c r="C641" i="28"/>
  <c r="A641" i="28"/>
  <c r="C640" i="28"/>
  <c r="C639" i="28"/>
  <c r="B618" i="28"/>
  <c r="H639" i="28"/>
  <c r="H640" i="28"/>
  <c r="B617" i="28"/>
  <c r="B612" i="28"/>
  <c r="A639" i="28"/>
  <c r="A640" i="28"/>
  <c r="H610" i="28"/>
  <c r="D610" i="28"/>
  <c r="C610" i="28"/>
  <c r="A610" i="28"/>
  <c r="H609" i="28"/>
  <c r="D609" i="28"/>
  <c r="C609" i="28"/>
  <c r="A609" i="28"/>
  <c r="H608" i="28"/>
  <c r="D608" i="28"/>
  <c r="C608" i="28"/>
  <c r="A608" i="28"/>
  <c r="E607" i="28"/>
  <c r="D607" i="28"/>
  <c r="A607" i="28"/>
  <c r="E606" i="28"/>
  <c r="D606" i="28"/>
  <c r="A606" i="28"/>
  <c r="E605" i="28"/>
  <c r="D605" i="28"/>
  <c r="A605" i="28"/>
  <c r="E604" i="28"/>
  <c r="D604" i="28"/>
  <c r="A604" i="28"/>
  <c r="E603" i="28"/>
  <c r="D603" i="28"/>
  <c r="A603" i="28"/>
  <c r="E602" i="28"/>
  <c r="D602" i="28"/>
  <c r="A602" i="28"/>
  <c r="E601" i="28"/>
  <c r="D601" i="28"/>
  <c r="A601" i="28"/>
  <c r="E600" i="28"/>
  <c r="D600" i="28"/>
  <c r="A600" i="28"/>
  <c r="E599" i="28"/>
  <c r="D599" i="28"/>
  <c r="A599" i="28"/>
  <c r="E598" i="28"/>
  <c r="D598" i="28"/>
  <c r="A598" i="28"/>
  <c r="E597" i="28"/>
  <c r="D597" i="28"/>
  <c r="A597" i="28"/>
  <c r="E596" i="28"/>
  <c r="D596" i="28"/>
  <c r="A596" i="28"/>
  <c r="E595" i="28"/>
  <c r="D595" i="28"/>
  <c r="A595" i="28"/>
  <c r="E594" i="28"/>
  <c r="D594" i="28"/>
  <c r="A594" i="28"/>
  <c r="E593" i="28"/>
  <c r="D593" i="28"/>
  <c r="A593" i="28"/>
  <c r="E592" i="28"/>
  <c r="D592" i="28"/>
  <c r="A592" i="28"/>
  <c r="E591" i="28"/>
  <c r="D591" i="28"/>
  <c r="A591" i="28"/>
  <c r="E590" i="28"/>
  <c r="D590" i="28"/>
  <c r="A590" i="28"/>
  <c r="E589" i="28"/>
  <c r="D589" i="28"/>
  <c r="A589" i="28"/>
  <c r="E588" i="28"/>
  <c r="D588" i="28"/>
  <c r="A588" i="28"/>
  <c r="E587" i="28"/>
  <c r="D587" i="28"/>
  <c r="A587" i="28"/>
  <c r="E586" i="28"/>
  <c r="D586" i="28"/>
  <c r="A586" i="28"/>
  <c r="E585" i="28"/>
  <c r="D585" i="28"/>
  <c r="A585" i="28"/>
  <c r="E584" i="28"/>
  <c r="D584" i="28"/>
  <c r="A584" i="28"/>
  <c r="E583" i="28"/>
  <c r="D583" i="28"/>
  <c r="A583" i="28"/>
  <c r="E582" i="28"/>
  <c r="D582" i="28"/>
  <c r="A582" i="28"/>
  <c r="E581" i="28"/>
  <c r="D581" i="28"/>
  <c r="A581" i="28"/>
  <c r="E580" i="28"/>
  <c r="D580" i="28"/>
  <c r="A580" i="28"/>
  <c r="E579" i="28"/>
  <c r="D579" i="28"/>
  <c r="A579" i="28"/>
  <c r="E578" i="28"/>
  <c r="D578" i="28"/>
  <c r="A578" i="28"/>
  <c r="E577" i="28"/>
  <c r="D577" i="28"/>
  <c r="A577" i="28"/>
  <c r="E576" i="28"/>
  <c r="D576" i="28"/>
  <c r="A576" i="28"/>
  <c r="E575" i="28"/>
  <c r="D575" i="28"/>
  <c r="A575" i="28"/>
  <c r="E574" i="28"/>
  <c r="D574" i="28"/>
  <c r="A574" i="28"/>
  <c r="E573" i="28"/>
  <c r="D573" i="28"/>
  <c r="A573" i="28"/>
  <c r="E572" i="28"/>
  <c r="D572" i="28"/>
  <c r="A572" i="28"/>
  <c r="E571" i="28"/>
  <c r="D571" i="28"/>
  <c r="A571" i="28"/>
  <c r="E570" i="28"/>
  <c r="D570" i="28"/>
  <c r="A570" i="28"/>
  <c r="E569" i="28"/>
  <c r="D569" i="28"/>
  <c r="A569" i="28"/>
  <c r="E568" i="28"/>
  <c r="D568" i="28"/>
  <c r="A568" i="28"/>
  <c r="H567" i="28"/>
  <c r="D567" i="28"/>
  <c r="C567" i="28"/>
  <c r="A567" i="28"/>
  <c r="H566" i="28"/>
  <c r="D566" i="28"/>
  <c r="C566" i="28"/>
  <c r="A566" i="28"/>
  <c r="H565" i="28"/>
  <c r="D565" i="28"/>
  <c r="C565" i="28"/>
  <c r="A565" i="28"/>
  <c r="H564" i="28"/>
  <c r="D564" i="28"/>
  <c r="C564" i="28"/>
  <c r="A564" i="28"/>
  <c r="C563" i="28"/>
  <c r="C562" i="28"/>
  <c r="B541" i="28"/>
  <c r="H562" i="28"/>
  <c r="H563" i="28"/>
  <c r="B540" i="28"/>
  <c r="B535" i="28"/>
  <c r="A562" i="28"/>
  <c r="A563" i="28"/>
  <c r="H533" i="28"/>
  <c r="D533" i="28"/>
  <c r="C533" i="28"/>
  <c r="A533" i="28"/>
  <c r="H532" i="28"/>
  <c r="D532" i="28"/>
  <c r="C532" i="28"/>
  <c r="A532" i="28"/>
  <c r="H531" i="28"/>
  <c r="D531" i="28"/>
  <c r="C531" i="28"/>
  <c r="A531" i="28"/>
  <c r="E530" i="28"/>
  <c r="D530" i="28"/>
  <c r="A530" i="28"/>
  <c r="E529" i="28"/>
  <c r="D529" i="28"/>
  <c r="A529" i="28"/>
  <c r="E528" i="28"/>
  <c r="D528" i="28"/>
  <c r="A528" i="28"/>
  <c r="E527" i="28"/>
  <c r="D527" i="28"/>
  <c r="A527" i="28"/>
  <c r="E526" i="28"/>
  <c r="D526" i="28"/>
  <c r="A526" i="28"/>
  <c r="E525" i="28"/>
  <c r="D525" i="28"/>
  <c r="A525" i="28"/>
  <c r="E524" i="28"/>
  <c r="D524" i="28"/>
  <c r="A524" i="28"/>
  <c r="E523" i="28"/>
  <c r="D523" i="28"/>
  <c r="A523" i="28"/>
  <c r="E522" i="28"/>
  <c r="D522" i="28"/>
  <c r="A522" i="28"/>
  <c r="E521" i="28"/>
  <c r="D521" i="28"/>
  <c r="A521" i="28"/>
  <c r="E520" i="28"/>
  <c r="D520" i="28"/>
  <c r="A520" i="28"/>
  <c r="E519" i="28"/>
  <c r="D519" i="28"/>
  <c r="A519" i="28"/>
  <c r="E518" i="28"/>
  <c r="D518" i="28"/>
  <c r="A518" i="28"/>
  <c r="E517" i="28"/>
  <c r="D517" i="28"/>
  <c r="A517" i="28"/>
  <c r="E516" i="28"/>
  <c r="D516" i="28"/>
  <c r="A516" i="28"/>
  <c r="E515" i="28"/>
  <c r="D515" i="28"/>
  <c r="A515" i="28"/>
  <c r="E514" i="28"/>
  <c r="D514" i="28"/>
  <c r="A514" i="28"/>
  <c r="E513" i="28"/>
  <c r="D513" i="28"/>
  <c r="A513" i="28"/>
  <c r="E512" i="28"/>
  <c r="D512" i="28"/>
  <c r="A512" i="28"/>
  <c r="E511" i="28"/>
  <c r="D511" i="28"/>
  <c r="A511" i="28"/>
  <c r="E510" i="28"/>
  <c r="D510" i="28"/>
  <c r="A510" i="28"/>
  <c r="E509" i="28"/>
  <c r="D509" i="28"/>
  <c r="A509" i="28"/>
  <c r="E508" i="28"/>
  <c r="D508" i="28"/>
  <c r="A508" i="28"/>
  <c r="E507" i="28"/>
  <c r="D507" i="28"/>
  <c r="A507" i="28"/>
  <c r="E506" i="28"/>
  <c r="D506" i="28"/>
  <c r="A506" i="28"/>
  <c r="E505" i="28"/>
  <c r="D505" i="28"/>
  <c r="A505" i="28"/>
  <c r="E504" i="28"/>
  <c r="D504" i="28"/>
  <c r="A504" i="28"/>
  <c r="E503" i="28"/>
  <c r="D503" i="28"/>
  <c r="A503" i="28"/>
  <c r="E502" i="28"/>
  <c r="D502" i="28"/>
  <c r="A502" i="28"/>
  <c r="E501" i="28"/>
  <c r="D501" i="28"/>
  <c r="A501" i="28"/>
  <c r="E500" i="28"/>
  <c r="D500" i="28"/>
  <c r="A500" i="28"/>
  <c r="E499" i="28"/>
  <c r="D499" i="28"/>
  <c r="A499" i="28"/>
  <c r="E498" i="28"/>
  <c r="D498" i="28"/>
  <c r="A498" i="28"/>
  <c r="E497" i="28"/>
  <c r="D497" i="28"/>
  <c r="A497" i="28"/>
  <c r="E496" i="28"/>
  <c r="D496" i="28"/>
  <c r="A496" i="28"/>
  <c r="E495" i="28"/>
  <c r="D495" i="28"/>
  <c r="A495" i="28"/>
  <c r="E494" i="28"/>
  <c r="D494" i="28"/>
  <c r="A494" i="28"/>
  <c r="E493" i="28"/>
  <c r="D493" i="28"/>
  <c r="A493" i="28"/>
  <c r="E492" i="28"/>
  <c r="D492" i="28"/>
  <c r="A492" i="28"/>
  <c r="E491" i="28"/>
  <c r="D491" i="28"/>
  <c r="A491" i="28"/>
  <c r="H490" i="28"/>
  <c r="D490" i="28"/>
  <c r="C490" i="28"/>
  <c r="A490" i="28"/>
  <c r="H489" i="28"/>
  <c r="D489" i="28"/>
  <c r="C489" i="28"/>
  <c r="A489" i="28"/>
  <c r="H488" i="28"/>
  <c r="D488" i="28"/>
  <c r="C488" i="28"/>
  <c r="A488" i="28"/>
  <c r="H487" i="28"/>
  <c r="D487" i="28"/>
  <c r="C487" i="28"/>
  <c r="A487" i="28"/>
  <c r="C486" i="28"/>
  <c r="C485" i="28"/>
  <c r="B464" i="28"/>
  <c r="H485" i="28"/>
  <c r="H486" i="28"/>
  <c r="B463" i="28"/>
  <c r="B458" i="28"/>
  <c r="A485" i="28"/>
  <c r="A486" i="28"/>
  <c r="H456" i="28"/>
  <c r="D456" i="28"/>
  <c r="C456" i="28"/>
  <c r="A456" i="28"/>
  <c r="H455" i="28"/>
  <c r="D455" i="28"/>
  <c r="C455" i="28"/>
  <c r="A455" i="28"/>
  <c r="H454" i="28"/>
  <c r="D454" i="28"/>
  <c r="C454" i="28"/>
  <c r="A454" i="28"/>
  <c r="E453" i="28"/>
  <c r="D453" i="28"/>
  <c r="A453" i="28"/>
  <c r="E452" i="28"/>
  <c r="D452" i="28"/>
  <c r="A452" i="28"/>
  <c r="E451" i="28"/>
  <c r="D451" i="28"/>
  <c r="A451" i="28"/>
  <c r="E450" i="28"/>
  <c r="D450" i="28"/>
  <c r="A450" i="28"/>
  <c r="E449" i="28"/>
  <c r="D449" i="28"/>
  <c r="A449" i="28"/>
  <c r="E448" i="28"/>
  <c r="D448" i="28"/>
  <c r="A448" i="28"/>
  <c r="E447" i="28"/>
  <c r="D447" i="28"/>
  <c r="A447" i="28"/>
  <c r="E446" i="28"/>
  <c r="D446" i="28"/>
  <c r="A446" i="28"/>
  <c r="E445" i="28"/>
  <c r="D445" i="28"/>
  <c r="A445" i="28"/>
  <c r="E444" i="28"/>
  <c r="D444" i="28"/>
  <c r="A444" i="28"/>
  <c r="E443" i="28"/>
  <c r="D443" i="28"/>
  <c r="A443" i="28"/>
  <c r="E442" i="28"/>
  <c r="D442" i="28"/>
  <c r="A442" i="28"/>
  <c r="E441" i="28"/>
  <c r="D441" i="28"/>
  <c r="A441" i="28"/>
  <c r="E440" i="28"/>
  <c r="D440" i="28"/>
  <c r="A440" i="28"/>
  <c r="E439" i="28"/>
  <c r="D439" i="28"/>
  <c r="A439" i="28"/>
  <c r="E438" i="28"/>
  <c r="D438" i="28"/>
  <c r="A438" i="28"/>
  <c r="E437" i="28"/>
  <c r="D437" i="28"/>
  <c r="A437" i="28"/>
  <c r="E436" i="28"/>
  <c r="D436" i="28"/>
  <c r="A436" i="28"/>
  <c r="E435" i="28"/>
  <c r="D435" i="28"/>
  <c r="A435" i="28"/>
  <c r="E434" i="28"/>
  <c r="D434" i="28"/>
  <c r="A434" i="28"/>
  <c r="E433" i="28"/>
  <c r="D433" i="28"/>
  <c r="A433" i="28"/>
  <c r="E432" i="28"/>
  <c r="D432" i="28"/>
  <c r="A432" i="28"/>
  <c r="E431" i="28"/>
  <c r="D431" i="28"/>
  <c r="A431" i="28"/>
  <c r="E430" i="28"/>
  <c r="D430" i="28"/>
  <c r="A430" i="28"/>
  <c r="E429" i="28"/>
  <c r="D429" i="28"/>
  <c r="A429" i="28"/>
  <c r="E428" i="28"/>
  <c r="D428" i="28"/>
  <c r="A428" i="28"/>
  <c r="E427" i="28"/>
  <c r="D427" i="28"/>
  <c r="A427" i="28"/>
  <c r="E426" i="28"/>
  <c r="D426" i="28"/>
  <c r="A426" i="28"/>
  <c r="E425" i="28"/>
  <c r="D425" i="28"/>
  <c r="A425" i="28"/>
  <c r="E424" i="28"/>
  <c r="D424" i="28"/>
  <c r="A424" i="28"/>
  <c r="E423" i="28"/>
  <c r="D423" i="28"/>
  <c r="A423" i="28"/>
  <c r="E422" i="28"/>
  <c r="D422" i="28"/>
  <c r="A422" i="28"/>
  <c r="E421" i="28"/>
  <c r="D421" i="28"/>
  <c r="A421" i="28"/>
  <c r="E420" i="28"/>
  <c r="D420" i="28"/>
  <c r="A420" i="28"/>
  <c r="E419" i="28"/>
  <c r="D419" i="28"/>
  <c r="A419" i="28"/>
  <c r="E418" i="28"/>
  <c r="D418" i="28"/>
  <c r="A418" i="28"/>
  <c r="E417" i="28"/>
  <c r="D417" i="28"/>
  <c r="A417" i="28"/>
  <c r="E416" i="28"/>
  <c r="D416" i="28"/>
  <c r="A416" i="28"/>
  <c r="E415" i="28"/>
  <c r="D415" i="28"/>
  <c r="A415" i="28"/>
  <c r="E414" i="28"/>
  <c r="D414" i="28"/>
  <c r="A414" i="28"/>
  <c r="H413" i="28"/>
  <c r="D413" i="28"/>
  <c r="C413" i="28"/>
  <c r="A413" i="28"/>
  <c r="H412" i="28"/>
  <c r="D412" i="28"/>
  <c r="C412" i="28"/>
  <c r="A412" i="28"/>
  <c r="H411" i="28"/>
  <c r="D411" i="28"/>
  <c r="C411" i="28"/>
  <c r="A411" i="28"/>
  <c r="H410" i="28"/>
  <c r="D410" i="28"/>
  <c r="C410" i="28"/>
  <c r="A410" i="28"/>
  <c r="C409" i="28"/>
  <c r="C408" i="28"/>
  <c r="A408" i="28"/>
  <c r="A409" i="28"/>
  <c r="B387" i="28"/>
  <c r="H408" i="28"/>
  <c r="H409" i="28"/>
  <c r="B386" i="28"/>
  <c r="B381" i="28"/>
  <c r="H379" i="28"/>
  <c r="D379" i="28"/>
  <c r="C379" i="28"/>
  <c r="A379" i="28"/>
  <c r="H378" i="28"/>
  <c r="D378" i="28"/>
  <c r="C378" i="28"/>
  <c r="A378" i="28"/>
  <c r="H377" i="28"/>
  <c r="D377" i="28"/>
  <c r="C377" i="28"/>
  <c r="A377" i="28"/>
  <c r="E376" i="28"/>
  <c r="D376" i="28"/>
  <c r="A376" i="28"/>
  <c r="E375" i="28"/>
  <c r="D375" i="28"/>
  <c r="A375" i="28"/>
  <c r="E374" i="28"/>
  <c r="D374" i="28"/>
  <c r="A374" i="28"/>
  <c r="E373" i="28"/>
  <c r="D373" i="28"/>
  <c r="A373" i="28"/>
  <c r="E372" i="28"/>
  <c r="D372" i="28"/>
  <c r="A372" i="28"/>
  <c r="E371" i="28"/>
  <c r="D371" i="28"/>
  <c r="A371" i="28"/>
  <c r="E370" i="28"/>
  <c r="D370" i="28"/>
  <c r="A370" i="28"/>
  <c r="E369" i="28"/>
  <c r="D369" i="28"/>
  <c r="A369" i="28"/>
  <c r="E368" i="28"/>
  <c r="D368" i="28"/>
  <c r="A368" i="28"/>
  <c r="E367" i="28"/>
  <c r="D367" i="28"/>
  <c r="A367" i="28"/>
  <c r="E366" i="28"/>
  <c r="D366" i="28"/>
  <c r="A366" i="28"/>
  <c r="E365" i="28"/>
  <c r="D365" i="28"/>
  <c r="A365" i="28"/>
  <c r="E364" i="28"/>
  <c r="D364" i="28"/>
  <c r="A364" i="28"/>
  <c r="E363" i="28"/>
  <c r="D363" i="28"/>
  <c r="A363" i="28"/>
  <c r="E362" i="28"/>
  <c r="D362" i="28"/>
  <c r="A362" i="28"/>
  <c r="E361" i="28"/>
  <c r="D361" i="28"/>
  <c r="A361" i="28"/>
  <c r="E360" i="28"/>
  <c r="D360" i="28"/>
  <c r="A360" i="28"/>
  <c r="E359" i="28"/>
  <c r="D359" i="28"/>
  <c r="A359" i="28"/>
  <c r="E358" i="28"/>
  <c r="D358" i="28"/>
  <c r="A358" i="28"/>
  <c r="E357" i="28"/>
  <c r="D357" i="28"/>
  <c r="A357" i="28"/>
  <c r="E356" i="28"/>
  <c r="D356" i="28"/>
  <c r="A356" i="28"/>
  <c r="E355" i="28"/>
  <c r="D355" i="28"/>
  <c r="A355" i="28"/>
  <c r="E354" i="28"/>
  <c r="D354" i="28"/>
  <c r="A354" i="28"/>
  <c r="E353" i="28"/>
  <c r="D353" i="28"/>
  <c r="A353" i="28"/>
  <c r="E352" i="28"/>
  <c r="D352" i="28"/>
  <c r="A352" i="28"/>
  <c r="E351" i="28"/>
  <c r="D351" i="28"/>
  <c r="A351" i="28"/>
  <c r="E350" i="28"/>
  <c r="D350" i="28"/>
  <c r="A350" i="28"/>
  <c r="E349" i="28"/>
  <c r="D349" i="28"/>
  <c r="A349" i="28"/>
  <c r="E348" i="28"/>
  <c r="D348" i="28"/>
  <c r="A348" i="28"/>
  <c r="E347" i="28"/>
  <c r="D347" i="28"/>
  <c r="A347" i="28"/>
  <c r="E346" i="28"/>
  <c r="D346" i="28"/>
  <c r="A346" i="28"/>
  <c r="E345" i="28"/>
  <c r="D345" i="28"/>
  <c r="A345" i="28"/>
  <c r="E344" i="28"/>
  <c r="D344" i="28"/>
  <c r="A344" i="28"/>
  <c r="E343" i="28"/>
  <c r="D343" i="28"/>
  <c r="A343" i="28"/>
  <c r="E342" i="28"/>
  <c r="D342" i="28"/>
  <c r="A342" i="28"/>
  <c r="E341" i="28"/>
  <c r="D341" i="28"/>
  <c r="A341" i="28"/>
  <c r="E340" i="28"/>
  <c r="D340" i="28"/>
  <c r="A340" i="28"/>
  <c r="E339" i="28"/>
  <c r="D339" i="28"/>
  <c r="A339" i="28"/>
  <c r="E338" i="28"/>
  <c r="D338" i="28"/>
  <c r="A338" i="28"/>
  <c r="E337" i="28"/>
  <c r="D337" i="28"/>
  <c r="A337" i="28"/>
  <c r="H336" i="28"/>
  <c r="D336" i="28"/>
  <c r="C336" i="28"/>
  <c r="A336" i="28"/>
  <c r="H335" i="28"/>
  <c r="D335" i="28"/>
  <c r="C335" i="28"/>
  <c r="A335" i="28"/>
  <c r="H334" i="28"/>
  <c r="D334" i="28"/>
  <c r="C334" i="28"/>
  <c r="A334" i="28"/>
  <c r="H333" i="28"/>
  <c r="D333" i="28"/>
  <c r="C333" i="28"/>
  <c r="A333" i="28"/>
  <c r="C332" i="28"/>
  <c r="C331" i="28"/>
  <c r="B310" i="28"/>
  <c r="H331" i="28"/>
  <c r="H332" i="28"/>
  <c r="B309" i="28"/>
  <c r="B304" i="28"/>
  <c r="A331" i="28"/>
  <c r="A332" i="28"/>
  <c r="H302" i="28"/>
  <c r="D302" i="28"/>
  <c r="C302" i="28"/>
  <c r="A302" i="28"/>
  <c r="H301" i="28"/>
  <c r="D301" i="28"/>
  <c r="C301" i="28"/>
  <c r="A301" i="28"/>
  <c r="H300" i="28"/>
  <c r="D300" i="28"/>
  <c r="C300" i="28"/>
  <c r="A300" i="28"/>
  <c r="E299" i="28"/>
  <c r="D299" i="28"/>
  <c r="A299" i="28"/>
  <c r="E298" i="28"/>
  <c r="D298" i="28"/>
  <c r="A298" i="28"/>
  <c r="E297" i="28"/>
  <c r="D297" i="28"/>
  <c r="A297" i="28"/>
  <c r="E296" i="28"/>
  <c r="D296" i="28"/>
  <c r="A296" i="28"/>
  <c r="E295" i="28"/>
  <c r="D295" i="28"/>
  <c r="A295" i="28"/>
  <c r="E294" i="28"/>
  <c r="D294" i="28"/>
  <c r="A294" i="28"/>
  <c r="E293" i="28"/>
  <c r="D293" i="28"/>
  <c r="A293" i="28"/>
  <c r="E292" i="28"/>
  <c r="D292" i="28"/>
  <c r="A292" i="28"/>
  <c r="E291" i="28"/>
  <c r="D291" i="28"/>
  <c r="A291" i="28"/>
  <c r="E290" i="28"/>
  <c r="D290" i="28"/>
  <c r="A290" i="28"/>
  <c r="E289" i="28"/>
  <c r="D289" i="28"/>
  <c r="A289" i="28"/>
  <c r="E288" i="28"/>
  <c r="D288" i="28"/>
  <c r="A288" i="28"/>
  <c r="E287" i="28"/>
  <c r="D287" i="28"/>
  <c r="A287" i="28"/>
  <c r="E286" i="28"/>
  <c r="D286" i="28"/>
  <c r="A286" i="28"/>
  <c r="E285" i="28"/>
  <c r="D285" i="28"/>
  <c r="A285" i="28"/>
  <c r="E284" i="28"/>
  <c r="D284" i="28"/>
  <c r="A284" i="28"/>
  <c r="E283" i="28"/>
  <c r="D283" i="28"/>
  <c r="A283" i="28"/>
  <c r="E282" i="28"/>
  <c r="D282" i="28"/>
  <c r="A282" i="28"/>
  <c r="E281" i="28"/>
  <c r="D281" i="28"/>
  <c r="A281" i="28"/>
  <c r="E280" i="28"/>
  <c r="D280" i="28"/>
  <c r="A280" i="28"/>
  <c r="E279" i="28"/>
  <c r="D279" i="28"/>
  <c r="A279" i="28"/>
  <c r="E278" i="28"/>
  <c r="D278" i="28"/>
  <c r="A278" i="28"/>
  <c r="E277" i="28"/>
  <c r="D277" i="28"/>
  <c r="A277" i="28"/>
  <c r="E276" i="28"/>
  <c r="D276" i="28"/>
  <c r="A276" i="28"/>
  <c r="E275" i="28"/>
  <c r="D275" i="28"/>
  <c r="A275" i="28"/>
  <c r="E274" i="28"/>
  <c r="D274" i="28"/>
  <c r="A274" i="28"/>
  <c r="E273" i="28"/>
  <c r="D273" i="28"/>
  <c r="A273" i="28"/>
  <c r="E272" i="28"/>
  <c r="D272" i="28"/>
  <c r="A272" i="28"/>
  <c r="E271" i="28"/>
  <c r="D271" i="28"/>
  <c r="A271" i="28"/>
  <c r="E270" i="28"/>
  <c r="D270" i="28"/>
  <c r="A270" i="28"/>
  <c r="E269" i="28"/>
  <c r="D269" i="28"/>
  <c r="A269" i="28"/>
  <c r="E268" i="28"/>
  <c r="D268" i="28"/>
  <c r="A268" i="28"/>
  <c r="E267" i="28"/>
  <c r="D267" i="28"/>
  <c r="A267" i="28"/>
  <c r="E266" i="28"/>
  <c r="D266" i="28"/>
  <c r="A266" i="28"/>
  <c r="E265" i="28"/>
  <c r="D265" i="28"/>
  <c r="A265" i="28"/>
  <c r="E264" i="28"/>
  <c r="D264" i="28"/>
  <c r="A264" i="28"/>
  <c r="E263" i="28"/>
  <c r="D263" i="28"/>
  <c r="A263" i="28"/>
  <c r="E262" i="28"/>
  <c r="D262" i="28"/>
  <c r="A262" i="28"/>
  <c r="E261" i="28"/>
  <c r="D261" i="28"/>
  <c r="A261" i="28"/>
  <c r="E260" i="28"/>
  <c r="D260" i="28"/>
  <c r="A260" i="28"/>
  <c r="H259" i="28"/>
  <c r="D259" i="28"/>
  <c r="C259" i="28"/>
  <c r="A259" i="28"/>
  <c r="H258" i="28"/>
  <c r="D258" i="28"/>
  <c r="C258" i="28"/>
  <c r="A258" i="28"/>
  <c r="H257" i="28"/>
  <c r="D257" i="28"/>
  <c r="C257" i="28"/>
  <c r="A257" i="28"/>
  <c r="H256" i="28"/>
  <c r="D256" i="28"/>
  <c r="C256" i="28"/>
  <c r="A256" i="28"/>
  <c r="C255" i="28"/>
  <c r="C254" i="28"/>
  <c r="B233" i="28"/>
  <c r="H254" i="28"/>
  <c r="H255" i="28"/>
  <c r="B232" i="28"/>
  <c r="B227" i="28"/>
  <c r="A254" i="28"/>
  <c r="A255" i="28"/>
  <c r="H223" i="28"/>
  <c r="D223" i="28"/>
  <c r="C223" i="28"/>
  <c r="A223" i="28"/>
  <c r="H222" i="28"/>
  <c r="D222" i="28"/>
  <c r="C222" i="28"/>
  <c r="A222" i="28"/>
  <c r="H221" i="28"/>
  <c r="D221" i="28"/>
  <c r="C221" i="28"/>
  <c r="A221" i="28"/>
  <c r="H220" i="28"/>
  <c r="D220" i="28"/>
  <c r="C220" i="28"/>
  <c r="A220" i="28"/>
  <c r="H219" i="28"/>
  <c r="D219" i="28"/>
  <c r="C219" i="28"/>
  <c r="B195" i="28"/>
  <c r="B194" i="28"/>
  <c r="B189" i="28"/>
  <c r="A219" i="28"/>
  <c r="H185" i="28"/>
  <c r="D185" i="28"/>
  <c r="C185" i="28"/>
  <c r="A185" i="28"/>
  <c r="H184" i="28"/>
  <c r="D184" i="28"/>
  <c r="C184" i="28"/>
  <c r="A184" i="28"/>
  <c r="H183" i="28"/>
  <c r="D183" i="28"/>
  <c r="C183" i="28"/>
  <c r="A183" i="28"/>
  <c r="H182" i="28"/>
  <c r="D182" i="28"/>
  <c r="C182" i="28"/>
  <c r="A182" i="28"/>
  <c r="H181" i="28"/>
  <c r="D181" i="28"/>
  <c r="C181" i="28"/>
  <c r="B157" i="28"/>
  <c r="B156" i="28"/>
  <c r="B151" i="28"/>
  <c r="A181" i="28"/>
  <c r="H147" i="28"/>
  <c r="D147" i="28"/>
  <c r="C147" i="28"/>
  <c r="A147" i="28"/>
  <c r="H146" i="28"/>
  <c r="D146" i="28"/>
  <c r="C146" i="28"/>
  <c r="A146" i="28"/>
  <c r="H145" i="28"/>
  <c r="D145" i="28"/>
  <c r="C145" i="28"/>
  <c r="A145" i="28"/>
  <c r="H144" i="28"/>
  <c r="D144" i="28"/>
  <c r="C144" i="28"/>
  <c r="A144" i="28"/>
  <c r="H143" i="28"/>
  <c r="D143" i="28"/>
  <c r="C143" i="28"/>
  <c r="B119" i="28"/>
  <c r="B118" i="28"/>
  <c r="B113" i="28"/>
  <c r="A143" i="28"/>
  <c r="H109" i="28"/>
  <c r="D109" i="28"/>
  <c r="C109" i="28"/>
  <c r="A109" i="28"/>
  <c r="H108" i="28"/>
  <c r="D108" i="28"/>
  <c r="C108" i="28"/>
  <c r="A108" i="28"/>
  <c r="H107" i="28"/>
  <c r="D107" i="28"/>
  <c r="C107" i="28"/>
  <c r="A107" i="28"/>
  <c r="H106" i="28"/>
  <c r="D106" i="28"/>
  <c r="C106" i="28"/>
  <c r="A106" i="28"/>
  <c r="H105" i="28"/>
  <c r="D105" i="28"/>
  <c r="C105" i="28"/>
  <c r="B81" i="28"/>
  <c r="B80" i="28"/>
  <c r="B75" i="28"/>
  <c r="A105" i="28"/>
  <c r="H71" i="28"/>
  <c r="D71" i="28"/>
  <c r="C71" i="28"/>
  <c r="A71" i="28"/>
  <c r="H70" i="28"/>
  <c r="D70" i="28"/>
  <c r="C70" i="28"/>
  <c r="A70" i="28"/>
  <c r="H69" i="28"/>
  <c r="D69" i="28"/>
  <c r="C69" i="28"/>
  <c r="A69" i="28"/>
  <c r="H68" i="28"/>
  <c r="D68" i="28"/>
  <c r="C68" i="28"/>
  <c r="B44" i="28"/>
  <c r="B43" i="28"/>
  <c r="B38" i="28"/>
  <c r="A68" i="28"/>
  <c r="H34" i="28"/>
  <c r="D34" i="28"/>
  <c r="C34" i="28"/>
  <c r="A34" i="28"/>
  <c r="H33" i="28"/>
  <c r="D33" i="28"/>
  <c r="C33" i="28"/>
  <c r="A33" i="28"/>
  <c r="H32" i="28"/>
  <c r="D32" i="28"/>
  <c r="C32" i="28"/>
  <c r="A32" i="28"/>
  <c r="H31" i="28"/>
  <c r="D31" i="28"/>
  <c r="C31" i="28"/>
  <c r="B7" i="28"/>
  <c r="B6" i="28"/>
  <c r="B1" i="28"/>
  <c r="A31" i="28"/>
  <c r="R172" i="7"/>
  <c r="O172" i="7"/>
  <c r="M172" i="7"/>
  <c r="K172" i="7"/>
  <c r="G172" i="7"/>
  <c r="F172" i="7"/>
  <c r="D172" i="7"/>
  <c r="C172" i="7"/>
  <c r="B172" i="7"/>
  <c r="R171" i="7"/>
  <c r="O171" i="7"/>
  <c r="M171" i="7"/>
  <c r="K171" i="7"/>
  <c r="G171" i="7"/>
  <c r="F171" i="7"/>
  <c r="D171" i="7"/>
  <c r="C171" i="7"/>
  <c r="B171" i="7"/>
  <c r="R170" i="7"/>
  <c r="O170" i="7"/>
  <c r="M170" i="7"/>
  <c r="K170" i="7"/>
  <c r="G170" i="7"/>
  <c r="F170" i="7"/>
  <c r="D170" i="7"/>
  <c r="C170" i="7"/>
  <c r="B170" i="7"/>
  <c r="R169" i="7"/>
  <c r="O169" i="7"/>
  <c r="M169" i="7"/>
  <c r="K169" i="7"/>
  <c r="G169" i="7"/>
  <c r="F169" i="7"/>
  <c r="D169" i="7"/>
  <c r="C169" i="7"/>
  <c r="B169" i="7"/>
  <c r="R168" i="7"/>
  <c r="O168" i="7"/>
  <c r="M168" i="7"/>
  <c r="K168" i="7"/>
  <c r="G168" i="7"/>
  <c r="F168" i="7"/>
  <c r="D168" i="7"/>
  <c r="C168" i="7"/>
  <c r="B168" i="7"/>
  <c r="R167" i="7"/>
  <c r="O167" i="7"/>
  <c r="M167" i="7"/>
  <c r="K167" i="7"/>
  <c r="G167" i="7"/>
  <c r="F167" i="7"/>
  <c r="D167" i="7"/>
  <c r="C167" i="7"/>
  <c r="B167" i="7"/>
  <c r="R182" i="7"/>
  <c r="O182" i="7"/>
  <c r="M182" i="7"/>
  <c r="K182" i="7"/>
  <c r="G182" i="7"/>
  <c r="F182" i="7"/>
  <c r="C182" i="7"/>
  <c r="R181" i="7"/>
  <c r="O181" i="7"/>
  <c r="M181" i="7"/>
  <c r="K181" i="7"/>
  <c r="G181" i="7"/>
  <c r="F181" i="7"/>
  <c r="C181" i="7"/>
  <c r="R180" i="7"/>
  <c r="O180" i="7"/>
  <c r="M180" i="7"/>
  <c r="K180" i="7"/>
  <c r="G180" i="7"/>
  <c r="F180" i="7"/>
  <c r="C180" i="7"/>
  <c r="R179" i="7"/>
  <c r="O179" i="7"/>
  <c r="M179" i="7"/>
  <c r="K179" i="7"/>
  <c r="G179" i="7"/>
  <c r="F179" i="7"/>
  <c r="C179" i="7"/>
  <c r="AR38" i="1"/>
  <c r="AO38" i="1"/>
  <c r="AK38" i="1"/>
  <c r="AF38" i="1"/>
  <c r="AG38" i="1" s="1"/>
  <c r="AC38" i="1"/>
  <c r="AP38" i="1" s="1"/>
  <c r="Z38" i="1"/>
  <c r="U38" i="1"/>
  <c r="AN38" i="1" s="1"/>
  <c r="L38" i="1"/>
  <c r="A38" i="1"/>
  <c r="AR37" i="1"/>
  <c r="AO37" i="1"/>
  <c r="AK37" i="1"/>
  <c r="AF37" i="1"/>
  <c r="AH37" i="1" s="1"/>
  <c r="AC37" i="1"/>
  <c r="AP37" i="1" s="1"/>
  <c r="Z37" i="1"/>
  <c r="U37" i="1"/>
  <c r="AN37" i="1" s="1"/>
  <c r="L37" i="1"/>
  <c r="A37" i="1"/>
  <c r="AR36" i="1"/>
  <c r="AO36" i="1"/>
  <c r="AK36" i="1"/>
  <c r="AF36" i="1"/>
  <c r="AC36" i="1"/>
  <c r="AP36" i="1" s="1"/>
  <c r="Z36" i="1"/>
  <c r="U36" i="1"/>
  <c r="L36" i="1"/>
  <c r="A36" i="1"/>
  <c r="AR35" i="1"/>
  <c r="AO35" i="1"/>
  <c r="AK35" i="1"/>
  <c r="AF35" i="1"/>
  <c r="AH35" i="1" s="1"/>
  <c r="AC35" i="1"/>
  <c r="AP35" i="1" s="1"/>
  <c r="Z35" i="1"/>
  <c r="U35" i="1"/>
  <c r="L35" i="1"/>
  <c r="A35" i="1"/>
  <c r="CH34" i="1"/>
  <c r="BZ34" i="1"/>
  <c r="BR34" i="1"/>
  <c r="BJ34" i="1"/>
  <c r="BB34" i="1"/>
  <c r="AT34" i="1"/>
  <c r="AR34" i="1"/>
  <c r="CG34" i="1"/>
  <c r="AO34" i="1"/>
  <c r="AK34" i="1"/>
  <c r="AF34" i="1"/>
  <c r="AG34" i="1" s="1"/>
  <c r="AC34" i="1"/>
  <c r="AP34" i="1" s="1"/>
  <c r="Z34" i="1"/>
  <c r="U34" i="1"/>
  <c r="L34" i="1"/>
  <c r="A34" i="1"/>
  <c r="CH33" i="1"/>
  <c r="BZ33" i="1"/>
  <c r="BR33" i="1"/>
  <c r="BJ33" i="1"/>
  <c r="BB33" i="1"/>
  <c r="AT33" i="1"/>
  <c r="AR33" i="1"/>
  <c r="CG33" i="1"/>
  <c r="AO33" i="1"/>
  <c r="AK33" i="1"/>
  <c r="AF33" i="1"/>
  <c r="AC33" i="1"/>
  <c r="AP33" i="1" s="1"/>
  <c r="Z33" i="1"/>
  <c r="U33" i="1"/>
  <c r="AN33" i="1" s="1"/>
  <c r="L33" i="1"/>
  <c r="AO48" i="1"/>
  <c r="AK48" i="1"/>
  <c r="AF48" i="1"/>
  <c r="AA48" i="1"/>
  <c r="AB48" i="1" s="1"/>
  <c r="AC48" i="1" s="1"/>
  <c r="AP48" i="1" s="1"/>
  <c r="Z48" i="1"/>
  <c r="AS48" i="1" s="1"/>
  <c r="U48" i="1"/>
  <c r="AN48" i="1" s="1"/>
  <c r="L48" i="1"/>
  <c r="A48" i="1"/>
  <c r="AO47" i="1"/>
  <c r="AK47" i="1"/>
  <c r="AF47" i="1"/>
  <c r="AA47" i="1"/>
  <c r="AB47" i="1" s="1"/>
  <c r="AC47" i="1" s="1"/>
  <c r="Z47" i="1"/>
  <c r="AS47" i="1" s="1"/>
  <c r="U47" i="1"/>
  <c r="AN47" i="1" s="1"/>
  <c r="L47" i="1"/>
  <c r="A47" i="1"/>
  <c r="AO46" i="1"/>
  <c r="AK46" i="1"/>
  <c r="AF46" i="1"/>
  <c r="AA46" i="1"/>
  <c r="AB46" i="1" s="1"/>
  <c r="AC46" i="1" s="1"/>
  <c r="Z46" i="1"/>
  <c r="AS46" i="1" s="1"/>
  <c r="U46" i="1"/>
  <c r="AN46" i="1" s="1"/>
  <c r="L46" i="1"/>
  <c r="A46" i="1"/>
  <c r="AS45" i="1"/>
  <c r="AO45" i="1"/>
  <c r="AK45" i="1"/>
  <c r="AF45" i="1"/>
  <c r="AA45" i="1"/>
  <c r="AB45" i="1" s="1"/>
  <c r="AC45" i="1" s="1"/>
  <c r="Z45" i="1"/>
  <c r="U45" i="1"/>
  <c r="AN45" i="1" s="1"/>
  <c r="L45" i="1"/>
  <c r="A45" i="1"/>
  <c r="CF35" i="1"/>
  <c r="BX35" i="1"/>
  <c r="BP35" i="1"/>
  <c r="BH35" i="1"/>
  <c r="AZ35" i="1"/>
  <c r="BY35" i="1"/>
  <c r="CE35" i="1"/>
  <c r="BW35" i="1"/>
  <c r="BO35" i="1"/>
  <c r="BG35" i="1"/>
  <c r="AY35" i="1"/>
  <c r="CD35" i="1"/>
  <c r="BV35" i="1"/>
  <c r="BN35" i="1"/>
  <c r="BF35" i="1"/>
  <c r="AX35" i="1"/>
  <c r="BA35" i="1"/>
  <c r="CC35" i="1"/>
  <c r="BU35" i="1"/>
  <c r="BM35" i="1"/>
  <c r="BE35" i="1"/>
  <c r="AW35" i="1"/>
  <c r="CB35" i="1"/>
  <c r="BT35" i="1"/>
  <c r="BL35" i="1"/>
  <c r="BD35" i="1"/>
  <c r="AV35" i="1"/>
  <c r="CA35" i="1"/>
  <c r="BS35" i="1"/>
  <c r="BK35" i="1"/>
  <c r="BC35" i="1"/>
  <c r="AU35" i="1"/>
  <c r="BQ35" i="1"/>
  <c r="CH35" i="1"/>
  <c r="BZ35" i="1"/>
  <c r="BR35" i="1"/>
  <c r="BJ35" i="1"/>
  <c r="BB35" i="1"/>
  <c r="AT35" i="1"/>
  <c r="CG35" i="1"/>
  <c r="BI35" i="1"/>
  <c r="AN35" i="1"/>
  <c r="AU33" i="1"/>
  <c r="BC33" i="1"/>
  <c r="BK33" i="1"/>
  <c r="BS33" i="1"/>
  <c r="CA33" i="1"/>
  <c r="AU34" i="1"/>
  <c r="BC34" i="1"/>
  <c r="BK34" i="1"/>
  <c r="BS34" i="1"/>
  <c r="CA34" i="1"/>
  <c r="AV33" i="1"/>
  <c r="BD33" i="1"/>
  <c r="BL33" i="1"/>
  <c r="BT33" i="1"/>
  <c r="CB33" i="1"/>
  <c r="AV34" i="1"/>
  <c r="BD34" i="1"/>
  <c r="BL34" i="1"/>
  <c r="BT34" i="1"/>
  <c r="CB34" i="1"/>
  <c r="AN34" i="1"/>
  <c r="AG33" i="1"/>
  <c r="AS33" i="1" s="1"/>
  <c r="AW33" i="1"/>
  <c r="BE33" i="1"/>
  <c r="BM33" i="1"/>
  <c r="BU33" i="1"/>
  <c r="CC33" i="1"/>
  <c r="AW34" i="1"/>
  <c r="BE34" i="1"/>
  <c r="BM34" i="1"/>
  <c r="BU34" i="1"/>
  <c r="CC34" i="1"/>
  <c r="AH33" i="1"/>
  <c r="AX33" i="1"/>
  <c r="BF33" i="1"/>
  <c r="BN33" i="1"/>
  <c r="BV33" i="1"/>
  <c r="CD33" i="1"/>
  <c r="AX34" i="1"/>
  <c r="BF34" i="1"/>
  <c r="BN34" i="1"/>
  <c r="BV34" i="1"/>
  <c r="CD34" i="1"/>
  <c r="AY33" i="1"/>
  <c r="BG33" i="1"/>
  <c r="BO33" i="1"/>
  <c r="BW33" i="1"/>
  <c r="CE33" i="1"/>
  <c r="AY34" i="1"/>
  <c r="BG34" i="1"/>
  <c r="BO34" i="1"/>
  <c r="BW34" i="1"/>
  <c r="CE34" i="1"/>
  <c r="AZ33" i="1"/>
  <c r="CF33" i="1"/>
  <c r="AZ34" i="1"/>
  <c r="BP34" i="1"/>
  <c r="CF34" i="1"/>
  <c r="AG37" i="1"/>
  <c r="AS37" i="1" s="1"/>
  <c r="BH33" i="1"/>
  <c r="BP33" i="1"/>
  <c r="BX33" i="1"/>
  <c r="BH34" i="1"/>
  <c r="BX34" i="1"/>
  <c r="BA33" i="1"/>
  <c r="BI33" i="1"/>
  <c r="BQ33" i="1"/>
  <c r="BY33" i="1"/>
  <c r="BA34" i="1"/>
  <c r="BI34" i="1"/>
  <c r="BQ34" i="1"/>
  <c r="BY34" i="1"/>
  <c r="CD37" i="1"/>
  <c r="BV37" i="1"/>
  <c r="BN37" i="1"/>
  <c r="BF37" i="1"/>
  <c r="AX37" i="1"/>
  <c r="CC37" i="1"/>
  <c r="BU37" i="1"/>
  <c r="BM37" i="1"/>
  <c r="BE37" i="1"/>
  <c r="AW37" i="1"/>
  <c r="CB37" i="1"/>
  <c r="BT37" i="1"/>
  <c r="BL37" i="1"/>
  <c r="BD37" i="1"/>
  <c r="AV37" i="1"/>
  <c r="CA37" i="1"/>
  <c r="BS37" i="1"/>
  <c r="BK37" i="1"/>
  <c r="BC37" i="1"/>
  <c r="AU37" i="1"/>
  <c r="CH37" i="1"/>
  <c r="BZ37" i="1"/>
  <c r="BR37" i="1"/>
  <c r="BJ37" i="1"/>
  <c r="BB37" i="1"/>
  <c r="AT37" i="1"/>
  <c r="CG37" i="1"/>
  <c r="BY37" i="1"/>
  <c r="BQ37" i="1"/>
  <c r="BI37" i="1"/>
  <c r="BA37" i="1"/>
  <c r="CF37" i="1"/>
  <c r="BX37" i="1"/>
  <c r="BP37" i="1"/>
  <c r="BH37" i="1"/>
  <c r="AZ37" i="1"/>
  <c r="CE37" i="1"/>
  <c r="BW37" i="1"/>
  <c r="BO37" i="1"/>
  <c r="BG37" i="1"/>
  <c r="AY37" i="1"/>
  <c r="CE36" i="1"/>
  <c r="BW36" i="1"/>
  <c r="BO36" i="1"/>
  <c r="BG36" i="1"/>
  <c r="AY36" i="1"/>
  <c r="BX36" i="1"/>
  <c r="CD36" i="1"/>
  <c r="BV36" i="1"/>
  <c r="BN36" i="1"/>
  <c r="BF36" i="1"/>
  <c r="AX36" i="1"/>
  <c r="CC36" i="1"/>
  <c r="BU36" i="1"/>
  <c r="BM36" i="1"/>
  <c r="BE36" i="1"/>
  <c r="AW36" i="1"/>
  <c r="BP36" i="1"/>
  <c r="CB36" i="1"/>
  <c r="BT36" i="1"/>
  <c r="BL36" i="1"/>
  <c r="BD36" i="1"/>
  <c r="AV36" i="1"/>
  <c r="CA36" i="1"/>
  <c r="BS36" i="1"/>
  <c r="BK36" i="1"/>
  <c r="BC36" i="1"/>
  <c r="AU36" i="1"/>
  <c r="CH36" i="1"/>
  <c r="BZ36" i="1"/>
  <c r="BR36" i="1"/>
  <c r="BJ36" i="1"/>
  <c r="BB36" i="1"/>
  <c r="AT36" i="1"/>
  <c r="CF36" i="1"/>
  <c r="AZ36" i="1"/>
  <c r="CG36" i="1"/>
  <c r="BY36" i="1"/>
  <c r="BQ36" i="1"/>
  <c r="BI36" i="1"/>
  <c r="BA36" i="1"/>
  <c r="BH36" i="1"/>
  <c r="B11" i="23"/>
  <c r="B14" i="23"/>
  <c r="D10" i="23"/>
  <c r="C10" i="23"/>
  <c r="A10" i="23"/>
  <c r="B3" i="23"/>
  <c r="H10" i="23"/>
  <c r="H466" i="11"/>
  <c r="D466" i="11"/>
  <c r="C466" i="11"/>
  <c r="A466" i="11"/>
  <c r="H429" i="11"/>
  <c r="D429" i="11"/>
  <c r="C429" i="11"/>
  <c r="A429" i="11"/>
  <c r="H392" i="11"/>
  <c r="D392" i="11"/>
  <c r="C392" i="11"/>
  <c r="A392" i="11"/>
  <c r="H355" i="11"/>
  <c r="D355" i="11"/>
  <c r="C355" i="11"/>
  <c r="A355" i="11"/>
  <c r="H318" i="11"/>
  <c r="D318" i="11"/>
  <c r="C318" i="11"/>
  <c r="A318" i="11"/>
  <c r="H281" i="11"/>
  <c r="D281" i="11"/>
  <c r="C281" i="11"/>
  <c r="A281" i="11"/>
  <c r="H244" i="11"/>
  <c r="D244" i="11"/>
  <c r="C244" i="11"/>
  <c r="A244" i="11"/>
  <c r="H207" i="11"/>
  <c r="D207" i="11"/>
  <c r="C207" i="11"/>
  <c r="A207" i="11"/>
  <c r="H466" i="10"/>
  <c r="D466" i="10"/>
  <c r="C466" i="10"/>
  <c r="A466" i="10"/>
  <c r="H429" i="10"/>
  <c r="D429" i="10"/>
  <c r="C429" i="10"/>
  <c r="A429" i="10"/>
  <c r="H392" i="10"/>
  <c r="D392" i="10"/>
  <c r="C392" i="10"/>
  <c r="A392" i="10"/>
  <c r="H355" i="10"/>
  <c r="D355" i="10"/>
  <c r="C355" i="10"/>
  <c r="A355" i="10"/>
  <c r="H318" i="10"/>
  <c r="D318" i="10"/>
  <c r="C318" i="10"/>
  <c r="A318" i="10"/>
  <c r="H281" i="10"/>
  <c r="D281" i="10"/>
  <c r="C281" i="10"/>
  <c r="A281" i="10"/>
  <c r="H244" i="10"/>
  <c r="D244" i="10"/>
  <c r="C244" i="10"/>
  <c r="A244" i="10"/>
  <c r="H207" i="10"/>
  <c r="D207" i="10"/>
  <c r="C207" i="10"/>
  <c r="A207" i="10"/>
  <c r="H467" i="9"/>
  <c r="D467" i="9"/>
  <c r="C467" i="9"/>
  <c r="A467" i="9"/>
  <c r="H430" i="9"/>
  <c r="D430" i="9"/>
  <c r="C430" i="9"/>
  <c r="A430" i="9"/>
  <c r="H393" i="9"/>
  <c r="D393" i="9"/>
  <c r="C393" i="9"/>
  <c r="A393" i="9"/>
  <c r="H356" i="9"/>
  <c r="D356" i="9"/>
  <c r="C356" i="9"/>
  <c r="A356" i="9"/>
  <c r="H319" i="9"/>
  <c r="D319" i="9"/>
  <c r="C319" i="9"/>
  <c r="A319" i="9"/>
  <c r="H282" i="9"/>
  <c r="D282" i="9"/>
  <c r="C282" i="9"/>
  <c r="A282" i="9"/>
  <c r="H245" i="9"/>
  <c r="D245" i="9"/>
  <c r="C245" i="9"/>
  <c r="A245" i="9"/>
  <c r="H208" i="9"/>
  <c r="D208" i="9"/>
  <c r="C208" i="9"/>
  <c r="A208" i="9"/>
  <c r="H279" i="8"/>
  <c r="D279" i="8"/>
  <c r="C279" i="8"/>
  <c r="A279" i="8"/>
  <c r="H244" i="8"/>
  <c r="D244" i="8"/>
  <c r="C244" i="8"/>
  <c r="A244" i="8"/>
  <c r="H209" i="8"/>
  <c r="D209" i="8"/>
  <c r="C209" i="8"/>
  <c r="A209" i="8"/>
  <c r="H174" i="8"/>
  <c r="D174" i="8"/>
  <c r="C174" i="8"/>
  <c r="A174" i="8"/>
  <c r="H641" i="13"/>
  <c r="D641" i="13"/>
  <c r="C641" i="13"/>
  <c r="A641" i="13"/>
  <c r="H564" i="13"/>
  <c r="D564" i="13"/>
  <c r="C564" i="13"/>
  <c r="A564" i="13"/>
  <c r="H487" i="13"/>
  <c r="D487" i="13"/>
  <c r="C487" i="13"/>
  <c r="A487" i="13"/>
  <c r="H410" i="13"/>
  <c r="D410" i="13"/>
  <c r="C410" i="13"/>
  <c r="A410" i="13"/>
  <c r="H333" i="13"/>
  <c r="D333" i="13"/>
  <c r="C333" i="13"/>
  <c r="A333" i="13"/>
  <c r="H256" i="13"/>
  <c r="D256" i="13"/>
  <c r="C256" i="13"/>
  <c r="A256" i="13"/>
  <c r="H477" i="15"/>
  <c r="D477" i="15"/>
  <c r="C477" i="15"/>
  <c r="A477" i="15"/>
  <c r="H439" i="15"/>
  <c r="D439" i="15"/>
  <c r="C439" i="15"/>
  <c r="A439" i="15"/>
  <c r="H401" i="15"/>
  <c r="D401" i="15"/>
  <c r="C401" i="15"/>
  <c r="A401" i="15"/>
  <c r="H363" i="15"/>
  <c r="D363" i="15"/>
  <c r="C363" i="15"/>
  <c r="A363" i="15"/>
  <c r="H325" i="15"/>
  <c r="D325" i="15"/>
  <c r="C325" i="15"/>
  <c r="A325" i="15"/>
  <c r="H287" i="15"/>
  <c r="D287" i="15"/>
  <c r="C287" i="15"/>
  <c r="A287" i="15"/>
  <c r="H249" i="15"/>
  <c r="D249" i="15"/>
  <c r="C249" i="15"/>
  <c r="A249" i="15"/>
  <c r="H211" i="15"/>
  <c r="D211" i="15"/>
  <c r="C211" i="15"/>
  <c r="A211" i="15"/>
  <c r="H641" i="14"/>
  <c r="D641" i="14"/>
  <c r="C641" i="14"/>
  <c r="A641" i="14"/>
  <c r="H564" i="14"/>
  <c r="D564" i="14"/>
  <c r="C564" i="14"/>
  <c r="A564" i="14"/>
  <c r="H487" i="14"/>
  <c r="D487" i="14"/>
  <c r="C487" i="14"/>
  <c r="A487" i="14"/>
  <c r="H410" i="14"/>
  <c r="D410" i="14"/>
  <c r="C410" i="14"/>
  <c r="A410" i="14"/>
  <c r="H333" i="14"/>
  <c r="D333" i="14"/>
  <c r="C333" i="14"/>
  <c r="A333" i="14"/>
  <c r="H256" i="14"/>
  <c r="D256" i="14"/>
  <c r="C256" i="14"/>
  <c r="A256" i="14"/>
  <c r="H641" i="18"/>
  <c r="D641" i="18"/>
  <c r="C641" i="18"/>
  <c r="A641" i="18"/>
  <c r="H564" i="18"/>
  <c r="D564" i="18"/>
  <c r="C564" i="18"/>
  <c r="A564" i="18"/>
  <c r="H487" i="18"/>
  <c r="D487" i="18"/>
  <c r="C487" i="18"/>
  <c r="A487" i="18"/>
  <c r="H410" i="18"/>
  <c r="D410" i="18"/>
  <c r="C410" i="18"/>
  <c r="A410" i="18"/>
  <c r="H333" i="18"/>
  <c r="D333" i="18"/>
  <c r="C333" i="18"/>
  <c r="A333" i="18"/>
  <c r="H256" i="18"/>
  <c r="D256" i="18"/>
  <c r="C256" i="18"/>
  <c r="A256" i="18"/>
  <c r="H641" i="17"/>
  <c r="D641" i="17"/>
  <c r="C641" i="17"/>
  <c r="A641" i="17"/>
  <c r="H564" i="17"/>
  <c r="D564" i="17"/>
  <c r="C564" i="17"/>
  <c r="A564" i="17"/>
  <c r="H487" i="17"/>
  <c r="D487" i="17"/>
  <c r="C487" i="17"/>
  <c r="A487" i="17"/>
  <c r="H410" i="17"/>
  <c r="D410" i="17"/>
  <c r="C410" i="17"/>
  <c r="A410" i="17"/>
  <c r="H333" i="17"/>
  <c r="D333" i="17"/>
  <c r="C333" i="17"/>
  <c r="A333" i="17"/>
  <c r="H256" i="17"/>
  <c r="D256" i="17"/>
  <c r="C256" i="17"/>
  <c r="A256" i="17"/>
  <c r="H644" i="16"/>
  <c r="D644" i="16"/>
  <c r="C644" i="16"/>
  <c r="A644" i="16"/>
  <c r="H567" i="16"/>
  <c r="D567" i="16"/>
  <c r="C567" i="16"/>
  <c r="A567" i="16"/>
  <c r="H490" i="16"/>
  <c r="D490" i="16"/>
  <c r="C490" i="16"/>
  <c r="A490" i="16"/>
  <c r="H413" i="16"/>
  <c r="D413" i="16"/>
  <c r="C413" i="16"/>
  <c r="A413" i="16"/>
  <c r="H336" i="16"/>
  <c r="D336" i="16"/>
  <c r="C336" i="16"/>
  <c r="A336" i="16"/>
  <c r="H259" i="16"/>
  <c r="D259" i="16"/>
  <c r="C259" i="16"/>
  <c r="A259" i="16"/>
  <c r="A258" i="16"/>
  <c r="C258" i="16"/>
  <c r="D258" i="16"/>
  <c r="H258" i="16"/>
  <c r="H481" i="22"/>
  <c r="D481" i="22"/>
  <c r="C481" i="22"/>
  <c r="A481" i="22"/>
  <c r="H443" i="22"/>
  <c r="D443" i="22"/>
  <c r="C443" i="22"/>
  <c r="A443" i="22"/>
  <c r="H405" i="22"/>
  <c r="D405" i="22"/>
  <c r="C405" i="22"/>
  <c r="A405" i="22"/>
  <c r="H367" i="22"/>
  <c r="D367" i="22"/>
  <c r="C367" i="22"/>
  <c r="A367" i="22"/>
  <c r="H328" i="22"/>
  <c r="D328" i="22"/>
  <c r="C328" i="22"/>
  <c r="A328" i="22"/>
  <c r="H290" i="22"/>
  <c r="D290" i="22"/>
  <c r="C290" i="22"/>
  <c r="A290" i="22"/>
  <c r="H252" i="22"/>
  <c r="D252" i="22"/>
  <c r="C252" i="22"/>
  <c r="A252" i="22"/>
  <c r="C214" i="22"/>
  <c r="D214" i="22"/>
  <c r="H214" i="22"/>
  <c r="A214" i="22"/>
  <c r="H480" i="21"/>
  <c r="D480" i="21"/>
  <c r="C480" i="21"/>
  <c r="A480" i="21"/>
  <c r="H442" i="21"/>
  <c r="D442" i="21"/>
  <c r="C442" i="21"/>
  <c r="A442" i="21"/>
  <c r="H404" i="21"/>
  <c r="D404" i="21"/>
  <c r="C404" i="21"/>
  <c r="A404" i="21"/>
  <c r="H366" i="21"/>
  <c r="D366" i="21"/>
  <c r="C366" i="21"/>
  <c r="A366" i="21"/>
  <c r="H328" i="21"/>
  <c r="D328" i="21"/>
  <c r="C328" i="21"/>
  <c r="A328" i="21"/>
  <c r="H290" i="21"/>
  <c r="D290" i="21"/>
  <c r="C290" i="21"/>
  <c r="A290" i="21"/>
  <c r="H252" i="21"/>
  <c r="D252" i="21"/>
  <c r="C252" i="21"/>
  <c r="A252" i="21"/>
  <c r="H214" i="21"/>
  <c r="D214" i="21"/>
  <c r="C214" i="21"/>
  <c r="A214" i="21"/>
  <c r="H480" i="20"/>
  <c r="D480" i="20"/>
  <c r="C480" i="20"/>
  <c r="A480" i="20"/>
  <c r="H442" i="20"/>
  <c r="D442" i="20"/>
  <c r="C442" i="20"/>
  <c r="A442" i="20"/>
  <c r="H404" i="20"/>
  <c r="D404" i="20"/>
  <c r="C404" i="20"/>
  <c r="A404" i="20"/>
  <c r="H366" i="20"/>
  <c r="D366" i="20"/>
  <c r="C366" i="20"/>
  <c r="A366" i="20"/>
  <c r="H328" i="20"/>
  <c r="D328" i="20"/>
  <c r="C328" i="20"/>
  <c r="A328" i="20"/>
  <c r="H290" i="20"/>
  <c r="D290" i="20"/>
  <c r="C290" i="20"/>
  <c r="A290" i="20"/>
  <c r="H252" i="20"/>
  <c r="D252" i="20"/>
  <c r="C252" i="20"/>
  <c r="A252" i="20"/>
  <c r="H214" i="20"/>
  <c r="D214" i="20"/>
  <c r="C214" i="20"/>
  <c r="A214" i="20"/>
  <c r="H480" i="19"/>
  <c r="D480" i="19"/>
  <c r="C480" i="19"/>
  <c r="A480" i="19"/>
  <c r="H442" i="19"/>
  <c r="D442" i="19"/>
  <c r="C442" i="19"/>
  <c r="A442" i="19"/>
  <c r="H404" i="19"/>
  <c r="D404" i="19"/>
  <c r="C404" i="19"/>
  <c r="A404" i="19"/>
  <c r="H366" i="19"/>
  <c r="D366" i="19"/>
  <c r="C366" i="19"/>
  <c r="A366" i="19"/>
  <c r="H328" i="19"/>
  <c r="D328" i="19"/>
  <c r="C328" i="19"/>
  <c r="A328" i="19"/>
  <c r="H290" i="19"/>
  <c r="D290" i="19"/>
  <c r="C290" i="19"/>
  <c r="A290" i="19"/>
  <c r="H252" i="19"/>
  <c r="D252" i="19"/>
  <c r="C252" i="19"/>
  <c r="A252" i="19"/>
  <c r="H214" i="19"/>
  <c r="D214" i="19"/>
  <c r="C214" i="19"/>
  <c r="A214" i="19"/>
  <c r="H318" i="6"/>
  <c r="D318" i="6"/>
  <c r="C318" i="6"/>
  <c r="A318" i="6"/>
  <c r="H281" i="6"/>
  <c r="D281" i="6"/>
  <c r="C281" i="6"/>
  <c r="A281" i="6"/>
  <c r="H244" i="6"/>
  <c r="D244" i="6"/>
  <c r="C244" i="6"/>
  <c r="A244" i="6"/>
  <c r="C207" i="6"/>
  <c r="D207" i="6"/>
  <c r="H207" i="6"/>
  <c r="A207" i="6"/>
  <c r="U80" i="1"/>
  <c r="U81" i="1"/>
  <c r="U82" i="1"/>
  <c r="U79" i="1"/>
  <c r="U72" i="1"/>
  <c r="U73" i="1"/>
  <c r="U74" i="1"/>
  <c r="U71" i="1"/>
  <c r="U76" i="1"/>
  <c r="AN76" i="1" s="1"/>
  <c r="U77" i="1"/>
  <c r="AN77" i="1" s="1"/>
  <c r="U78" i="1"/>
  <c r="U75" i="1"/>
  <c r="AN75" i="1" s="1"/>
  <c r="U84" i="1"/>
  <c r="U85" i="1"/>
  <c r="U86" i="1"/>
  <c r="U83" i="1"/>
  <c r="AN83" i="1" s="1"/>
  <c r="AO59" i="1"/>
  <c r="AO60" i="1"/>
  <c r="AO61" i="1"/>
  <c r="AO62" i="1"/>
  <c r="AO63" i="1"/>
  <c r="U59" i="1"/>
  <c r="AN59" i="1" s="1"/>
  <c r="U60" i="1"/>
  <c r="U61" i="1"/>
  <c r="U62" i="1"/>
  <c r="U63" i="1"/>
  <c r="AN63" i="1" s="1"/>
  <c r="U64" i="1"/>
  <c r="U65" i="1"/>
  <c r="AN65" i="1" s="1"/>
  <c r="U66" i="1"/>
  <c r="AN66" i="1" s="1"/>
  <c r="U67" i="1"/>
  <c r="U68" i="1"/>
  <c r="AN68" i="1" s="1"/>
  <c r="U69" i="1"/>
  <c r="U70" i="1"/>
  <c r="AN70" i="1" s="1"/>
  <c r="U54" i="1"/>
  <c r="U55" i="1"/>
  <c r="AN55" i="1" s="1"/>
  <c r="U56" i="1"/>
  <c r="AN56" i="1" s="1"/>
  <c r="U57" i="1"/>
  <c r="U58" i="1"/>
  <c r="U53" i="1"/>
  <c r="V56" i="1"/>
  <c r="AO56" i="1" s="1"/>
  <c r="V57" i="1"/>
  <c r="V58" i="1"/>
  <c r="V53" i="1"/>
  <c r="AO53" i="1" s="1"/>
  <c r="V54" i="1"/>
  <c r="AO54" i="1" s="1"/>
  <c r="B12" i="23"/>
  <c r="B13" i="23"/>
  <c r="AF27" i="1"/>
  <c r="AF28" i="1"/>
  <c r="AH28" i="1" s="1"/>
  <c r="AF29" i="1"/>
  <c r="AH29" i="1" s="1"/>
  <c r="AF30" i="1"/>
  <c r="AF31" i="1"/>
  <c r="AF32" i="1"/>
  <c r="AF39" i="1"/>
  <c r="AF40" i="1"/>
  <c r="AH40" i="1" s="1"/>
  <c r="AF41" i="1"/>
  <c r="AF42" i="1"/>
  <c r="AH42" i="1" s="1"/>
  <c r="AF43" i="1"/>
  <c r="AF44" i="1"/>
  <c r="AF49" i="1"/>
  <c r="AF50" i="1"/>
  <c r="AF51" i="1"/>
  <c r="AF52" i="1"/>
  <c r="AF53" i="1"/>
  <c r="AH53" i="1" s="1"/>
  <c r="AF54" i="1"/>
  <c r="AF55" i="1"/>
  <c r="AF56" i="1"/>
  <c r="AF57" i="1"/>
  <c r="AH57" i="1" s="1"/>
  <c r="AF58" i="1"/>
  <c r="AH58" i="1" s="1"/>
  <c r="AF59" i="1"/>
  <c r="AH59" i="1" s="1"/>
  <c r="AF60" i="1"/>
  <c r="AH60" i="1" s="1"/>
  <c r="AF61" i="1"/>
  <c r="AF62" i="1"/>
  <c r="AF63" i="1"/>
  <c r="AF64" i="1"/>
  <c r="AF65" i="1"/>
  <c r="AH65" i="1" s="1"/>
  <c r="AF66" i="1"/>
  <c r="AF67" i="1"/>
  <c r="AH67" i="1" s="1"/>
  <c r="AF68" i="1"/>
  <c r="AH68" i="1" s="1"/>
  <c r="AF69" i="1"/>
  <c r="AF70" i="1"/>
  <c r="Z49" i="1"/>
  <c r="Z50" i="1"/>
  <c r="Z51" i="1"/>
  <c r="Z52" i="1"/>
  <c r="AS52" i="1" s="1"/>
  <c r="E684" i="13"/>
  <c r="D684" i="13"/>
  <c r="A684" i="13"/>
  <c r="E683" i="13"/>
  <c r="D683" i="13"/>
  <c r="A683" i="13"/>
  <c r="E682" i="13"/>
  <c r="D682" i="13"/>
  <c r="A682" i="13"/>
  <c r="E681" i="13"/>
  <c r="D681" i="13"/>
  <c r="A681" i="13"/>
  <c r="E680" i="13"/>
  <c r="D680" i="13"/>
  <c r="A680" i="13"/>
  <c r="E679" i="13"/>
  <c r="D679" i="13"/>
  <c r="A679" i="13"/>
  <c r="E678" i="13"/>
  <c r="D678" i="13"/>
  <c r="A678" i="13"/>
  <c r="E677" i="13"/>
  <c r="D677" i="13"/>
  <c r="A677" i="13"/>
  <c r="E676" i="13"/>
  <c r="D676" i="13"/>
  <c r="A676" i="13"/>
  <c r="E675" i="13"/>
  <c r="D675" i="13"/>
  <c r="A675" i="13"/>
  <c r="E674" i="13"/>
  <c r="D674" i="13"/>
  <c r="A674" i="13"/>
  <c r="E673" i="13"/>
  <c r="D673" i="13"/>
  <c r="A673" i="13"/>
  <c r="E672" i="13"/>
  <c r="D672" i="13"/>
  <c r="A672" i="13"/>
  <c r="E671" i="13"/>
  <c r="D671" i="13"/>
  <c r="A671" i="13"/>
  <c r="E670" i="13"/>
  <c r="D670" i="13"/>
  <c r="A670" i="13"/>
  <c r="E669" i="13"/>
  <c r="D669" i="13"/>
  <c r="A669" i="13"/>
  <c r="E668" i="13"/>
  <c r="D668" i="13"/>
  <c r="A668" i="13"/>
  <c r="E667" i="13"/>
  <c r="D667" i="13"/>
  <c r="A667" i="13"/>
  <c r="E666" i="13"/>
  <c r="D666" i="13"/>
  <c r="A666" i="13"/>
  <c r="E665" i="13"/>
  <c r="D665" i="13"/>
  <c r="A665" i="13"/>
  <c r="E664" i="13"/>
  <c r="D664" i="13"/>
  <c r="A664" i="13"/>
  <c r="E663" i="13"/>
  <c r="D663" i="13"/>
  <c r="A663" i="13"/>
  <c r="E662" i="13"/>
  <c r="D662" i="13"/>
  <c r="A662" i="13"/>
  <c r="E661" i="13"/>
  <c r="D661" i="13"/>
  <c r="A661" i="13"/>
  <c r="E660" i="13"/>
  <c r="D660" i="13"/>
  <c r="A660" i="13"/>
  <c r="E659" i="13"/>
  <c r="D659" i="13"/>
  <c r="A659" i="13"/>
  <c r="E658" i="13"/>
  <c r="D658" i="13"/>
  <c r="A658" i="13"/>
  <c r="E657" i="13"/>
  <c r="D657" i="13"/>
  <c r="A657" i="13"/>
  <c r="E656" i="13"/>
  <c r="D656" i="13"/>
  <c r="A656" i="13"/>
  <c r="E655" i="13"/>
  <c r="D655" i="13"/>
  <c r="A655" i="13"/>
  <c r="E654" i="13"/>
  <c r="D654" i="13"/>
  <c r="A654" i="13"/>
  <c r="E607" i="13"/>
  <c r="D607" i="13"/>
  <c r="A607" i="13"/>
  <c r="E606" i="13"/>
  <c r="D606" i="13"/>
  <c r="A606" i="13"/>
  <c r="E605" i="13"/>
  <c r="D605" i="13"/>
  <c r="A605" i="13"/>
  <c r="E604" i="13"/>
  <c r="D604" i="13"/>
  <c r="A604" i="13"/>
  <c r="E603" i="13"/>
  <c r="D603" i="13"/>
  <c r="A603" i="13"/>
  <c r="E602" i="13"/>
  <c r="D602" i="13"/>
  <c r="A602" i="13"/>
  <c r="E601" i="13"/>
  <c r="D601" i="13"/>
  <c r="A601" i="13"/>
  <c r="E600" i="13"/>
  <c r="D600" i="13"/>
  <c r="A600" i="13"/>
  <c r="E599" i="13"/>
  <c r="D599" i="13"/>
  <c r="A599" i="13"/>
  <c r="E598" i="13"/>
  <c r="D598" i="13"/>
  <c r="A598" i="13"/>
  <c r="E597" i="13"/>
  <c r="D597" i="13"/>
  <c r="A597" i="13"/>
  <c r="E596" i="13"/>
  <c r="D596" i="13"/>
  <c r="A596" i="13"/>
  <c r="E595" i="13"/>
  <c r="D595" i="13"/>
  <c r="A595" i="13"/>
  <c r="E594" i="13"/>
  <c r="D594" i="13"/>
  <c r="A594" i="13"/>
  <c r="E593" i="13"/>
  <c r="D593" i="13"/>
  <c r="A593" i="13"/>
  <c r="E592" i="13"/>
  <c r="D592" i="13"/>
  <c r="A592" i="13"/>
  <c r="E591" i="13"/>
  <c r="D591" i="13"/>
  <c r="A591" i="13"/>
  <c r="E590" i="13"/>
  <c r="D590" i="13"/>
  <c r="A590" i="13"/>
  <c r="E589" i="13"/>
  <c r="D589" i="13"/>
  <c r="A589" i="13"/>
  <c r="E588" i="13"/>
  <c r="D588" i="13"/>
  <c r="A588" i="13"/>
  <c r="E587" i="13"/>
  <c r="D587" i="13"/>
  <c r="A587" i="13"/>
  <c r="E586" i="13"/>
  <c r="D586" i="13"/>
  <c r="A586" i="13"/>
  <c r="E585" i="13"/>
  <c r="D585" i="13"/>
  <c r="A585" i="13"/>
  <c r="E584" i="13"/>
  <c r="D584" i="13"/>
  <c r="A584" i="13"/>
  <c r="E583" i="13"/>
  <c r="D583" i="13"/>
  <c r="A583" i="13"/>
  <c r="E582" i="13"/>
  <c r="D582" i="13"/>
  <c r="A582" i="13"/>
  <c r="E581" i="13"/>
  <c r="D581" i="13"/>
  <c r="A581" i="13"/>
  <c r="E580" i="13"/>
  <c r="D580" i="13"/>
  <c r="A580" i="13"/>
  <c r="E579" i="13"/>
  <c r="D579" i="13"/>
  <c r="A579" i="13"/>
  <c r="E578" i="13"/>
  <c r="D578" i="13"/>
  <c r="A578" i="13"/>
  <c r="E577" i="13"/>
  <c r="D577" i="13"/>
  <c r="A577" i="13"/>
  <c r="E530" i="13"/>
  <c r="D530" i="13"/>
  <c r="A530" i="13"/>
  <c r="E529" i="13"/>
  <c r="D529" i="13"/>
  <c r="A529" i="13"/>
  <c r="E528" i="13"/>
  <c r="D528" i="13"/>
  <c r="A528" i="13"/>
  <c r="E527" i="13"/>
  <c r="D527" i="13"/>
  <c r="A527" i="13"/>
  <c r="E526" i="13"/>
  <c r="D526" i="13"/>
  <c r="A526" i="13"/>
  <c r="E525" i="13"/>
  <c r="D525" i="13"/>
  <c r="A525" i="13"/>
  <c r="E524" i="13"/>
  <c r="D524" i="13"/>
  <c r="A524" i="13"/>
  <c r="E523" i="13"/>
  <c r="D523" i="13"/>
  <c r="A523" i="13"/>
  <c r="E522" i="13"/>
  <c r="D522" i="13"/>
  <c r="A522" i="13"/>
  <c r="E521" i="13"/>
  <c r="D521" i="13"/>
  <c r="A521" i="13"/>
  <c r="E520" i="13"/>
  <c r="D520" i="13"/>
  <c r="A520" i="13"/>
  <c r="E519" i="13"/>
  <c r="D519" i="13"/>
  <c r="A519" i="13"/>
  <c r="E518" i="13"/>
  <c r="D518" i="13"/>
  <c r="A518" i="13"/>
  <c r="E517" i="13"/>
  <c r="D517" i="13"/>
  <c r="A517" i="13"/>
  <c r="E516" i="13"/>
  <c r="D516" i="13"/>
  <c r="A516" i="13"/>
  <c r="E515" i="13"/>
  <c r="D515" i="13"/>
  <c r="A515" i="13"/>
  <c r="E514" i="13"/>
  <c r="D514" i="13"/>
  <c r="A514" i="13"/>
  <c r="E513" i="13"/>
  <c r="D513" i="13"/>
  <c r="A513" i="13"/>
  <c r="E512" i="13"/>
  <c r="D512" i="13"/>
  <c r="A512" i="13"/>
  <c r="E511" i="13"/>
  <c r="D511" i="13"/>
  <c r="A511" i="13"/>
  <c r="E510" i="13"/>
  <c r="D510" i="13"/>
  <c r="A510" i="13"/>
  <c r="E509" i="13"/>
  <c r="D509" i="13"/>
  <c r="A509" i="13"/>
  <c r="E508" i="13"/>
  <c r="D508" i="13"/>
  <c r="A508" i="13"/>
  <c r="E507" i="13"/>
  <c r="D507" i="13"/>
  <c r="A507" i="13"/>
  <c r="E506" i="13"/>
  <c r="D506" i="13"/>
  <c r="A506" i="13"/>
  <c r="E505" i="13"/>
  <c r="D505" i="13"/>
  <c r="A505" i="13"/>
  <c r="E504" i="13"/>
  <c r="D504" i="13"/>
  <c r="A504" i="13"/>
  <c r="E503" i="13"/>
  <c r="D503" i="13"/>
  <c r="A503" i="13"/>
  <c r="E502" i="13"/>
  <c r="D502" i="13"/>
  <c r="A502" i="13"/>
  <c r="E501" i="13"/>
  <c r="D501" i="13"/>
  <c r="A501" i="13"/>
  <c r="E500" i="13"/>
  <c r="D500" i="13"/>
  <c r="A500" i="13"/>
  <c r="E453" i="13"/>
  <c r="D453" i="13"/>
  <c r="A453" i="13"/>
  <c r="E452" i="13"/>
  <c r="D452" i="13"/>
  <c r="A452" i="13"/>
  <c r="E451" i="13"/>
  <c r="D451" i="13"/>
  <c r="A451" i="13"/>
  <c r="E450" i="13"/>
  <c r="D450" i="13"/>
  <c r="A450" i="13"/>
  <c r="E449" i="13"/>
  <c r="D449" i="13"/>
  <c r="A449" i="13"/>
  <c r="E448" i="13"/>
  <c r="D448" i="13"/>
  <c r="A448" i="13"/>
  <c r="E447" i="13"/>
  <c r="D447" i="13"/>
  <c r="A447" i="13"/>
  <c r="E446" i="13"/>
  <c r="D446" i="13"/>
  <c r="A446" i="13"/>
  <c r="E445" i="13"/>
  <c r="D445" i="13"/>
  <c r="A445" i="13"/>
  <c r="E444" i="13"/>
  <c r="D444" i="13"/>
  <c r="A444" i="13"/>
  <c r="E443" i="13"/>
  <c r="D443" i="13"/>
  <c r="A443" i="13"/>
  <c r="E442" i="13"/>
  <c r="D442" i="13"/>
  <c r="A442" i="13"/>
  <c r="E441" i="13"/>
  <c r="D441" i="13"/>
  <c r="A441" i="13"/>
  <c r="E440" i="13"/>
  <c r="D440" i="13"/>
  <c r="A440" i="13"/>
  <c r="E439" i="13"/>
  <c r="D439" i="13"/>
  <c r="A439" i="13"/>
  <c r="E438" i="13"/>
  <c r="D438" i="13"/>
  <c r="A438" i="13"/>
  <c r="E437" i="13"/>
  <c r="D437" i="13"/>
  <c r="A437" i="13"/>
  <c r="E436" i="13"/>
  <c r="D436" i="13"/>
  <c r="A436" i="13"/>
  <c r="E435" i="13"/>
  <c r="D435" i="13"/>
  <c r="A435" i="13"/>
  <c r="E434" i="13"/>
  <c r="D434" i="13"/>
  <c r="A434" i="13"/>
  <c r="E433" i="13"/>
  <c r="D433" i="13"/>
  <c r="A433" i="13"/>
  <c r="E432" i="13"/>
  <c r="D432" i="13"/>
  <c r="A432" i="13"/>
  <c r="E431" i="13"/>
  <c r="D431" i="13"/>
  <c r="A431" i="13"/>
  <c r="E430" i="13"/>
  <c r="D430" i="13"/>
  <c r="A430" i="13"/>
  <c r="E429" i="13"/>
  <c r="D429" i="13"/>
  <c r="A429" i="13"/>
  <c r="E428" i="13"/>
  <c r="D428" i="13"/>
  <c r="A428" i="13"/>
  <c r="E427" i="13"/>
  <c r="D427" i="13"/>
  <c r="A427" i="13"/>
  <c r="E426" i="13"/>
  <c r="D426" i="13"/>
  <c r="A426" i="13"/>
  <c r="E425" i="13"/>
  <c r="D425" i="13"/>
  <c r="A425" i="13"/>
  <c r="E424" i="13"/>
  <c r="D424" i="13"/>
  <c r="A424" i="13"/>
  <c r="E423" i="13"/>
  <c r="D423" i="13"/>
  <c r="A423" i="13"/>
  <c r="E376" i="13"/>
  <c r="D376" i="13"/>
  <c r="A376" i="13"/>
  <c r="E375" i="13"/>
  <c r="D375" i="13"/>
  <c r="A375" i="13"/>
  <c r="E374" i="13"/>
  <c r="D374" i="13"/>
  <c r="A374" i="13"/>
  <c r="E373" i="13"/>
  <c r="D373" i="13"/>
  <c r="A373" i="13"/>
  <c r="E372" i="13"/>
  <c r="D372" i="13"/>
  <c r="A372" i="13"/>
  <c r="E371" i="13"/>
  <c r="D371" i="13"/>
  <c r="A371" i="13"/>
  <c r="E370" i="13"/>
  <c r="D370" i="13"/>
  <c r="A370" i="13"/>
  <c r="E369" i="13"/>
  <c r="D369" i="13"/>
  <c r="A369" i="13"/>
  <c r="E368" i="13"/>
  <c r="D368" i="13"/>
  <c r="A368" i="13"/>
  <c r="E367" i="13"/>
  <c r="D367" i="13"/>
  <c r="A367" i="13"/>
  <c r="E366" i="13"/>
  <c r="D366" i="13"/>
  <c r="A366" i="13"/>
  <c r="E365" i="13"/>
  <c r="D365" i="13"/>
  <c r="A365" i="13"/>
  <c r="E364" i="13"/>
  <c r="D364" i="13"/>
  <c r="A364" i="13"/>
  <c r="E363" i="13"/>
  <c r="D363" i="13"/>
  <c r="A363" i="13"/>
  <c r="E362" i="13"/>
  <c r="D362" i="13"/>
  <c r="A362" i="13"/>
  <c r="E361" i="13"/>
  <c r="D361" i="13"/>
  <c r="A361" i="13"/>
  <c r="E360" i="13"/>
  <c r="D360" i="13"/>
  <c r="A360" i="13"/>
  <c r="E359" i="13"/>
  <c r="D359" i="13"/>
  <c r="A359" i="13"/>
  <c r="E358" i="13"/>
  <c r="D358" i="13"/>
  <c r="A358" i="13"/>
  <c r="E357" i="13"/>
  <c r="D357" i="13"/>
  <c r="A357" i="13"/>
  <c r="E356" i="13"/>
  <c r="D356" i="13"/>
  <c r="A356" i="13"/>
  <c r="E355" i="13"/>
  <c r="D355" i="13"/>
  <c r="A355" i="13"/>
  <c r="E354" i="13"/>
  <c r="D354" i="13"/>
  <c r="A354" i="13"/>
  <c r="E353" i="13"/>
  <c r="D353" i="13"/>
  <c r="A353" i="13"/>
  <c r="E352" i="13"/>
  <c r="D352" i="13"/>
  <c r="A352" i="13"/>
  <c r="E351" i="13"/>
  <c r="D351" i="13"/>
  <c r="A351" i="13"/>
  <c r="E350" i="13"/>
  <c r="D350" i="13"/>
  <c r="A350" i="13"/>
  <c r="E349" i="13"/>
  <c r="D349" i="13"/>
  <c r="A349" i="13"/>
  <c r="E348" i="13"/>
  <c r="D348" i="13"/>
  <c r="A348" i="13"/>
  <c r="E347" i="13"/>
  <c r="D347" i="13"/>
  <c r="A347" i="13"/>
  <c r="E346" i="13"/>
  <c r="D346" i="13"/>
  <c r="A346" i="13"/>
  <c r="E299" i="13"/>
  <c r="D299" i="13"/>
  <c r="A299" i="13"/>
  <c r="E298" i="13"/>
  <c r="D298" i="13"/>
  <c r="A298" i="13"/>
  <c r="E297" i="13"/>
  <c r="D297" i="13"/>
  <c r="A297" i="13"/>
  <c r="E296" i="13"/>
  <c r="D296" i="13"/>
  <c r="A296" i="13"/>
  <c r="E295" i="13"/>
  <c r="D295" i="13"/>
  <c r="A295" i="13"/>
  <c r="E294" i="13"/>
  <c r="D294" i="13"/>
  <c r="A294" i="13"/>
  <c r="E293" i="13"/>
  <c r="D293" i="13"/>
  <c r="A293" i="13"/>
  <c r="E292" i="13"/>
  <c r="D292" i="13"/>
  <c r="A292" i="13"/>
  <c r="E291" i="13"/>
  <c r="D291" i="13"/>
  <c r="A291" i="13"/>
  <c r="E290" i="13"/>
  <c r="D290" i="13"/>
  <c r="A290" i="13"/>
  <c r="E289" i="13"/>
  <c r="D289" i="13"/>
  <c r="A289" i="13"/>
  <c r="E288" i="13"/>
  <c r="D288" i="13"/>
  <c r="A288" i="13"/>
  <c r="E287" i="13"/>
  <c r="D287" i="13"/>
  <c r="A287" i="13"/>
  <c r="E286" i="13"/>
  <c r="D286" i="13"/>
  <c r="A286" i="13"/>
  <c r="E285" i="13"/>
  <c r="D285" i="13"/>
  <c r="A285" i="13"/>
  <c r="E284" i="13"/>
  <c r="D284" i="13"/>
  <c r="A284" i="13"/>
  <c r="E283" i="13"/>
  <c r="D283" i="13"/>
  <c r="A283" i="13"/>
  <c r="E282" i="13"/>
  <c r="D282" i="13"/>
  <c r="A282" i="13"/>
  <c r="E281" i="13"/>
  <c r="D281" i="13"/>
  <c r="A281" i="13"/>
  <c r="E280" i="13"/>
  <c r="D280" i="13"/>
  <c r="A280" i="13"/>
  <c r="E279" i="13"/>
  <c r="D279" i="13"/>
  <c r="A279" i="13"/>
  <c r="E278" i="13"/>
  <c r="D278" i="13"/>
  <c r="A278" i="13"/>
  <c r="E277" i="13"/>
  <c r="D277" i="13"/>
  <c r="A277" i="13"/>
  <c r="E276" i="13"/>
  <c r="D276" i="13"/>
  <c r="A276" i="13"/>
  <c r="E275" i="13"/>
  <c r="D275" i="13"/>
  <c r="A275" i="13"/>
  <c r="E274" i="13"/>
  <c r="D274" i="13"/>
  <c r="A274" i="13"/>
  <c r="E273" i="13"/>
  <c r="D273" i="13"/>
  <c r="A273" i="13"/>
  <c r="E272" i="13"/>
  <c r="D272" i="13"/>
  <c r="A272" i="13"/>
  <c r="E271" i="13"/>
  <c r="D271" i="13"/>
  <c r="A271" i="13"/>
  <c r="E270" i="13"/>
  <c r="D270" i="13"/>
  <c r="A270" i="13"/>
  <c r="E269" i="13"/>
  <c r="D269" i="13"/>
  <c r="A269" i="13"/>
  <c r="E684" i="14"/>
  <c r="D684" i="14"/>
  <c r="A684" i="14"/>
  <c r="E683" i="14"/>
  <c r="D683" i="14"/>
  <c r="A683" i="14"/>
  <c r="E682" i="14"/>
  <c r="D682" i="14"/>
  <c r="A682" i="14"/>
  <c r="E681" i="14"/>
  <c r="D681" i="14"/>
  <c r="A681" i="14"/>
  <c r="E680" i="14"/>
  <c r="D680" i="14"/>
  <c r="A680" i="14"/>
  <c r="E679" i="14"/>
  <c r="D679" i="14"/>
  <c r="A679" i="14"/>
  <c r="E678" i="14"/>
  <c r="D678" i="14"/>
  <c r="A678" i="14"/>
  <c r="E677" i="14"/>
  <c r="D677" i="14"/>
  <c r="A677" i="14"/>
  <c r="E676" i="14"/>
  <c r="D676" i="14"/>
  <c r="A676" i="14"/>
  <c r="E675" i="14"/>
  <c r="D675" i="14"/>
  <c r="A675" i="14"/>
  <c r="E674" i="14"/>
  <c r="D674" i="14"/>
  <c r="A674" i="14"/>
  <c r="E673" i="14"/>
  <c r="D673" i="14"/>
  <c r="A673" i="14"/>
  <c r="E672" i="14"/>
  <c r="D672" i="14"/>
  <c r="A672" i="14"/>
  <c r="E671" i="14"/>
  <c r="D671" i="14"/>
  <c r="A671" i="14"/>
  <c r="E670" i="14"/>
  <c r="D670" i="14"/>
  <c r="A670" i="14"/>
  <c r="E669" i="14"/>
  <c r="D669" i="14"/>
  <c r="A669" i="14"/>
  <c r="E668" i="14"/>
  <c r="D668" i="14"/>
  <c r="A668" i="14"/>
  <c r="E667" i="14"/>
  <c r="D667" i="14"/>
  <c r="A667" i="14"/>
  <c r="E666" i="14"/>
  <c r="D666" i="14"/>
  <c r="A666" i="14"/>
  <c r="E665" i="14"/>
  <c r="D665" i="14"/>
  <c r="A665" i="14"/>
  <c r="E664" i="14"/>
  <c r="D664" i="14"/>
  <c r="A664" i="14"/>
  <c r="E663" i="14"/>
  <c r="D663" i="14"/>
  <c r="A663" i="14"/>
  <c r="E662" i="14"/>
  <c r="D662" i="14"/>
  <c r="A662" i="14"/>
  <c r="E661" i="14"/>
  <c r="D661" i="14"/>
  <c r="A661" i="14"/>
  <c r="E660" i="14"/>
  <c r="D660" i="14"/>
  <c r="A660" i="14"/>
  <c r="E659" i="14"/>
  <c r="D659" i="14"/>
  <c r="A659" i="14"/>
  <c r="E658" i="14"/>
  <c r="D658" i="14"/>
  <c r="A658" i="14"/>
  <c r="E657" i="14"/>
  <c r="D657" i="14"/>
  <c r="A657" i="14"/>
  <c r="E656" i="14"/>
  <c r="D656" i="14"/>
  <c r="A656" i="14"/>
  <c r="E655" i="14"/>
  <c r="D655" i="14"/>
  <c r="A655" i="14"/>
  <c r="E654" i="14"/>
  <c r="D654" i="14"/>
  <c r="A654" i="14"/>
  <c r="E607" i="14"/>
  <c r="D607" i="14"/>
  <c r="A607" i="14"/>
  <c r="E606" i="14"/>
  <c r="D606" i="14"/>
  <c r="A606" i="14"/>
  <c r="E605" i="14"/>
  <c r="D605" i="14"/>
  <c r="A605" i="14"/>
  <c r="E604" i="14"/>
  <c r="D604" i="14"/>
  <c r="A604" i="14"/>
  <c r="E603" i="14"/>
  <c r="D603" i="14"/>
  <c r="A603" i="14"/>
  <c r="E602" i="14"/>
  <c r="D602" i="14"/>
  <c r="A602" i="14"/>
  <c r="E601" i="14"/>
  <c r="D601" i="14"/>
  <c r="A601" i="14"/>
  <c r="E600" i="14"/>
  <c r="D600" i="14"/>
  <c r="A600" i="14"/>
  <c r="E599" i="14"/>
  <c r="D599" i="14"/>
  <c r="A599" i="14"/>
  <c r="E598" i="14"/>
  <c r="D598" i="14"/>
  <c r="A598" i="14"/>
  <c r="E597" i="14"/>
  <c r="D597" i="14"/>
  <c r="A597" i="14"/>
  <c r="E596" i="14"/>
  <c r="D596" i="14"/>
  <c r="A596" i="14"/>
  <c r="E595" i="14"/>
  <c r="D595" i="14"/>
  <c r="A595" i="14"/>
  <c r="E594" i="14"/>
  <c r="D594" i="14"/>
  <c r="A594" i="14"/>
  <c r="E593" i="14"/>
  <c r="D593" i="14"/>
  <c r="A593" i="14"/>
  <c r="E592" i="14"/>
  <c r="D592" i="14"/>
  <c r="A592" i="14"/>
  <c r="E591" i="14"/>
  <c r="D591" i="14"/>
  <c r="A591" i="14"/>
  <c r="E590" i="14"/>
  <c r="D590" i="14"/>
  <c r="A590" i="14"/>
  <c r="E589" i="14"/>
  <c r="D589" i="14"/>
  <c r="A589" i="14"/>
  <c r="E588" i="14"/>
  <c r="D588" i="14"/>
  <c r="A588" i="14"/>
  <c r="E587" i="14"/>
  <c r="D587" i="14"/>
  <c r="A587" i="14"/>
  <c r="E586" i="14"/>
  <c r="D586" i="14"/>
  <c r="A586" i="14"/>
  <c r="E585" i="14"/>
  <c r="D585" i="14"/>
  <c r="A585" i="14"/>
  <c r="E584" i="14"/>
  <c r="D584" i="14"/>
  <c r="A584" i="14"/>
  <c r="E583" i="14"/>
  <c r="D583" i="14"/>
  <c r="A583" i="14"/>
  <c r="E582" i="14"/>
  <c r="D582" i="14"/>
  <c r="A582" i="14"/>
  <c r="E581" i="14"/>
  <c r="D581" i="14"/>
  <c r="A581" i="14"/>
  <c r="E580" i="14"/>
  <c r="D580" i="14"/>
  <c r="A580" i="14"/>
  <c r="E579" i="14"/>
  <c r="D579" i="14"/>
  <c r="A579" i="14"/>
  <c r="E578" i="14"/>
  <c r="D578" i="14"/>
  <c r="A578" i="14"/>
  <c r="E577" i="14"/>
  <c r="D577" i="14"/>
  <c r="A577" i="14"/>
  <c r="E530" i="14"/>
  <c r="D530" i="14"/>
  <c r="A530" i="14"/>
  <c r="E529" i="14"/>
  <c r="D529" i="14"/>
  <c r="A529" i="14"/>
  <c r="E528" i="14"/>
  <c r="D528" i="14"/>
  <c r="A528" i="14"/>
  <c r="E527" i="14"/>
  <c r="D527" i="14"/>
  <c r="A527" i="14"/>
  <c r="E526" i="14"/>
  <c r="D526" i="14"/>
  <c r="A526" i="14"/>
  <c r="E525" i="14"/>
  <c r="D525" i="14"/>
  <c r="A525" i="14"/>
  <c r="E524" i="14"/>
  <c r="D524" i="14"/>
  <c r="A524" i="14"/>
  <c r="E523" i="14"/>
  <c r="D523" i="14"/>
  <c r="A523" i="14"/>
  <c r="E522" i="14"/>
  <c r="D522" i="14"/>
  <c r="A522" i="14"/>
  <c r="E521" i="14"/>
  <c r="D521" i="14"/>
  <c r="A521" i="14"/>
  <c r="E520" i="14"/>
  <c r="D520" i="14"/>
  <c r="A520" i="14"/>
  <c r="E519" i="14"/>
  <c r="D519" i="14"/>
  <c r="A519" i="14"/>
  <c r="E518" i="14"/>
  <c r="D518" i="14"/>
  <c r="A518" i="14"/>
  <c r="E517" i="14"/>
  <c r="D517" i="14"/>
  <c r="A517" i="14"/>
  <c r="E516" i="14"/>
  <c r="D516" i="14"/>
  <c r="A516" i="14"/>
  <c r="E515" i="14"/>
  <c r="D515" i="14"/>
  <c r="A515" i="14"/>
  <c r="E514" i="14"/>
  <c r="D514" i="14"/>
  <c r="A514" i="14"/>
  <c r="E513" i="14"/>
  <c r="D513" i="14"/>
  <c r="A513" i="14"/>
  <c r="E512" i="14"/>
  <c r="D512" i="14"/>
  <c r="A512" i="14"/>
  <c r="E511" i="14"/>
  <c r="D511" i="14"/>
  <c r="A511" i="14"/>
  <c r="E510" i="14"/>
  <c r="D510" i="14"/>
  <c r="A510" i="14"/>
  <c r="E509" i="14"/>
  <c r="D509" i="14"/>
  <c r="A509" i="14"/>
  <c r="E508" i="14"/>
  <c r="D508" i="14"/>
  <c r="A508" i="14"/>
  <c r="E507" i="14"/>
  <c r="D507" i="14"/>
  <c r="A507" i="14"/>
  <c r="E506" i="14"/>
  <c r="D506" i="14"/>
  <c r="A506" i="14"/>
  <c r="E505" i="14"/>
  <c r="D505" i="14"/>
  <c r="A505" i="14"/>
  <c r="E504" i="14"/>
  <c r="D504" i="14"/>
  <c r="A504" i="14"/>
  <c r="E503" i="14"/>
  <c r="D503" i="14"/>
  <c r="A503" i="14"/>
  <c r="E502" i="14"/>
  <c r="D502" i="14"/>
  <c r="A502" i="14"/>
  <c r="E501" i="14"/>
  <c r="D501" i="14"/>
  <c r="A501" i="14"/>
  <c r="E500" i="14"/>
  <c r="D500" i="14"/>
  <c r="A500" i="14"/>
  <c r="E453" i="14"/>
  <c r="D453" i="14"/>
  <c r="A453" i="14"/>
  <c r="E452" i="14"/>
  <c r="D452" i="14"/>
  <c r="A452" i="14"/>
  <c r="E451" i="14"/>
  <c r="D451" i="14"/>
  <c r="A451" i="14"/>
  <c r="E450" i="14"/>
  <c r="D450" i="14"/>
  <c r="A450" i="14"/>
  <c r="E449" i="14"/>
  <c r="D449" i="14"/>
  <c r="A449" i="14"/>
  <c r="E448" i="14"/>
  <c r="D448" i="14"/>
  <c r="A448" i="14"/>
  <c r="E447" i="14"/>
  <c r="D447" i="14"/>
  <c r="A447" i="14"/>
  <c r="E446" i="14"/>
  <c r="D446" i="14"/>
  <c r="A446" i="14"/>
  <c r="E445" i="14"/>
  <c r="D445" i="14"/>
  <c r="A445" i="14"/>
  <c r="E444" i="14"/>
  <c r="D444" i="14"/>
  <c r="A444" i="14"/>
  <c r="E443" i="14"/>
  <c r="D443" i="14"/>
  <c r="A443" i="14"/>
  <c r="E442" i="14"/>
  <c r="D442" i="14"/>
  <c r="A442" i="14"/>
  <c r="E441" i="14"/>
  <c r="D441" i="14"/>
  <c r="A441" i="14"/>
  <c r="E440" i="14"/>
  <c r="D440" i="14"/>
  <c r="A440" i="14"/>
  <c r="E439" i="14"/>
  <c r="D439" i="14"/>
  <c r="A439" i="14"/>
  <c r="E438" i="14"/>
  <c r="D438" i="14"/>
  <c r="A438" i="14"/>
  <c r="E437" i="14"/>
  <c r="D437" i="14"/>
  <c r="A437" i="14"/>
  <c r="E436" i="14"/>
  <c r="D436" i="14"/>
  <c r="A436" i="14"/>
  <c r="E435" i="14"/>
  <c r="D435" i="14"/>
  <c r="A435" i="14"/>
  <c r="E434" i="14"/>
  <c r="D434" i="14"/>
  <c r="A434" i="14"/>
  <c r="E433" i="14"/>
  <c r="D433" i="14"/>
  <c r="A433" i="14"/>
  <c r="E432" i="14"/>
  <c r="D432" i="14"/>
  <c r="A432" i="14"/>
  <c r="E431" i="14"/>
  <c r="D431" i="14"/>
  <c r="A431" i="14"/>
  <c r="E430" i="14"/>
  <c r="D430" i="14"/>
  <c r="A430" i="14"/>
  <c r="E429" i="14"/>
  <c r="D429" i="14"/>
  <c r="A429" i="14"/>
  <c r="E428" i="14"/>
  <c r="D428" i="14"/>
  <c r="A428" i="14"/>
  <c r="E427" i="14"/>
  <c r="D427" i="14"/>
  <c r="A427" i="14"/>
  <c r="E426" i="14"/>
  <c r="D426" i="14"/>
  <c r="A426" i="14"/>
  <c r="E425" i="14"/>
  <c r="D425" i="14"/>
  <c r="A425" i="14"/>
  <c r="E424" i="14"/>
  <c r="D424" i="14"/>
  <c r="A424" i="14"/>
  <c r="E423" i="14"/>
  <c r="D423" i="14"/>
  <c r="A423" i="14"/>
  <c r="E376" i="14"/>
  <c r="D376" i="14"/>
  <c r="A376" i="14"/>
  <c r="E375" i="14"/>
  <c r="D375" i="14"/>
  <c r="A375" i="14"/>
  <c r="E374" i="14"/>
  <c r="D374" i="14"/>
  <c r="A374" i="14"/>
  <c r="E373" i="14"/>
  <c r="D373" i="14"/>
  <c r="A373" i="14"/>
  <c r="E372" i="14"/>
  <c r="D372" i="14"/>
  <c r="A372" i="14"/>
  <c r="E371" i="14"/>
  <c r="D371" i="14"/>
  <c r="A371" i="14"/>
  <c r="E370" i="14"/>
  <c r="D370" i="14"/>
  <c r="A370" i="14"/>
  <c r="E369" i="14"/>
  <c r="D369" i="14"/>
  <c r="A369" i="14"/>
  <c r="E368" i="14"/>
  <c r="D368" i="14"/>
  <c r="A368" i="14"/>
  <c r="E367" i="14"/>
  <c r="D367" i="14"/>
  <c r="A367" i="14"/>
  <c r="E366" i="14"/>
  <c r="D366" i="14"/>
  <c r="A366" i="14"/>
  <c r="E365" i="14"/>
  <c r="D365" i="14"/>
  <c r="A365" i="14"/>
  <c r="E364" i="14"/>
  <c r="D364" i="14"/>
  <c r="A364" i="14"/>
  <c r="E363" i="14"/>
  <c r="D363" i="14"/>
  <c r="A363" i="14"/>
  <c r="E362" i="14"/>
  <c r="D362" i="14"/>
  <c r="A362" i="14"/>
  <c r="E361" i="14"/>
  <c r="D361" i="14"/>
  <c r="A361" i="14"/>
  <c r="E360" i="14"/>
  <c r="D360" i="14"/>
  <c r="A360" i="14"/>
  <c r="E359" i="14"/>
  <c r="D359" i="14"/>
  <c r="A359" i="14"/>
  <c r="E358" i="14"/>
  <c r="D358" i="14"/>
  <c r="A358" i="14"/>
  <c r="E357" i="14"/>
  <c r="D357" i="14"/>
  <c r="A357" i="14"/>
  <c r="E356" i="14"/>
  <c r="D356" i="14"/>
  <c r="A356" i="14"/>
  <c r="E355" i="14"/>
  <c r="D355" i="14"/>
  <c r="A355" i="14"/>
  <c r="E354" i="14"/>
  <c r="D354" i="14"/>
  <c r="A354" i="14"/>
  <c r="E353" i="14"/>
  <c r="D353" i="14"/>
  <c r="A353" i="14"/>
  <c r="E352" i="14"/>
  <c r="D352" i="14"/>
  <c r="A352" i="14"/>
  <c r="E351" i="14"/>
  <c r="D351" i="14"/>
  <c r="A351" i="14"/>
  <c r="E350" i="14"/>
  <c r="D350" i="14"/>
  <c r="A350" i="14"/>
  <c r="E349" i="14"/>
  <c r="D349" i="14"/>
  <c r="A349" i="14"/>
  <c r="E348" i="14"/>
  <c r="D348" i="14"/>
  <c r="A348" i="14"/>
  <c r="E347" i="14"/>
  <c r="D347" i="14"/>
  <c r="A347" i="14"/>
  <c r="E346" i="14"/>
  <c r="D346" i="14"/>
  <c r="A346" i="14"/>
  <c r="E299" i="14"/>
  <c r="D299" i="14"/>
  <c r="A299" i="14"/>
  <c r="E298" i="14"/>
  <c r="D298" i="14"/>
  <c r="A298" i="14"/>
  <c r="E297" i="14"/>
  <c r="D297" i="14"/>
  <c r="A297" i="14"/>
  <c r="E296" i="14"/>
  <c r="D296" i="14"/>
  <c r="A296" i="14"/>
  <c r="E295" i="14"/>
  <c r="D295" i="14"/>
  <c r="A295" i="14"/>
  <c r="E294" i="14"/>
  <c r="D294" i="14"/>
  <c r="A294" i="14"/>
  <c r="E293" i="14"/>
  <c r="D293" i="14"/>
  <c r="A293" i="14"/>
  <c r="E292" i="14"/>
  <c r="D292" i="14"/>
  <c r="A292" i="14"/>
  <c r="E291" i="14"/>
  <c r="D291" i="14"/>
  <c r="A291" i="14"/>
  <c r="E290" i="14"/>
  <c r="D290" i="14"/>
  <c r="A290" i="14"/>
  <c r="E289" i="14"/>
  <c r="D289" i="14"/>
  <c r="A289" i="14"/>
  <c r="E288" i="14"/>
  <c r="D288" i="14"/>
  <c r="A288" i="14"/>
  <c r="E287" i="14"/>
  <c r="D287" i="14"/>
  <c r="A287" i="14"/>
  <c r="E286" i="14"/>
  <c r="D286" i="14"/>
  <c r="A286" i="14"/>
  <c r="E285" i="14"/>
  <c r="D285" i="14"/>
  <c r="A285" i="14"/>
  <c r="E284" i="14"/>
  <c r="D284" i="14"/>
  <c r="A284" i="14"/>
  <c r="E283" i="14"/>
  <c r="D283" i="14"/>
  <c r="A283" i="14"/>
  <c r="E282" i="14"/>
  <c r="D282" i="14"/>
  <c r="A282" i="14"/>
  <c r="E281" i="14"/>
  <c r="D281" i="14"/>
  <c r="A281" i="14"/>
  <c r="E280" i="14"/>
  <c r="D280" i="14"/>
  <c r="A280" i="14"/>
  <c r="E279" i="14"/>
  <c r="D279" i="14"/>
  <c r="A279" i="14"/>
  <c r="E278" i="14"/>
  <c r="D278" i="14"/>
  <c r="A278" i="14"/>
  <c r="E277" i="14"/>
  <c r="D277" i="14"/>
  <c r="A277" i="14"/>
  <c r="E276" i="14"/>
  <c r="D276" i="14"/>
  <c r="A276" i="14"/>
  <c r="E275" i="14"/>
  <c r="D275" i="14"/>
  <c r="A275" i="14"/>
  <c r="E274" i="14"/>
  <c r="D274" i="14"/>
  <c r="A274" i="14"/>
  <c r="E273" i="14"/>
  <c r="D273" i="14"/>
  <c r="A273" i="14"/>
  <c r="E272" i="14"/>
  <c r="D272" i="14"/>
  <c r="A272" i="14"/>
  <c r="E271" i="14"/>
  <c r="D271" i="14"/>
  <c r="A271" i="14"/>
  <c r="E270" i="14"/>
  <c r="D270" i="14"/>
  <c r="A270" i="14"/>
  <c r="E269" i="14"/>
  <c r="D269" i="14"/>
  <c r="A269" i="14"/>
  <c r="E684" i="18"/>
  <c r="D684" i="18"/>
  <c r="A684" i="18"/>
  <c r="E683" i="18"/>
  <c r="D683" i="18"/>
  <c r="A683" i="18"/>
  <c r="E682" i="18"/>
  <c r="D682" i="18"/>
  <c r="A682" i="18"/>
  <c r="E681" i="18"/>
  <c r="D681" i="18"/>
  <c r="A681" i="18"/>
  <c r="E680" i="18"/>
  <c r="D680" i="18"/>
  <c r="A680" i="18"/>
  <c r="E679" i="18"/>
  <c r="D679" i="18"/>
  <c r="A679" i="18"/>
  <c r="E678" i="18"/>
  <c r="D678" i="18"/>
  <c r="A678" i="18"/>
  <c r="E677" i="18"/>
  <c r="D677" i="18"/>
  <c r="A677" i="18"/>
  <c r="E676" i="18"/>
  <c r="D676" i="18"/>
  <c r="A676" i="18"/>
  <c r="E675" i="18"/>
  <c r="D675" i="18"/>
  <c r="A675" i="18"/>
  <c r="E674" i="18"/>
  <c r="D674" i="18"/>
  <c r="A674" i="18"/>
  <c r="E673" i="18"/>
  <c r="D673" i="18"/>
  <c r="A673" i="18"/>
  <c r="E672" i="18"/>
  <c r="D672" i="18"/>
  <c r="A672" i="18"/>
  <c r="E671" i="18"/>
  <c r="D671" i="18"/>
  <c r="A671" i="18"/>
  <c r="E670" i="18"/>
  <c r="D670" i="18"/>
  <c r="A670" i="18"/>
  <c r="E669" i="18"/>
  <c r="D669" i="18"/>
  <c r="A669" i="18"/>
  <c r="E668" i="18"/>
  <c r="D668" i="18"/>
  <c r="A668" i="18"/>
  <c r="E667" i="18"/>
  <c r="D667" i="18"/>
  <c r="A667" i="18"/>
  <c r="E666" i="18"/>
  <c r="D666" i="18"/>
  <c r="A666" i="18"/>
  <c r="E665" i="18"/>
  <c r="D665" i="18"/>
  <c r="A665" i="18"/>
  <c r="E664" i="18"/>
  <c r="D664" i="18"/>
  <c r="A664" i="18"/>
  <c r="E663" i="18"/>
  <c r="D663" i="18"/>
  <c r="A663" i="18"/>
  <c r="E662" i="18"/>
  <c r="D662" i="18"/>
  <c r="A662" i="18"/>
  <c r="E661" i="18"/>
  <c r="D661" i="18"/>
  <c r="A661" i="18"/>
  <c r="E660" i="18"/>
  <c r="D660" i="18"/>
  <c r="A660" i="18"/>
  <c r="E659" i="18"/>
  <c r="D659" i="18"/>
  <c r="A659" i="18"/>
  <c r="E658" i="18"/>
  <c r="D658" i="18"/>
  <c r="A658" i="18"/>
  <c r="E657" i="18"/>
  <c r="D657" i="18"/>
  <c r="A657" i="18"/>
  <c r="E656" i="18"/>
  <c r="D656" i="18"/>
  <c r="A656" i="18"/>
  <c r="E655" i="18"/>
  <c r="D655" i="18"/>
  <c r="A655" i="18"/>
  <c r="E654" i="18"/>
  <c r="D654" i="18"/>
  <c r="A654" i="18"/>
  <c r="E607" i="18"/>
  <c r="D607" i="18"/>
  <c r="A607" i="18"/>
  <c r="E606" i="18"/>
  <c r="D606" i="18"/>
  <c r="A606" i="18"/>
  <c r="E605" i="18"/>
  <c r="D605" i="18"/>
  <c r="A605" i="18"/>
  <c r="E604" i="18"/>
  <c r="D604" i="18"/>
  <c r="A604" i="18"/>
  <c r="E603" i="18"/>
  <c r="D603" i="18"/>
  <c r="A603" i="18"/>
  <c r="E602" i="18"/>
  <c r="D602" i="18"/>
  <c r="A602" i="18"/>
  <c r="E601" i="18"/>
  <c r="D601" i="18"/>
  <c r="A601" i="18"/>
  <c r="E600" i="18"/>
  <c r="D600" i="18"/>
  <c r="A600" i="18"/>
  <c r="E599" i="18"/>
  <c r="D599" i="18"/>
  <c r="A599" i="18"/>
  <c r="E598" i="18"/>
  <c r="D598" i="18"/>
  <c r="A598" i="18"/>
  <c r="E597" i="18"/>
  <c r="D597" i="18"/>
  <c r="A597" i="18"/>
  <c r="E596" i="18"/>
  <c r="D596" i="18"/>
  <c r="A596" i="18"/>
  <c r="E595" i="18"/>
  <c r="D595" i="18"/>
  <c r="A595" i="18"/>
  <c r="E594" i="18"/>
  <c r="D594" i="18"/>
  <c r="A594" i="18"/>
  <c r="E593" i="18"/>
  <c r="D593" i="18"/>
  <c r="A593" i="18"/>
  <c r="E592" i="18"/>
  <c r="D592" i="18"/>
  <c r="A592" i="18"/>
  <c r="E591" i="18"/>
  <c r="D591" i="18"/>
  <c r="A591" i="18"/>
  <c r="E590" i="18"/>
  <c r="D590" i="18"/>
  <c r="A590" i="18"/>
  <c r="E589" i="18"/>
  <c r="D589" i="18"/>
  <c r="A589" i="18"/>
  <c r="E588" i="18"/>
  <c r="D588" i="18"/>
  <c r="A588" i="18"/>
  <c r="E587" i="18"/>
  <c r="D587" i="18"/>
  <c r="A587" i="18"/>
  <c r="E586" i="18"/>
  <c r="D586" i="18"/>
  <c r="A586" i="18"/>
  <c r="E585" i="18"/>
  <c r="D585" i="18"/>
  <c r="A585" i="18"/>
  <c r="E584" i="18"/>
  <c r="D584" i="18"/>
  <c r="A584" i="18"/>
  <c r="E583" i="18"/>
  <c r="D583" i="18"/>
  <c r="A583" i="18"/>
  <c r="E582" i="18"/>
  <c r="D582" i="18"/>
  <c r="A582" i="18"/>
  <c r="E581" i="18"/>
  <c r="D581" i="18"/>
  <c r="A581" i="18"/>
  <c r="E580" i="18"/>
  <c r="D580" i="18"/>
  <c r="A580" i="18"/>
  <c r="E579" i="18"/>
  <c r="D579" i="18"/>
  <c r="A579" i="18"/>
  <c r="E578" i="18"/>
  <c r="D578" i="18"/>
  <c r="A578" i="18"/>
  <c r="E577" i="18"/>
  <c r="D577" i="18"/>
  <c r="A577" i="18"/>
  <c r="E530" i="18"/>
  <c r="D530" i="18"/>
  <c r="A530" i="18"/>
  <c r="E529" i="18"/>
  <c r="D529" i="18"/>
  <c r="A529" i="18"/>
  <c r="E528" i="18"/>
  <c r="D528" i="18"/>
  <c r="A528" i="18"/>
  <c r="E527" i="18"/>
  <c r="D527" i="18"/>
  <c r="A527" i="18"/>
  <c r="E526" i="18"/>
  <c r="D526" i="18"/>
  <c r="A526" i="18"/>
  <c r="E525" i="18"/>
  <c r="D525" i="18"/>
  <c r="A525" i="18"/>
  <c r="E524" i="18"/>
  <c r="D524" i="18"/>
  <c r="A524" i="18"/>
  <c r="E523" i="18"/>
  <c r="D523" i="18"/>
  <c r="A523" i="18"/>
  <c r="E522" i="18"/>
  <c r="D522" i="18"/>
  <c r="A522" i="18"/>
  <c r="E521" i="18"/>
  <c r="D521" i="18"/>
  <c r="A521" i="18"/>
  <c r="E520" i="18"/>
  <c r="D520" i="18"/>
  <c r="A520" i="18"/>
  <c r="E519" i="18"/>
  <c r="D519" i="18"/>
  <c r="A519" i="18"/>
  <c r="E518" i="18"/>
  <c r="D518" i="18"/>
  <c r="A518" i="18"/>
  <c r="E517" i="18"/>
  <c r="D517" i="18"/>
  <c r="A517" i="18"/>
  <c r="E516" i="18"/>
  <c r="D516" i="18"/>
  <c r="A516" i="18"/>
  <c r="E515" i="18"/>
  <c r="D515" i="18"/>
  <c r="A515" i="18"/>
  <c r="E514" i="18"/>
  <c r="D514" i="18"/>
  <c r="A514" i="18"/>
  <c r="E513" i="18"/>
  <c r="D513" i="18"/>
  <c r="A513" i="18"/>
  <c r="E512" i="18"/>
  <c r="D512" i="18"/>
  <c r="A512" i="18"/>
  <c r="E511" i="18"/>
  <c r="D511" i="18"/>
  <c r="A511" i="18"/>
  <c r="E510" i="18"/>
  <c r="D510" i="18"/>
  <c r="A510" i="18"/>
  <c r="E509" i="18"/>
  <c r="D509" i="18"/>
  <c r="A509" i="18"/>
  <c r="E508" i="18"/>
  <c r="D508" i="18"/>
  <c r="A508" i="18"/>
  <c r="E507" i="18"/>
  <c r="D507" i="18"/>
  <c r="A507" i="18"/>
  <c r="E506" i="18"/>
  <c r="D506" i="18"/>
  <c r="A506" i="18"/>
  <c r="E505" i="18"/>
  <c r="D505" i="18"/>
  <c r="A505" i="18"/>
  <c r="E504" i="18"/>
  <c r="D504" i="18"/>
  <c r="A504" i="18"/>
  <c r="E503" i="18"/>
  <c r="D503" i="18"/>
  <c r="A503" i="18"/>
  <c r="E502" i="18"/>
  <c r="D502" i="18"/>
  <c r="A502" i="18"/>
  <c r="E501" i="18"/>
  <c r="D501" i="18"/>
  <c r="A501" i="18"/>
  <c r="E500" i="18"/>
  <c r="D500" i="18"/>
  <c r="A500" i="18"/>
  <c r="E453" i="18"/>
  <c r="D453" i="18"/>
  <c r="A453" i="18"/>
  <c r="E452" i="18"/>
  <c r="D452" i="18"/>
  <c r="A452" i="18"/>
  <c r="E451" i="18"/>
  <c r="D451" i="18"/>
  <c r="A451" i="18"/>
  <c r="E450" i="18"/>
  <c r="D450" i="18"/>
  <c r="A450" i="18"/>
  <c r="E449" i="18"/>
  <c r="D449" i="18"/>
  <c r="A449" i="18"/>
  <c r="E448" i="18"/>
  <c r="D448" i="18"/>
  <c r="A448" i="18"/>
  <c r="E447" i="18"/>
  <c r="D447" i="18"/>
  <c r="A447" i="18"/>
  <c r="E446" i="18"/>
  <c r="D446" i="18"/>
  <c r="A446" i="18"/>
  <c r="E445" i="18"/>
  <c r="D445" i="18"/>
  <c r="A445" i="18"/>
  <c r="E444" i="18"/>
  <c r="D444" i="18"/>
  <c r="A444" i="18"/>
  <c r="E443" i="18"/>
  <c r="D443" i="18"/>
  <c r="A443" i="18"/>
  <c r="E442" i="18"/>
  <c r="D442" i="18"/>
  <c r="A442" i="18"/>
  <c r="E441" i="18"/>
  <c r="D441" i="18"/>
  <c r="A441" i="18"/>
  <c r="E440" i="18"/>
  <c r="D440" i="18"/>
  <c r="A440" i="18"/>
  <c r="E439" i="18"/>
  <c r="D439" i="18"/>
  <c r="A439" i="18"/>
  <c r="E438" i="18"/>
  <c r="D438" i="18"/>
  <c r="A438" i="18"/>
  <c r="E437" i="18"/>
  <c r="D437" i="18"/>
  <c r="A437" i="18"/>
  <c r="E436" i="18"/>
  <c r="D436" i="18"/>
  <c r="A436" i="18"/>
  <c r="E435" i="18"/>
  <c r="D435" i="18"/>
  <c r="A435" i="18"/>
  <c r="E434" i="18"/>
  <c r="D434" i="18"/>
  <c r="A434" i="18"/>
  <c r="E433" i="18"/>
  <c r="D433" i="18"/>
  <c r="A433" i="18"/>
  <c r="E432" i="18"/>
  <c r="D432" i="18"/>
  <c r="A432" i="18"/>
  <c r="E431" i="18"/>
  <c r="D431" i="18"/>
  <c r="A431" i="18"/>
  <c r="E430" i="18"/>
  <c r="D430" i="18"/>
  <c r="A430" i="18"/>
  <c r="E429" i="18"/>
  <c r="D429" i="18"/>
  <c r="A429" i="18"/>
  <c r="E428" i="18"/>
  <c r="D428" i="18"/>
  <c r="A428" i="18"/>
  <c r="E427" i="18"/>
  <c r="D427" i="18"/>
  <c r="A427" i="18"/>
  <c r="E426" i="18"/>
  <c r="D426" i="18"/>
  <c r="A426" i="18"/>
  <c r="E425" i="18"/>
  <c r="D425" i="18"/>
  <c r="A425" i="18"/>
  <c r="E424" i="18"/>
  <c r="D424" i="18"/>
  <c r="A424" i="18"/>
  <c r="E423" i="18"/>
  <c r="D423" i="18"/>
  <c r="A423" i="18"/>
  <c r="E376" i="18"/>
  <c r="D376" i="18"/>
  <c r="A376" i="18"/>
  <c r="E375" i="18"/>
  <c r="D375" i="18"/>
  <c r="A375" i="18"/>
  <c r="E374" i="18"/>
  <c r="D374" i="18"/>
  <c r="A374" i="18"/>
  <c r="E373" i="18"/>
  <c r="D373" i="18"/>
  <c r="A373" i="18"/>
  <c r="E372" i="18"/>
  <c r="D372" i="18"/>
  <c r="A372" i="18"/>
  <c r="E371" i="18"/>
  <c r="D371" i="18"/>
  <c r="A371" i="18"/>
  <c r="E370" i="18"/>
  <c r="D370" i="18"/>
  <c r="A370" i="18"/>
  <c r="E369" i="18"/>
  <c r="D369" i="18"/>
  <c r="A369" i="18"/>
  <c r="E368" i="18"/>
  <c r="D368" i="18"/>
  <c r="A368" i="18"/>
  <c r="E367" i="18"/>
  <c r="D367" i="18"/>
  <c r="A367" i="18"/>
  <c r="E366" i="18"/>
  <c r="D366" i="18"/>
  <c r="A366" i="18"/>
  <c r="E365" i="18"/>
  <c r="D365" i="18"/>
  <c r="A365" i="18"/>
  <c r="E364" i="18"/>
  <c r="D364" i="18"/>
  <c r="A364" i="18"/>
  <c r="E363" i="18"/>
  <c r="D363" i="18"/>
  <c r="A363" i="18"/>
  <c r="E362" i="18"/>
  <c r="D362" i="18"/>
  <c r="A362" i="18"/>
  <c r="E361" i="18"/>
  <c r="D361" i="18"/>
  <c r="A361" i="18"/>
  <c r="E360" i="18"/>
  <c r="D360" i="18"/>
  <c r="A360" i="18"/>
  <c r="E359" i="18"/>
  <c r="D359" i="18"/>
  <c r="A359" i="18"/>
  <c r="E358" i="18"/>
  <c r="D358" i="18"/>
  <c r="A358" i="18"/>
  <c r="E357" i="18"/>
  <c r="D357" i="18"/>
  <c r="A357" i="18"/>
  <c r="E356" i="18"/>
  <c r="D356" i="18"/>
  <c r="A356" i="18"/>
  <c r="E355" i="18"/>
  <c r="D355" i="18"/>
  <c r="A355" i="18"/>
  <c r="E354" i="18"/>
  <c r="D354" i="18"/>
  <c r="A354" i="18"/>
  <c r="E353" i="18"/>
  <c r="D353" i="18"/>
  <c r="A353" i="18"/>
  <c r="E352" i="18"/>
  <c r="D352" i="18"/>
  <c r="A352" i="18"/>
  <c r="E351" i="18"/>
  <c r="D351" i="18"/>
  <c r="A351" i="18"/>
  <c r="E350" i="18"/>
  <c r="D350" i="18"/>
  <c r="A350" i="18"/>
  <c r="E349" i="18"/>
  <c r="D349" i="18"/>
  <c r="A349" i="18"/>
  <c r="E348" i="18"/>
  <c r="D348" i="18"/>
  <c r="A348" i="18"/>
  <c r="E347" i="18"/>
  <c r="D347" i="18"/>
  <c r="A347" i="18"/>
  <c r="E346" i="18"/>
  <c r="D346" i="18"/>
  <c r="A346" i="18"/>
  <c r="E299" i="18"/>
  <c r="D299" i="18"/>
  <c r="A299" i="18"/>
  <c r="E298" i="18"/>
  <c r="D298" i="18"/>
  <c r="A298" i="18"/>
  <c r="E297" i="18"/>
  <c r="D297" i="18"/>
  <c r="A297" i="18"/>
  <c r="E296" i="18"/>
  <c r="D296" i="18"/>
  <c r="A296" i="18"/>
  <c r="E295" i="18"/>
  <c r="D295" i="18"/>
  <c r="A295" i="18"/>
  <c r="E294" i="18"/>
  <c r="D294" i="18"/>
  <c r="A294" i="18"/>
  <c r="E293" i="18"/>
  <c r="D293" i="18"/>
  <c r="A293" i="18"/>
  <c r="E292" i="18"/>
  <c r="D292" i="18"/>
  <c r="A292" i="18"/>
  <c r="E291" i="18"/>
  <c r="D291" i="18"/>
  <c r="A291" i="18"/>
  <c r="E290" i="18"/>
  <c r="D290" i="18"/>
  <c r="A290" i="18"/>
  <c r="E289" i="18"/>
  <c r="D289" i="18"/>
  <c r="A289" i="18"/>
  <c r="E288" i="18"/>
  <c r="D288" i="18"/>
  <c r="A288" i="18"/>
  <c r="E287" i="18"/>
  <c r="D287" i="18"/>
  <c r="A287" i="18"/>
  <c r="E286" i="18"/>
  <c r="D286" i="18"/>
  <c r="A286" i="18"/>
  <c r="E285" i="18"/>
  <c r="D285" i="18"/>
  <c r="A285" i="18"/>
  <c r="E284" i="18"/>
  <c r="D284" i="18"/>
  <c r="A284" i="18"/>
  <c r="E283" i="18"/>
  <c r="D283" i="18"/>
  <c r="A283" i="18"/>
  <c r="E282" i="18"/>
  <c r="D282" i="18"/>
  <c r="A282" i="18"/>
  <c r="E281" i="18"/>
  <c r="D281" i="18"/>
  <c r="A281" i="18"/>
  <c r="E280" i="18"/>
  <c r="D280" i="18"/>
  <c r="A280" i="18"/>
  <c r="E279" i="18"/>
  <c r="D279" i="18"/>
  <c r="A279" i="18"/>
  <c r="E278" i="18"/>
  <c r="D278" i="18"/>
  <c r="A278" i="18"/>
  <c r="E277" i="18"/>
  <c r="D277" i="18"/>
  <c r="A277" i="18"/>
  <c r="E276" i="18"/>
  <c r="D276" i="18"/>
  <c r="A276" i="18"/>
  <c r="E275" i="18"/>
  <c r="D275" i="18"/>
  <c r="A275" i="18"/>
  <c r="E274" i="18"/>
  <c r="D274" i="18"/>
  <c r="A274" i="18"/>
  <c r="E273" i="18"/>
  <c r="D273" i="18"/>
  <c r="A273" i="18"/>
  <c r="E272" i="18"/>
  <c r="D272" i="18"/>
  <c r="A272" i="18"/>
  <c r="E271" i="18"/>
  <c r="D271" i="18"/>
  <c r="A271" i="18"/>
  <c r="E270" i="18"/>
  <c r="D270" i="18"/>
  <c r="A270" i="18"/>
  <c r="E269" i="18"/>
  <c r="D269" i="18"/>
  <c r="A269" i="18"/>
  <c r="E299" i="17"/>
  <c r="D299" i="17"/>
  <c r="A299" i="17"/>
  <c r="E298" i="17"/>
  <c r="D298" i="17"/>
  <c r="A298" i="17"/>
  <c r="E297" i="17"/>
  <c r="D297" i="17"/>
  <c r="A297" i="17"/>
  <c r="E296" i="17"/>
  <c r="D296" i="17"/>
  <c r="A296" i="17"/>
  <c r="E295" i="17"/>
  <c r="D295" i="17"/>
  <c r="A295" i="17"/>
  <c r="E294" i="17"/>
  <c r="D294" i="17"/>
  <c r="A294" i="17"/>
  <c r="E293" i="17"/>
  <c r="D293" i="17"/>
  <c r="A293" i="17"/>
  <c r="E292" i="17"/>
  <c r="D292" i="17"/>
  <c r="A292" i="17"/>
  <c r="E291" i="17"/>
  <c r="D291" i="17"/>
  <c r="A291" i="17"/>
  <c r="E290" i="17"/>
  <c r="D290" i="17"/>
  <c r="A290" i="17"/>
  <c r="E289" i="17"/>
  <c r="D289" i="17"/>
  <c r="A289" i="17"/>
  <c r="E288" i="17"/>
  <c r="D288" i="17"/>
  <c r="A288" i="17"/>
  <c r="E287" i="17"/>
  <c r="D287" i="17"/>
  <c r="A287" i="17"/>
  <c r="E286" i="17"/>
  <c r="D286" i="17"/>
  <c r="A286" i="17"/>
  <c r="E285" i="17"/>
  <c r="D285" i="17"/>
  <c r="A285" i="17"/>
  <c r="E284" i="17"/>
  <c r="D284" i="17"/>
  <c r="A284" i="17"/>
  <c r="E283" i="17"/>
  <c r="D283" i="17"/>
  <c r="A283" i="17"/>
  <c r="E282" i="17"/>
  <c r="D282" i="17"/>
  <c r="A282" i="17"/>
  <c r="E281" i="17"/>
  <c r="D281" i="17"/>
  <c r="A281" i="17"/>
  <c r="E280" i="17"/>
  <c r="D280" i="17"/>
  <c r="A280" i="17"/>
  <c r="E279" i="17"/>
  <c r="D279" i="17"/>
  <c r="A279" i="17"/>
  <c r="E278" i="17"/>
  <c r="D278" i="17"/>
  <c r="A278" i="17"/>
  <c r="E277" i="17"/>
  <c r="D277" i="17"/>
  <c r="A277" i="17"/>
  <c r="E276" i="17"/>
  <c r="D276" i="17"/>
  <c r="A276" i="17"/>
  <c r="E275" i="17"/>
  <c r="D275" i="17"/>
  <c r="A275" i="17"/>
  <c r="E274" i="17"/>
  <c r="D274" i="17"/>
  <c r="A274" i="17"/>
  <c r="E273" i="17"/>
  <c r="D273" i="17"/>
  <c r="A273" i="17"/>
  <c r="E272" i="17"/>
  <c r="D272" i="17"/>
  <c r="A272" i="17"/>
  <c r="E271" i="17"/>
  <c r="D271" i="17"/>
  <c r="A271" i="17"/>
  <c r="E270" i="17"/>
  <c r="D270" i="17"/>
  <c r="A270" i="17"/>
  <c r="E269" i="17"/>
  <c r="D269" i="17"/>
  <c r="A269" i="17"/>
  <c r="E376" i="17"/>
  <c r="D376" i="17"/>
  <c r="A376" i="17"/>
  <c r="E375" i="17"/>
  <c r="D375" i="17"/>
  <c r="A375" i="17"/>
  <c r="E374" i="17"/>
  <c r="D374" i="17"/>
  <c r="A374" i="17"/>
  <c r="E373" i="17"/>
  <c r="D373" i="17"/>
  <c r="A373" i="17"/>
  <c r="E372" i="17"/>
  <c r="D372" i="17"/>
  <c r="A372" i="17"/>
  <c r="E371" i="17"/>
  <c r="D371" i="17"/>
  <c r="A371" i="17"/>
  <c r="E370" i="17"/>
  <c r="D370" i="17"/>
  <c r="A370" i="17"/>
  <c r="E369" i="17"/>
  <c r="D369" i="17"/>
  <c r="A369" i="17"/>
  <c r="E368" i="17"/>
  <c r="D368" i="17"/>
  <c r="A368" i="17"/>
  <c r="E367" i="17"/>
  <c r="D367" i="17"/>
  <c r="A367" i="17"/>
  <c r="E366" i="17"/>
  <c r="D366" i="17"/>
  <c r="A366" i="17"/>
  <c r="E365" i="17"/>
  <c r="D365" i="17"/>
  <c r="A365" i="17"/>
  <c r="E364" i="17"/>
  <c r="D364" i="17"/>
  <c r="A364" i="17"/>
  <c r="E363" i="17"/>
  <c r="D363" i="17"/>
  <c r="A363" i="17"/>
  <c r="E362" i="17"/>
  <c r="D362" i="17"/>
  <c r="A362" i="17"/>
  <c r="E361" i="17"/>
  <c r="D361" i="17"/>
  <c r="A361" i="17"/>
  <c r="E360" i="17"/>
  <c r="D360" i="17"/>
  <c r="A360" i="17"/>
  <c r="E359" i="17"/>
  <c r="D359" i="17"/>
  <c r="A359" i="17"/>
  <c r="E358" i="17"/>
  <c r="D358" i="17"/>
  <c r="A358" i="17"/>
  <c r="E357" i="17"/>
  <c r="D357" i="17"/>
  <c r="A357" i="17"/>
  <c r="E356" i="17"/>
  <c r="D356" i="17"/>
  <c r="A356" i="17"/>
  <c r="E355" i="17"/>
  <c r="D355" i="17"/>
  <c r="A355" i="17"/>
  <c r="E354" i="17"/>
  <c r="D354" i="17"/>
  <c r="A354" i="17"/>
  <c r="E353" i="17"/>
  <c r="D353" i="17"/>
  <c r="A353" i="17"/>
  <c r="E352" i="17"/>
  <c r="D352" i="17"/>
  <c r="A352" i="17"/>
  <c r="E351" i="17"/>
  <c r="D351" i="17"/>
  <c r="A351" i="17"/>
  <c r="E350" i="17"/>
  <c r="D350" i="17"/>
  <c r="A350" i="17"/>
  <c r="E349" i="17"/>
  <c r="D349" i="17"/>
  <c r="A349" i="17"/>
  <c r="E348" i="17"/>
  <c r="D348" i="17"/>
  <c r="A348" i="17"/>
  <c r="E347" i="17"/>
  <c r="D347" i="17"/>
  <c r="A347" i="17"/>
  <c r="E346" i="17"/>
  <c r="D346" i="17"/>
  <c r="A346" i="17"/>
  <c r="E453" i="17"/>
  <c r="D453" i="17"/>
  <c r="A453" i="17"/>
  <c r="E452" i="17"/>
  <c r="D452" i="17"/>
  <c r="A452" i="17"/>
  <c r="E451" i="17"/>
  <c r="D451" i="17"/>
  <c r="A451" i="17"/>
  <c r="E450" i="17"/>
  <c r="D450" i="17"/>
  <c r="A450" i="17"/>
  <c r="E449" i="17"/>
  <c r="D449" i="17"/>
  <c r="A449" i="17"/>
  <c r="E448" i="17"/>
  <c r="D448" i="17"/>
  <c r="A448" i="17"/>
  <c r="E447" i="17"/>
  <c r="D447" i="17"/>
  <c r="A447" i="17"/>
  <c r="E446" i="17"/>
  <c r="D446" i="17"/>
  <c r="A446" i="17"/>
  <c r="E445" i="17"/>
  <c r="D445" i="17"/>
  <c r="A445" i="17"/>
  <c r="E444" i="17"/>
  <c r="D444" i="17"/>
  <c r="A444" i="17"/>
  <c r="E443" i="17"/>
  <c r="D443" i="17"/>
  <c r="A443" i="17"/>
  <c r="E442" i="17"/>
  <c r="D442" i="17"/>
  <c r="A442" i="17"/>
  <c r="E441" i="17"/>
  <c r="D441" i="17"/>
  <c r="A441" i="17"/>
  <c r="E440" i="17"/>
  <c r="D440" i="17"/>
  <c r="A440" i="17"/>
  <c r="E439" i="17"/>
  <c r="D439" i="17"/>
  <c r="A439" i="17"/>
  <c r="E438" i="17"/>
  <c r="D438" i="17"/>
  <c r="A438" i="17"/>
  <c r="E437" i="17"/>
  <c r="D437" i="17"/>
  <c r="A437" i="17"/>
  <c r="E436" i="17"/>
  <c r="D436" i="17"/>
  <c r="A436" i="17"/>
  <c r="E435" i="17"/>
  <c r="D435" i="17"/>
  <c r="A435" i="17"/>
  <c r="E434" i="17"/>
  <c r="D434" i="17"/>
  <c r="A434" i="17"/>
  <c r="E433" i="17"/>
  <c r="D433" i="17"/>
  <c r="A433" i="17"/>
  <c r="E432" i="17"/>
  <c r="D432" i="17"/>
  <c r="A432" i="17"/>
  <c r="E431" i="17"/>
  <c r="D431" i="17"/>
  <c r="A431" i="17"/>
  <c r="E430" i="17"/>
  <c r="D430" i="17"/>
  <c r="A430" i="17"/>
  <c r="E429" i="17"/>
  <c r="D429" i="17"/>
  <c r="A429" i="17"/>
  <c r="E428" i="17"/>
  <c r="D428" i="17"/>
  <c r="A428" i="17"/>
  <c r="E427" i="17"/>
  <c r="D427" i="17"/>
  <c r="A427" i="17"/>
  <c r="E426" i="17"/>
  <c r="D426" i="17"/>
  <c r="A426" i="17"/>
  <c r="E425" i="17"/>
  <c r="D425" i="17"/>
  <c r="A425" i="17"/>
  <c r="E424" i="17"/>
  <c r="D424" i="17"/>
  <c r="A424" i="17"/>
  <c r="E423" i="17"/>
  <c r="D423" i="17"/>
  <c r="A423" i="17"/>
  <c r="E530" i="17"/>
  <c r="D530" i="17"/>
  <c r="A530" i="17"/>
  <c r="E529" i="17"/>
  <c r="D529" i="17"/>
  <c r="A529" i="17"/>
  <c r="E528" i="17"/>
  <c r="D528" i="17"/>
  <c r="A528" i="17"/>
  <c r="E527" i="17"/>
  <c r="D527" i="17"/>
  <c r="A527" i="17"/>
  <c r="E526" i="17"/>
  <c r="D526" i="17"/>
  <c r="A526" i="17"/>
  <c r="E525" i="17"/>
  <c r="D525" i="17"/>
  <c r="A525" i="17"/>
  <c r="E524" i="17"/>
  <c r="D524" i="17"/>
  <c r="A524" i="17"/>
  <c r="E523" i="17"/>
  <c r="D523" i="17"/>
  <c r="A523" i="17"/>
  <c r="E522" i="17"/>
  <c r="D522" i="17"/>
  <c r="A522" i="17"/>
  <c r="E521" i="17"/>
  <c r="D521" i="17"/>
  <c r="A521" i="17"/>
  <c r="E520" i="17"/>
  <c r="D520" i="17"/>
  <c r="A520" i="17"/>
  <c r="E519" i="17"/>
  <c r="D519" i="17"/>
  <c r="A519" i="17"/>
  <c r="E518" i="17"/>
  <c r="D518" i="17"/>
  <c r="A518" i="17"/>
  <c r="E517" i="17"/>
  <c r="D517" i="17"/>
  <c r="A517" i="17"/>
  <c r="E516" i="17"/>
  <c r="D516" i="17"/>
  <c r="A516" i="17"/>
  <c r="E515" i="17"/>
  <c r="D515" i="17"/>
  <c r="A515" i="17"/>
  <c r="E514" i="17"/>
  <c r="D514" i="17"/>
  <c r="A514" i="17"/>
  <c r="E513" i="17"/>
  <c r="D513" i="17"/>
  <c r="A513" i="17"/>
  <c r="E512" i="17"/>
  <c r="D512" i="17"/>
  <c r="A512" i="17"/>
  <c r="E511" i="17"/>
  <c r="D511" i="17"/>
  <c r="A511" i="17"/>
  <c r="E510" i="17"/>
  <c r="D510" i="17"/>
  <c r="A510" i="17"/>
  <c r="E509" i="17"/>
  <c r="D509" i="17"/>
  <c r="A509" i="17"/>
  <c r="E508" i="17"/>
  <c r="D508" i="17"/>
  <c r="A508" i="17"/>
  <c r="E507" i="17"/>
  <c r="D507" i="17"/>
  <c r="A507" i="17"/>
  <c r="E506" i="17"/>
  <c r="D506" i="17"/>
  <c r="A506" i="17"/>
  <c r="E505" i="17"/>
  <c r="D505" i="17"/>
  <c r="A505" i="17"/>
  <c r="E504" i="17"/>
  <c r="D504" i="17"/>
  <c r="A504" i="17"/>
  <c r="E503" i="17"/>
  <c r="D503" i="17"/>
  <c r="A503" i="17"/>
  <c r="E502" i="17"/>
  <c r="D502" i="17"/>
  <c r="A502" i="17"/>
  <c r="E501" i="17"/>
  <c r="D501" i="17"/>
  <c r="A501" i="17"/>
  <c r="E500" i="17"/>
  <c r="D500" i="17"/>
  <c r="A500" i="17"/>
  <c r="E607" i="17"/>
  <c r="D607" i="17"/>
  <c r="A607" i="17"/>
  <c r="E606" i="17"/>
  <c r="D606" i="17"/>
  <c r="A606" i="17"/>
  <c r="E605" i="17"/>
  <c r="D605" i="17"/>
  <c r="A605" i="17"/>
  <c r="E604" i="17"/>
  <c r="D604" i="17"/>
  <c r="A604" i="17"/>
  <c r="E603" i="17"/>
  <c r="D603" i="17"/>
  <c r="A603" i="17"/>
  <c r="E602" i="17"/>
  <c r="D602" i="17"/>
  <c r="A602" i="17"/>
  <c r="E601" i="17"/>
  <c r="D601" i="17"/>
  <c r="A601" i="17"/>
  <c r="E600" i="17"/>
  <c r="D600" i="17"/>
  <c r="A600" i="17"/>
  <c r="E599" i="17"/>
  <c r="D599" i="17"/>
  <c r="A599" i="17"/>
  <c r="E598" i="17"/>
  <c r="D598" i="17"/>
  <c r="A598" i="17"/>
  <c r="E597" i="17"/>
  <c r="D597" i="17"/>
  <c r="A597" i="17"/>
  <c r="E596" i="17"/>
  <c r="D596" i="17"/>
  <c r="A596" i="17"/>
  <c r="E595" i="17"/>
  <c r="D595" i="17"/>
  <c r="A595" i="17"/>
  <c r="E594" i="17"/>
  <c r="D594" i="17"/>
  <c r="A594" i="17"/>
  <c r="E593" i="17"/>
  <c r="D593" i="17"/>
  <c r="A593" i="17"/>
  <c r="E592" i="17"/>
  <c r="D592" i="17"/>
  <c r="A592" i="17"/>
  <c r="E591" i="17"/>
  <c r="D591" i="17"/>
  <c r="A591" i="17"/>
  <c r="E590" i="17"/>
  <c r="D590" i="17"/>
  <c r="A590" i="17"/>
  <c r="E589" i="17"/>
  <c r="D589" i="17"/>
  <c r="A589" i="17"/>
  <c r="E588" i="17"/>
  <c r="D588" i="17"/>
  <c r="A588" i="17"/>
  <c r="E587" i="17"/>
  <c r="D587" i="17"/>
  <c r="A587" i="17"/>
  <c r="E586" i="17"/>
  <c r="D586" i="17"/>
  <c r="A586" i="17"/>
  <c r="E585" i="17"/>
  <c r="D585" i="17"/>
  <c r="A585" i="17"/>
  <c r="E584" i="17"/>
  <c r="D584" i="17"/>
  <c r="A584" i="17"/>
  <c r="E583" i="17"/>
  <c r="D583" i="17"/>
  <c r="A583" i="17"/>
  <c r="E582" i="17"/>
  <c r="D582" i="17"/>
  <c r="A582" i="17"/>
  <c r="E581" i="17"/>
  <c r="D581" i="17"/>
  <c r="A581" i="17"/>
  <c r="E580" i="17"/>
  <c r="D580" i="17"/>
  <c r="A580" i="17"/>
  <c r="E579" i="17"/>
  <c r="D579" i="17"/>
  <c r="A579" i="17"/>
  <c r="E578" i="17"/>
  <c r="D578" i="17"/>
  <c r="A578" i="17"/>
  <c r="E577" i="17"/>
  <c r="D577" i="17"/>
  <c r="A577" i="17"/>
  <c r="E684" i="17"/>
  <c r="D684" i="17"/>
  <c r="A684" i="17"/>
  <c r="E683" i="17"/>
  <c r="D683" i="17"/>
  <c r="A683" i="17"/>
  <c r="E682" i="17"/>
  <c r="D682" i="17"/>
  <c r="A682" i="17"/>
  <c r="E681" i="17"/>
  <c r="D681" i="17"/>
  <c r="A681" i="17"/>
  <c r="E680" i="17"/>
  <c r="D680" i="17"/>
  <c r="A680" i="17"/>
  <c r="E679" i="17"/>
  <c r="D679" i="17"/>
  <c r="A679" i="17"/>
  <c r="E678" i="17"/>
  <c r="D678" i="17"/>
  <c r="A678" i="17"/>
  <c r="E677" i="17"/>
  <c r="D677" i="17"/>
  <c r="A677" i="17"/>
  <c r="E676" i="17"/>
  <c r="D676" i="17"/>
  <c r="A676" i="17"/>
  <c r="E675" i="17"/>
  <c r="D675" i="17"/>
  <c r="A675" i="17"/>
  <c r="E674" i="17"/>
  <c r="D674" i="17"/>
  <c r="A674" i="17"/>
  <c r="E673" i="17"/>
  <c r="D673" i="17"/>
  <c r="A673" i="17"/>
  <c r="E672" i="17"/>
  <c r="D672" i="17"/>
  <c r="A672" i="17"/>
  <c r="E671" i="17"/>
  <c r="D671" i="17"/>
  <c r="A671" i="17"/>
  <c r="E670" i="17"/>
  <c r="D670" i="17"/>
  <c r="A670" i="17"/>
  <c r="E669" i="17"/>
  <c r="D669" i="17"/>
  <c r="A669" i="17"/>
  <c r="E668" i="17"/>
  <c r="D668" i="17"/>
  <c r="A668" i="17"/>
  <c r="E667" i="17"/>
  <c r="D667" i="17"/>
  <c r="A667" i="17"/>
  <c r="E666" i="17"/>
  <c r="D666" i="17"/>
  <c r="A666" i="17"/>
  <c r="E665" i="17"/>
  <c r="D665" i="17"/>
  <c r="A665" i="17"/>
  <c r="E664" i="17"/>
  <c r="D664" i="17"/>
  <c r="A664" i="17"/>
  <c r="E663" i="17"/>
  <c r="D663" i="17"/>
  <c r="A663" i="17"/>
  <c r="E662" i="17"/>
  <c r="D662" i="17"/>
  <c r="A662" i="17"/>
  <c r="E661" i="17"/>
  <c r="D661" i="17"/>
  <c r="A661" i="17"/>
  <c r="E660" i="17"/>
  <c r="D660" i="17"/>
  <c r="A660" i="17"/>
  <c r="E659" i="17"/>
  <c r="D659" i="17"/>
  <c r="A659" i="17"/>
  <c r="E658" i="17"/>
  <c r="D658" i="17"/>
  <c r="A658" i="17"/>
  <c r="E657" i="17"/>
  <c r="D657" i="17"/>
  <c r="A657" i="17"/>
  <c r="E656" i="17"/>
  <c r="D656" i="17"/>
  <c r="A656" i="17"/>
  <c r="E655" i="17"/>
  <c r="D655" i="17"/>
  <c r="A655" i="17"/>
  <c r="E654" i="17"/>
  <c r="D654" i="17"/>
  <c r="A654" i="17"/>
  <c r="E684" i="16"/>
  <c r="D684" i="16"/>
  <c r="A684" i="16"/>
  <c r="E683" i="16"/>
  <c r="D683" i="16"/>
  <c r="A683" i="16"/>
  <c r="E682" i="16"/>
  <c r="D682" i="16"/>
  <c r="A682" i="16"/>
  <c r="E681" i="16"/>
  <c r="D681" i="16"/>
  <c r="A681" i="16"/>
  <c r="E680" i="16"/>
  <c r="D680" i="16"/>
  <c r="A680" i="16"/>
  <c r="E679" i="16"/>
  <c r="D679" i="16"/>
  <c r="A679" i="16"/>
  <c r="E678" i="16"/>
  <c r="D678" i="16"/>
  <c r="A678" i="16"/>
  <c r="E677" i="16"/>
  <c r="D677" i="16"/>
  <c r="A677" i="16"/>
  <c r="E676" i="16"/>
  <c r="D676" i="16"/>
  <c r="A676" i="16"/>
  <c r="E675" i="16"/>
  <c r="D675" i="16"/>
  <c r="A675" i="16"/>
  <c r="E674" i="16"/>
  <c r="D674" i="16"/>
  <c r="A674" i="16"/>
  <c r="E673" i="16"/>
  <c r="D673" i="16"/>
  <c r="A673" i="16"/>
  <c r="E672" i="16"/>
  <c r="D672" i="16"/>
  <c r="A672" i="16"/>
  <c r="E671" i="16"/>
  <c r="D671" i="16"/>
  <c r="A671" i="16"/>
  <c r="E670" i="16"/>
  <c r="D670" i="16"/>
  <c r="A670" i="16"/>
  <c r="E669" i="16"/>
  <c r="D669" i="16"/>
  <c r="A669" i="16"/>
  <c r="E668" i="16"/>
  <c r="D668" i="16"/>
  <c r="A668" i="16"/>
  <c r="E667" i="16"/>
  <c r="D667" i="16"/>
  <c r="A667" i="16"/>
  <c r="E666" i="16"/>
  <c r="D666" i="16"/>
  <c r="A666" i="16"/>
  <c r="E665" i="16"/>
  <c r="D665" i="16"/>
  <c r="A665" i="16"/>
  <c r="E664" i="16"/>
  <c r="D664" i="16"/>
  <c r="A664" i="16"/>
  <c r="E663" i="16"/>
  <c r="D663" i="16"/>
  <c r="A663" i="16"/>
  <c r="E662" i="16"/>
  <c r="D662" i="16"/>
  <c r="A662" i="16"/>
  <c r="E661" i="16"/>
  <c r="D661" i="16"/>
  <c r="A661" i="16"/>
  <c r="E660" i="16"/>
  <c r="D660" i="16"/>
  <c r="A660" i="16"/>
  <c r="E659" i="16"/>
  <c r="D659" i="16"/>
  <c r="A659" i="16"/>
  <c r="E658" i="16"/>
  <c r="D658" i="16"/>
  <c r="A658" i="16"/>
  <c r="E657" i="16"/>
  <c r="D657" i="16"/>
  <c r="A657" i="16"/>
  <c r="E656" i="16"/>
  <c r="D656" i="16"/>
  <c r="A656" i="16"/>
  <c r="E655" i="16"/>
  <c r="D655" i="16"/>
  <c r="A655" i="16"/>
  <c r="E654" i="16"/>
  <c r="D654" i="16"/>
  <c r="A654" i="16"/>
  <c r="E607" i="16"/>
  <c r="D607" i="16"/>
  <c r="A607" i="16"/>
  <c r="E606" i="16"/>
  <c r="D606" i="16"/>
  <c r="A606" i="16"/>
  <c r="E605" i="16"/>
  <c r="D605" i="16"/>
  <c r="A605" i="16"/>
  <c r="E604" i="16"/>
  <c r="D604" i="16"/>
  <c r="A604" i="16"/>
  <c r="E603" i="16"/>
  <c r="D603" i="16"/>
  <c r="A603" i="16"/>
  <c r="E602" i="16"/>
  <c r="D602" i="16"/>
  <c r="A602" i="16"/>
  <c r="E601" i="16"/>
  <c r="D601" i="16"/>
  <c r="A601" i="16"/>
  <c r="E600" i="16"/>
  <c r="D600" i="16"/>
  <c r="A600" i="16"/>
  <c r="E599" i="16"/>
  <c r="D599" i="16"/>
  <c r="A599" i="16"/>
  <c r="E598" i="16"/>
  <c r="D598" i="16"/>
  <c r="A598" i="16"/>
  <c r="E597" i="16"/>
  <c r="D597" i="16"/>
  <c r="A597" i="16"/>
  <c r="E596" i="16"/>
  <c r="D596" i="16"/>
  <c r="A596" i="16"/>
  <c r="E595" i="16"/>
  <c r="D595" i="16"/>
  <c r="A595" i="16"/>
  <c r="E594" i="16"/>
  <c r="D594" i="16"/>
  <c r="A594" i="16"/>
  <c r="E593" i="16"/>
  <c r="D593" i="16"/>
  <c r="A593" i="16"/>
  <c r="E592" i="16"/>
  <c r="D592" i="16"/>
  <c r="A592" i="16"/>
  <c r="E591" i="16"/>
  <c r="D591" i="16"/>
  <c r="A591" i="16"/>
  <c r="E590" i="16"/>
  <c r="D590" i="16"/>
  <c r="A590" i="16"/>
  <c r="E589" i="16"/>
  <c r="D589" i="16"/>
  <c r="A589" i="16"/>
  <c r="E588" i="16"/>
  <c r="D588" i="16"/>
  <c r="A588" i="16"/>
  <c r="E587" i="16"/>
  <c r="D587" i="16"/>
  <c r="A587" i="16"/>
  <c r="E586" i="16"/>
  <c r="D586" i="16"/>
  <c r="A586" i="16"/>
  <c r="E585" i="16"/>
  <c r="D585" i="16"/>
  <c r="A585" i="16"/>
  <c r="E584" i="16"/>
  <c r="D584" i="16"/>
  <c r="A584" i="16"/>
  <c r="E583" i="16"/>
  <c r="D583" i="16"/>
  <c r="A583" i="16"/>
  <c r="E582" i="16"/>
  <c r="D582" i="16"/>
  <c r="A582" i="16"/>
  <c r="E581" i="16"/>
  <c r="D581" i="16"/>
  <c r="A581" i="16"/>
  <c r="E580" i="16"/>
  <c r="D580" i="16"/>
  <c r="A580" i="16"/>
  <c r="E579" i="16"/>
  <c r="D579" i="16"/>
  <c r="A579" i="16"/>
  <c r="E578" i="16"/>
  <c r="D578" i="16"/>
  <c r="A578" i="16"/>
  <c r="E577" i="16"/>
  <c r="D577" i="16"/>
  <c r="A577" i="16"/>
  <c r="E530" i="16"/>
  <c r="D530" i="16"/>
  <c r="A530" i="16"/>
  <c r="E529" i="16"/>
  <c r="D529" i="16"/>
  <c r="A529" i="16"/>
  <c r="E528" i="16"/>
  <c r="D528" i="16"/>
  <c r="A528" i="16"/>
  <c r="E527" i="16"/>
  <c r="D527" i="16"/>
  <c r="A527" i="16"/>
  <c r="E526" i="16"/>
  <c r="D526" i="16"/>
  <c r="A526" i="16"/>
  <c r="E525" i="16"/>
  <c r="D525" i="16"/>
  <c r="A525" i="16"/>
  <c r="E524" i="16"/>
  <c r="D524" i="16"/>
  <c r="A524" i="16"/>
  <c r="E523" i="16"/>
  <c r="D523" i="16"/>
  <c r="A523" i="16"/>
  <c r="E522" i="16"/>
  <c r="D522" i="16"/>
  <c r="A522" i="16"/>
  <c r="E521" i="16"/>
  <c r="D521" i="16"/>
  <c r="A521" i="16"/>
  <c r="E520" i="16"/>
  <c r="D520" i="16"/>
  <c r="A520" i="16"/>
  <c r="E519" i="16"/>
  <c r="D519" i="16"/>
  <c r="A519" i="16"/>
  <c r="E518" i="16"/>
  <c r="D518" i="16"/>
  <c r="A518" i="16"/>
  <c r="E517" i="16"/>
  <c r="D517" i="16"/>
  <c r="A517" i="16"/>
  <c r="E516" i="16"/>
  <c r="D516" i="16"/>
  <c r="A516" i="16"/>
  <c r="E515" i="16"/>
  <c r="D515" i="16"/>
  <c r="A515" i="16"/>
  <c r="E514" i="16"/>
  <c r="D514" i="16"/>
  <c r="A514" i="16"/>
  <c r="E513" i="16"/>
  <c r="D513" i="16"/>
  <c r="A513" i="16"/>
  <c r="E512" i="16"/>
  <c r="D512" i="16"/>
  <c r="A512" i="16"/>
  <c r="E511" i="16"/>
  <c r="D511" i="16"/>
  <c r="A511" i="16"/>
  <c r="E510" i="16"/>
  <c r="D510" i="16"/>
  <c r="A510" i="16"/>
  <c r="E509" i="16"/>
  <c r="D509" i="16"/>
  <c r="A509" i="16"/>
  <c r="E508" i="16"/>
  <c r="D508" i="16"/>
  <c r="A508" i="16"/>
  <c r="E507" i="16"/>
  <c r="D507" i="16"/>
  <c r="A507" i="16"/>
  <c r="E506" i="16"/>
  <c r="D506" i="16"/>
  <c r="A506" i="16"/>
  <c r="E505" i="16"/>
  <c r="D505" i="16"/>
  <c r="A505" i="16"/>
  <c r="E504" i="16"/>
  <c r="D504" i="16"/>
  <c r="A504" i="16"/>
  <c r="E503" i="16"/>
  <c r="D503" i="16"/>
  <c r="A503" i="16"/>
  <c r="E502" i="16"/>
  <c r="D502" i="16"/>
  <c r="A502" i="16"/>
  <c r="E501" i="16"/>
  <c r="D501" i="16"/>
  <c r="A501" i="16"/>
  <c r="E500" i="16"/>
  <c r="D500" i="16"/>
  <c r="A500" i="16"/>
  <c r="E453" i="16"/>
  <c r="D453" i="16"/>
  <c r="A453" i="16"/>
  <c r="E452" i="16"/>
  <c r="D452" i="16"/>
  <c r="A452" i="16"/>
  <c r="E451" i="16"/>
  <c r="D451" i="16"/>
  <c r="A451" i="16"/>
  <c r="E450" i="16"/>
  <c r="D450" i="16"/>
  <c r="A450" i="16"/>
  <c r="E449" i="16"/>
  <c r="D449" i="16"/>
  <c r="A449" i="16"/>
  <c r="E448" i="16"/>
  <c r="D448" i="16"/>
  <c r="A448" i="16"/>
  <c r="E447" i="16"/>
  <c r="D447" i="16"/>
  <c r="A447" i="16"/>
  <c r="E446" i="16"/>
  <c r="D446" i="16"/>
  <c r="A446" i="16"/>
  <c r="E445" i="16"/>
  <c r="D445" i="16"/>
  <c r="A445" i="16"/>
  <c r="E444" i="16"/>
  <c r="D444" i="16"/>
  <c r="A444" i="16"/>
  <c r="E443" i="16"/>
  <c r="D443" i="16"/>
  <c r="A443" i="16"/>
  <c r="E442" i="16"/>
  <c r="D442" i="16"/>
  <c r="A442" i="16"/>
  <c r="E441" i="16"/>
  <c r="D441" i="16"/>
  <c r="A441" i="16"/>
  <c r="E440" i="16"/>
  <c r="D440" i="16"/>
  <c r="A440" i="16"/>
  <c r="E439" i="16"/>
  <c r="D439" i="16"/>
  <c r="A439" i="16"/>
  <c r="E438" i="16"/>
  <c r="D438" i="16"/>
  <c r="A438" i="16"/>
  <c r="E437" i="16"/>
  <c r="D437" i="16"/>
  <c r="A437" i="16"/>
  <c r="E436" i="16"/>
  <c r="D436" i="16"/>
  <c r="A436" i="16"/>
  <c r="E435" i="16"/>
  <c r="D435" i="16"/>
  <c r="A435" i="16"/>
  <c r="E434" i="16"/>
  <c r="D434" i="16"/>
  <c r="A434" i="16"/>
  <c r="E433" i="16"/>
  <c r="D433" i="16"/>
  <c r="A433" i="16"/>
  <c r="E432" i="16"/>
  <c r="D432" i="16"/>
  <c r="A432" i="16"/>
  <c r="E431" i="16"/>
  <c r="D431" i="16"/>
  <c r="A431" i="16"/>
  <c r="E430" i="16"/>
  <c r="D430" i="16"/>
  <c r="A430" i="16"/>
  <c r="E429" i="16"/>
  <c r="D429" i="16"/>
  <c r="A429" i="16"/>
  <c r="E428" i="16"/>
  <c r="D428" i="16"/>
  <c r="A428" i="16"/>
  <c r="E427" i="16"/>
  <c r="D427" i="16"/>
  <c r="A427" i="16"/>
  <c r="E426" i="16"/>
  <c r="D426" i="16"/>
  <c r="A426" i="16"/>
  <c r="E425" i="16"/>
  <c r="D425" i="16"/>
  <c r="A425" i="16"/>
  <c r="E424" i="16"/>
  <c r="D424" i="16"/>
  <c r="A424" i="16"/>
  <c r="E423" i="16"/>
  <c r="D423" i="16"/>
  <c r="A423" i="16"/>
  <c r="E376" i="16"/>
  <c r="D376" i="16"/>
  <c r="A376" i="16"/>
  <c r="E375" i="16"/>
  <c r="D375" i="16"/>
  <c r="A375" i="16"/>
  <c r="E374" i="16"/>
  <c r="D374" i="16"/>
  <c r="A374" i="16"/>
  <c r="E373" i="16"/>
  <c r="D373" i="16"/>
  <c r="A373" i="16"/>
  <c r="E372" i="16"/>
  <c r="D372" i="16"/>
  <c r="A372" i="16"/>
  <c r="E371" i="16"/>
  <c r="D371" i="16"/>
  <c r="A371" i="16"/>
  <c r="E370" i="16"/>
  <c r="D370" i="16"/>
  <c r="A370" i="16"/>
  <c r="E369" i="16"/>
  <c r="D369" i="16"/>
  <c r="A369" i="16"/>
  <c r="E368" i="16"/>
  <c r="D368" i="16"/>
  <c r="A368" i="16"/>
  <c r="E367" i="16"/>
  <c r="D367" i="16"/>
  <c r="A367" i="16"/>
  <c r="E366" i="16"/>
  <c r="D366" i="16"/>
  <c r="A366" i="16"/>
  <c r="E365" i="16"/>
  <c r="D365" i="16"/>
  <c r="A365" i="16"/>
  <c r="E364" i="16"/>
  <c r="D364" i="16"/>
  <c r="A364" i="16"/>
  <c r="E363" i="16"/>
  <c r="D363" i="16"/>
  <c r="A363" i="16"/>
  <c r="E362" i="16"/>
  <c r="D362" i="16"/>
  <c r="A362" i="16"/>
  <c r="E361" i="16"/>
  <c r="D361" i="16"/>
  <c r="A361" i="16"/>
  <c r="E360" i="16"/>
  <c r="D360" i="16"/>
  <c r="A360" i="16"/>
  <c r="E359" i="16"/>
  <c r="D359" i="16"/>
  <c r="A359" i="16"/>
  <c r="E358" i="16"/>
  <c r="D358" i="16"/>
  <c r="A358" i="16"/>
  <c r="E357" i="16"/>
  <c r="D357" i="16"/>
  <c r="A357" i="16"/>
  <c r="E356" i="16"/>
  <c r="D356" i="16"/>
  <c r="A356" i="16"/>
  <c r="E355" i="16"/>
  <c r="D355" i="16"/>
  <c r="A355" i="16"/>
  <c r="E354" i="16"/>
  <c r="D354" i="16"/>
  <c r="A354" i="16"/>
  <c r="E353" i="16"/>
  <c r="D353" i="16"/>
  <c r="A353" i="16"/>
  <c r="E352" i="16"/>
  <c r="D352" i="16"/>
  <c r="A352" i="16"/>
  <c r="E351" i="16"/>
  <c r="D351" i="16"/>
  <c r="A351" i="16"/>
  <c r="E350" i="16"/>
  <c r="D350" i="16"/>
  <c r="A350" i="16"/>
  <c r="E349" i="16"/>
  <c r="D349" i="16"/>
  <c r="A349" i="16"/>
  <c r="E348" i="16"/>
  <c r="D348" i="16"/>
  <c r="A348" i="16"/>
  <c r="E347" i="16"/>
  <c r="D347" i="16"/>
  <c r="A347" i="16"/>
  <c r="E346" i="16"/>
  <c r="D346" i="16"/>
  <c r="A346"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268" i="16"/>
  <c r="BH160" i="7"/>
  <c r="BG160" i="7"/>
  <c r="BF160" i="7"/>
  <c r="BE160" i="7"/>
  <c r="BD160" i="7"/>
  <c r="BC160" i="7"/>
  <c r="BB160" i="7"/>
  <c r="BA160" i="7"/>
  <c r="AZ160" i="7"/>
  <c r="AY160" i="7"/>
  <c r="AX160" i="7"/>
  <c r="AW160" i="7"/>
  <c r="AV160" i="7"/>
  <c r="AU160" i="7"/>
  <c r="AT160" i="7"/>
  <c r="AS160" i="7"/>
  <c r="AR160" i="7"/>
  <c r="AQ160" i="7"/>
  <c r="AP160" i="7"/>
  <c r="AO160" i="7"/>
  <c r="AN160" i="7"/>
  <c r="AM160" i="7"/>
  <c r="AL160" i="7"/>
  <c r="AK160" i="7"/>
  <c r="AJ160" i="7"/>
  <c r="AI160" i="7"/>
  <c r="AH160" i="7"/>
  <c r="AG160" i="7"/>
  <c r="AF160" i="7"/>
  <c r="AE160" i="7"/>
  <c r="AD160" i="7"/>
  <c r="AC160" i="7"/>
  <c r="BH159" i="7"/>
  <c r="BG159" i="7"/>
  <c r="BF159" i="7"/>
  <c r="BE159" i="7"/>
  <c r="BD159" i="7"/>
  <c r="BC159" i="7"/>
  <c r="BB159" i="7"/>
  <c r="BA159" i="7"/>
  <c r="AZ159" i="7"/>
  <c r="AY159" i="7"/>
  <c r="AX159" i="7"/>
  <c r="AW159" i="7"/>
  <c r="AV159" i="7"/>
  <c r="AU159" i="7"/>
  <c r="AT159" i="7"/>
  <c r="AS159" i="7"/>
  <c r="AR159" i="7"/>
  <c r="AQ159" i="7"/>
  <c r="AP159" i="7"/>
  <c r="AO159" i="7"/>
  <c r="AN159" i="7"/>
  <c r="AM159" i="7"/>
  <c r="AL159" i="7"/>
  <c r="AK159" i="7"/>
  <c r="AJ159" i="7"/>
  <c r="AI159" i="7"/>
  <c r="AH159" i="7"/>
  <c r="AG159" i="7"/>
  <c r="AF159" i="7"/>
  <c r="AE159" i="7"/>
  <c r="AD159" i="7"/>
  <c r="AC159" i="7"/>
  <c r="BH158" i="7"/>
  <c r="BG158" i="7"/>
  <c r="BF158" i="7"/>
  <c r="BE158" i="7"/>
  <c r="BD158" i="7"/>
  <c r="BC158" i="7"/>
  <c r="BB158" i="7"/>
  <c r="BA158" i="7"/>
  <c r="AZ158" i="7"/>
  <c r="AY158" i="7"/>
  <c r="AX158" i="7"/>
  <c r="AW158" i="7"/>
  <c r="AV158" i="7"/>
  <c r="AU158" i="7"/>
  <c r="AT158" i="7"/>
  <c r="AS158" i="7"/>
  <c r="AR158" i="7"/>
  <c r="AQ158" i="7"/>
  <c r="AP158" i="7"/>
  <c r="AO158" i="7"/>
  <c r="AN158" i="7"/>
  <c r="AM158" i="7"/>
  <c r="AL158" i="7"/>
  <c r="AK158" i="7"/>
  <c r="AJ158" i="7"/>
  <c r="AI158" i="7"/>
  <c r="AH158" i="7"/>
  <c r="AG158" i="7"/>
  <c r="AF158" i="7"/>
  <c r="AE158" i="7"/>
  <c r="AD158" i="7"/>
  <c r="AC158" i="7"/>
  <c r="BH157" i="7"/>
  <c r="BG157" i="7"/>
  <c r="BF157" i="7"/>
  <c r="BE157" i="7"/>
  <c r="BD157" i="7"/>
  <c r="BC157" i="7"/>
  <c r="BB157" i="7"/>
  <c r="BA157" i="7"/>
  <c r="AZ157" i="7"/>
  <c r="AY157" i="7"/>
  <c r="AX157" i="7"/>
  <c r="AW157" i="7"/>
  <c r="AV157" i="7"/>
  <c r="AU157" i="7"/>
  <c r="AT157" i="7"/>
  <c r="AS157" i="7"/>
  <c r="AR157" i="7"/>
  <c r="AQ157" i="7"/>
  <c r="AP157" i="7"/>
  <c r="AO157" i="7"/>
  <c r="AN157" i="7"/>
  <c r="AM157" i="7"/>
  <c r="AL157" i="7"/>
  <c r="AK157" i="7"/>
  <c r="AJ157" i="7"/>
  <c r="AI157" i="7"/>
  <c r="AH157" i="7"/>
  <c r="AG157" i="7"/>
  <c r="AF157" i="7"/>
  <c r="AE157" i="7"/>
  <c r="AD157" i="7"/>
  <c r="AC157" i="7"/>
  <c r="Q138" i="7"/>
  <c r="B84" i="6" s="1"/>
  <c r="Q139" i="7"/>
  <c r="Q140" i="7"/>
  <c r="B170" i="6" s="1"/>
  <c r="Q137" i="7"/>
  <c r="P139" i="7"/>
  <c r="P140" i="7"/>
  <c r="P141" i="7"/>
  <c r="P142" i="7"/>
  <c r="P143" i="7"/>
  <c r="P144" i="7"/>
  <c r="A84" i="6"/>
  <c r="C84" i="6"/>
  <c r="D84" i="6"/>
  <c r="H84" i="6"/>
  <c r="P138" i="7"/>
  <c r="P137" i="7"/>
  <c r="Q160" i="7"/>
  <c r="P160" i="7"/>
  <c r="Q159" i="7"/>
  <c r="P159" i="7"/>
  <c r="Q158" i="7"/>
  <c r="P158" i="7"/>
  <c r="Q157" i="7"/>
  <c r="P157" i="7"/>
  <c r="P146" i="7"/>
  <c r="B83" i="9" s="1"/>
  <c r="Q146" i="7"/>
  <c r="P147" i="7"/>
  <c r="Q147" i="7"/>
  <c r="P148" i="7"/>
  <c r="B171" i="9" s="1"/>
  <c r="Q148" i="7"/>
  <c r="P149" i="7"/>
  <c r="Q149" i="7"/>
  <c r="B40" i="10" s="1"/>
  <c r="P150" i="7"/>
  <c r="Q150" i="7"/>
  <c r="P151" i="7"/>
  <c r="Q151" i="7"/>
  <c r="P152" i="7"/>
  <c r="B171" i="10" s="1"/>
  <c r="Q152" i="7"/>
  <c r="B172" i="10" s="1"/>
  <c r="P153" i="7"/>
  <c r="Q153" i="7"/>
  <c r="B40" i="11" s="1"/>
  <c r="P154" i="7"/>
  <c r="Q154" i="7"/>
  <c r="P155" i="7"/>
  <c r="Q155" i="7"/>
  <c r="P156" i="7"/>
  <c r="Q156" i="7"/>
  <c r="B172" i="11" s="1"/>
  <c r="Q145" i="7"/>
  <c r="B40" i="9" s="1"/>
  <c r="P145" i="7"/>
  <c r="D223" i="13"/>
  <c r="D222" i="13"/>
  <c r="D221" i="13"/>
  <c r="D220" i="13"/>
  <c r="D185" i="13"/>
  <c r="D184" i="13"/>
  <c r="D183" i="13"/>
  <c r="D182" i="13"/>
  <c r="D147" i="13"/>
  <c r="D146" i="13"/>
  <c r="D145" i="13"/>
  <c r="D144" i="13"/>
  <c r="D109" i="13"/>
  <c r="D108" i="13"/>
  <c r="D153" i="12"/>
  <c r="D152" i="12"/>
  <c r="D151" i="12"/>
  <c r="D150" i="12"/>
  <c r="D149" i="12"/>
  <c r="D114" i="12"/>
  <c r="D113" i="12"/>
  <c r="D112" i="12"/>
  <c r="D111" i="12"/>
  <c r="D110" i="12"/>
  <c r="D75" i="12"/>
  <c r="D74" i="12"/>
  <c r="D73" i="12"/>
  <c r="D72" i="12"/>
  <c r="D71" i="12"/>
  <c r="D36" i="12"/>
  <c r="D35" i="12"/>
  <c r="D34" i="12"/>
  <c r="D33" i="12"/>
  <c r="D32" i="12"/>
  <c r="D173" i="11"/>
  <c r="D172" i="11"/>
  <c r="D171" i="11"/>
  <c r="D170" i="11"/>
  <c r="D169" i="11"/>
  <c r="D168" i="11"/>
  <c r="D167" i="11"/>
  <c r="D166" i="11"/>
  <c r="D165" i="11"/>
  <c r="D129" i="11"/>
  <c r="D128" i="11"/>
  <c r="D127" i="11"/>
  <c r="D126" i="11"/>
  <c r="D125" i="11"/>
  <c r="D124" i="11"/>
  <c r="D123" i="11"/>
  <c r="D122" i="11"/>
  <c r="D121" i="11"/>
  <c r="D85" i="11"/>
  <c r="D84" i="11"/>
  <c r="D83" i="11"/>
  <c r="D82" i="11"/>
  <c r="D81" i="11"/>
  <c r="D80" i="11"/>
  <c r="D79" i="11"/>
  <c r="D78" i="11"/>
  <c r="D77" i="11"/>
  <c r="D41" i="11"/>
  <c r="D40" i="11"/>
  <c r="D39" i="11"/>
  <c r="D38" i="11"/>
  <c r="D37" i="11"/>
  <c r="D36" i="11"/>
  <c r="D35" i="11"/>
  <c r="D34" i="11"/>
  <c r="D33" i="11"/>
  <c r="D173" i="10"/>
  <c r="D172" i="10"/>
  <c r="D171" i="10"/>
  <c r="D170" i="10"/>
  <c r="D169" i="10"/>
  <c r="D168" i="10"/>
  <c r="D167" i="10"/>
  <c r="D166" i="10"/>
  <c r="D165" i="10"/>
  <c r="D129" i="10"/>
  <c r="D128" i="10"/>
  <c r="D127" i="10"/>
  <c r="D126" i="10"/>
  <c r="D125" i="10"/>
  <c r="D124" i="10"/>
  <c r="D123" i="10"/>
  <c r="D122" i="10"/>
  <c r="D121" i="10"/>
  <c r="D85" i="10"/>
  <c r="D84" i="10"/>
  <c r="D83" i="10"/>
  <c r="D82" i="10"/>
  <c r="D81" i="10"/>
  <c r="D80" i="10"/>
  <c r="D79" i="10"/>
  <c r="D78" i="10"/>
  <c r="D77" i="10"/>
  <c r="D33" i="10"/>
  <c r="D41" i="10"/>
  <c r="D40" i="10"/>
  <c r="D39" i="10"/>
  <c r="D38" i="10"/>
  <c r="D37" i="10"/>
  <c r="D36" i="10"/>
  <c r="D35" i="10"/>
  <c r="D34" i="10"/>
  <c r="D173" i="9"/>
  <c r="D172" i="9"/>
  <c r="D171" i="9"/>
  <c r="D170" i="9"/>
  <c r="D169" i="9"/>
  <c r="D168" i="9"/>
  <c r="D167" i="9"/>
  <c r="D166" i="9"/>
  <c r="D165" i="9"/>
  <c r="D129" i="9"/>
  <c r="D128" i="9"/>
  <c r="D127" i="9"/>
  <c r="D126" i="9"/>
  <c r="D125" i="9"/>
  <c r="D124" i="9"/>
  <c r="D123" i="9"/>
  <c r="D122" i="9"/>
  <c r="D121" i="9"/>
  <c r="D85" i="9"/>
  <c r="D84" i="9"/>
  <c r="D83" i="9"/>
  <c r="D82" i="9"/>
  <c r="D81" i="9"/>
  <c r="D80" i="9"/>
  <c r="D79" i="9"/>
  <c r="D78" i="9"/>
  <c r="D77" i="9"/>
  <c r="D41" i="9"/>
  <c r="D40" i="9"/>
  <c r="D39" i="9"/>
  <c r="D38" i="9"/>
  <c r="D37" i="9"/>
  <c r="D36" i="9"/>
  <c r="D35" i="9"/>
  <c r="D34" i="9"/>
  <c r="D33" i="9"/>
  <c r="D141" i="8"/>
  <c r="D140" i="8"/>
  <c r="D105" i="8"/>
  <c r="D104" i="8"/>
  <c r="D69" i="8"/>
  <c r="D68" i="8"/>
  <c r="D33" i="8"/>
  <c r="D32" i="8"/>
  <c r="D223" i="18"/>
  <c r="D222" i="18"/>
  <c r="D221" i="18"/>
  <c r="D220" i="18"/>
  <c r="D185" i="18"/>
  <c r="D184" i="18"/>
  <c r="D183" i="18"/>
  <c r="D182" i="18"/>
  <c r="D147" i="18"/>
  <c r="D146" i="18"/>
  <c r="D145" i="18"/>
  <c r="D144" i="18"/>
  <c r="D109" i="18"/>
  <c r="D108" i="18"/>
  <c r="D107" i="18"/>
  <c r="D106" i="18"/>
  <c r="D71" i="18"/>
  <c r="D70" i="18"/>
  <c r="D69" i="18"/>
  <c r="D34" i="18"/>
  <c r="D33" i="18"/>
  <c r="D32" i="18"/>
  <c r="D223" i="17"/>
  <c r="D222" i="17"/>
  <c r="D221" i="17"/>
  <c r="D220" i="17"/>
  <c r="D185" i="17"/>
  <c r="D184" i="17"/>
  <c r="D183" i="17"/>
  <c r="D182" i="17"/>
  <c r="D147" i="17"/>
  <c r="D146" i="17"/>
  <c r="D145" i="17"/>
  <c r="D144" i="17"/>
  <c r="D109" i="17"/>
  <c r="D108" i="17"/>
  <c r="D107" i="17"/>
  <c r="D106" i="17"/>
  <c r="D71" i="17"/>
  <c r="D70" i="17"/>
  <c r="D69" i="17"/>
  <c r="D34" i="17"/>
  <c r="D33" i="17"/>
  <c r="D32" i="17"/>
  <c r="D223" i="16"/>
  <c r="D222" i="16"/>
  <c r="D221" i="16"/>
  <c r="D220" i="16"/>
  <c r="D185" i="16"/>
  <c r="D184" i="16"/>
  <c r="D183" i="16"/>
  <c r="D182" i="16"/>
  <c r="D147" i="16"/>
  <c r="D146" i="16"/>
  <c r="D145" i="16"/>
  <c r="D144" i="16"/>
  <c r="D109" i="16"/>
  <c r="D108" i="16"/>
  <c r="D107" i="16"/>
  <c r="D106" i="16"/>
  <c r="D71" i="16"/>
  <c r="D70" i="16"/>
  <c r="D69" i="16"/>
  <c r="D34" i="16"/>
  <c r="D33" i="16"/>
  <c r="D32" i="16"/>
  <c r="D177" i="21"/>
  <c r="D176" i="21"/>
  <c r="D175" i="21"/>
  <c r="D174" i="21"/>
  <c r="D173" i="21"/>
  <c r="D172" i="21"/>
  <c r="D171" i="21"/>
  <c r="D170" i="21"/>
  <c r="D169" i="21"/>
  <c r="D168" i="21"/>
  <c r="D132" i="21"/>
  <c r="D131" i="21"/>
  <c r="D130" i="21"/>
  <c r="D129" i="21"/>
  <c r="D128" i="21"/>
  <c r="D127" i="21"/>
  <c r="D126" i="21"/>
  <c r="D125" i="21"/>
  <c r="D124" i="21"/>
  <c r="D123" i="21"/>
  <c r="D87" i="21"/>
  <c r="D86" i="21"/>
  <c r="D85" i="21"/>
  <c r="D84" i="21"/>
  <c r="D83" i="21"/>
  <c r="D82" i="21"/>
  <c r="D81" i="21"/>
  <c r="D80" i="21"/>
  <c r="D79" i="21"/>
  <c r="D78" i="21"/>
  <c r="D42" i="21"/>
  <c r="D41" i="21"/>
  <c r="D40" i="21"/>
  <c r="D39" i="21"/>
  <c r="D38" i="21"/>
  <c r="D37" i="21"/>
  <c r="D36" i="21"/>
  <c r="D35" i="21"/>
  <c r="D34" i="21"/>
  <c r="D33" i="21"/>
  <c r="D177" i="22"/>
  <c r="D176" i="22"/>
  <c r="D175" i="22"/>
  <c r="D174" i="22"/>
  <c r="D173" i="22"/>
  <c r="D172" i="22"/>
  <c r="D171" i="22"/>
  <c r="D170" i="22"/>
  <c r="D169" i="22"/>
  <c r="D168" i="22"/>
  <c r="D132" i="22"/>
  <c r="D131" i="22"/>
  <c r="D130" i="22"/>
  <c r="D129" i="22"/>
  <c r="D128" i="22"/>
  <c r="D127" i="22"/>
  <c r="D126" i="22"/>
  <c r="D125" i="22"/>
  <c r="D124" i="22"/>
  <c r="D123" i="22"/>
  <c r="D87" i="22"/>
  <c r="D86" i="22"/>
  <c r="D85" i="22"/>
  <c r="D84" i="22"/>
  <c r="D83" i="22"/>
  <c r="D82" i="22"/>
  <c r="D81" i="22"/>
  <c r="D80" i="22"/>
  <c r="D79" i="22"/>
  <c r="D78" i="22"/>
  <c r="D42" i="22"/>
  <c r="D41" i="22"/>
  <c r="D40" i="22"/>
  <c r="D39" i="22"/>
  <c r="D38" i="22"/>
  <c r="D37" i="22"/>
  <c r="D36" i="22"/>
  <c r="D35" i="22"/>
  <c r="D34" i="22"/>
  <c r="D33" i="22"/>
  <c r="D177" i="20"/>
  <c r="D176" i="20"/>
  <c r="D175" i="20"/>
  <c r="D174" i="20"/>
  <c r="D173" i="20"/>
  <c r="D172" i="20"/>
  <c r="D171" i="20"/>
  <c r="D170" i="20"/>
  <c r="D169" i="20"/>
  <c r="D168" i="20"/>
  <c r="D132" i="20"/>
  <c r="D131" i="20"/>
  <c r="D130" i="20"/>
  <c r="D129" i="20"/>
  <c r="D128" i="20"/>
  <c r="D127" i="20"/>
  <c r="D126" i="20"/>
  <c r="D125" i="20"/>
  <c r="D124" i="20"/>
  <c r="D123" i="20"/>
  <c r="D87" i="20"/>
  <c r="D86" i="20"/>
  <c r="D85" i="20"/>
  <c r="D84" i="20"/>
  <c r="D83" i="20"/>
  <c r="D82" i="20"/>
  <c r="D81" i="20"/>
  <c r="D80" i="20"/>
  <c r="D79" i="20"/>
  <c r="D78" i="20"/>
  <c r="D42" i="20"/>
  <c r="D41" i="20"/>
  <c r="D40" i="20"/>
  <c r="D39" i="20"/>
  <c r="D38" i="20"/>
  <c r="D37" i="20"/>
  <c r="D36" i="20"/>
  <c r="D35" i="20"/>
  <c r="D34" i="20"/>
  <c r="D33" i="20"/>
  <c r="D176" i="19"/>
  <c r="D175" i="19"/>
  <c r="D174" i="19"/>
  <c r="D173" i="19"/>
  <c r="D172" i="19"/>
  <c r="D171" i="19"/>
  <c r="D170" i="19"/>
  <c r="D169" i="19"/>
  <c r="D168" i="19"/>
  <c r="D131" i="19"/>
  <c r="D130" i="19"/>
  <c r="D129" i="19"/>
  <c r="D128" i="19"/>
  <c r="D127" i="19"/>
  <c r="D126" i="19"/>
  <c r="D125" i="19"/>
  <c r="D124" i="19"/>
  <c r="D123" i="19"/>
  <c r="D86" i="19"/>
  <c r="D85" i="19"/>
  <c r="D84" i="19"/>
  <c r="D83" i="19"/>
  <c r="D82" i="19"/>
  <c r="D81" i="19"/>
  <c r="D80" i="19"/>
  <c r="D79" i="19"/>
  <c r="D78" i="19"/>
  <c r="D41" i="19"/>
  <c r="D40" i="19"/>
  <c r="D35" i="19"/>
  <c r="D34" i="19"/>
  <c r="D33" i="19"/>
  <c r="D32" i="14"/>
  <c r="D257" i="13"/>
  <c r="A486" i="12"/>
  <c r="A443" i="12"/>
  <c r="A400" i="12"/>
  <c r="A357" i="12"/>
  <c r="B329" i="12"/>
  <c r="B372" i="12"/>
  <c r="A399" i="12"/>
  <c r="B415" i="12"/>
  <c r="A442" i="12"/>
  <c r="B458" i="12"/>
  <c r="A354" i="11"/>
  <c r="A391" i="11"/>
  <c r="A428" i="11"/>
  <c r="A465" i="11"/>
  <c r="B436" i="11"/>
  <c r="B399" i="11"/>
  <c r="A427" i="11"/>
  <c r="B362" i="11"/>
  <c r="B325" i="11"/>
  <c r="A354" i="10"/>
  <c r="A391" i="10"/>
  <c r="A428" i="10"/>
  <c r="A465" i="10"/>
  <c r="B436" i="10"/>
  <c r="B399" i="10"/>
  <c r="B362" i="10"/>
  <c r="B325" i="10"/>
  <c r="A353" i="10"/>
  <c r="A355" i="9"/>
  <c r="A392" i="9"/>
  <c r="A429" i="9"/>
  <c r="A466" i="9"/>
  <c r="B437" i="9"/>
  <c r="B400" i="9"/>
  <c r="B363" i="9"/>
  <c r="A391" i="9"/>
  <c r="B326" i="9"/>
  <c r="A354" i="9"/>
  <c r="D107" i="13"/>
  <c r="D106" i="13"/>
  <c r="D71" i="13"/>
  <c r="D70" i="13"/>
  <c r="D69" i="13"/>
  <c r="D68" i="13"/>
  <c r="D34" i="13"/>
  <c r="D33" i="13"/>
  <c r="D32" i="13"/>
  <c r="A362" i="15"/>
  <c r="A400" i="15"/>
  <c r="A438" i="15"/>
  <c r="A476" i="15"/>
  <c r="B447" i="15"/>
  <c r="B409" i="15"/>
  <c r="A437" i="15"/>
  <c r="B371" i="15"/>
  <c r="B333" i="15"/>
  <c r="D177" i="15"/>
  <c r="D176" i="15"/>
  <c r="D175" i="15"/>
  <c r="D174" i="15"/>
  <c r="D173" i="15"/>
  <c r="D172" i="15"/>
  <c r="D171" i="15"/>
  <c r="D170" i="15"/>
  <c r="D169" i="15"/>
  <c r="D168" i="15"/>
  <c r="D132" i="15"/>
  <c r="D131" i="15"/>
  <c r="D130" i="15"/>
  <c r="D129" i="15"/>
  <c r="D128" i="15"/>
  <c r="D127" i="15"/>
  <c r="D126" i="15"/>
  <c r="D125" i="15"/>
  <c r="D124" i="15"/>
  <c r="D123" i="15"/>
  <c r="D87" i="15"/>
  <c r="D86" i="15"/>
  <c r="D85" i="15"/>
  <c r="D84" i="15"/>
  <c r="D83" i="15"/>
  <c r="D82" i="15"/>
  <c r="D81" i="15"/>
  <c r="D80" i="15"/>
  <c r="D79" i="15"/>
  <c r="D78" i="15"/>
  <c r="D42" i="15"/>
  <c r="D41" i="15"/>
  <c r="D40" i="15"/>
  <c r="D39" i="15"/>
  <c r="D38" i="15"/>
  <c r="D37" i="15"/>
  <c r="D36" i="15"/>
  <c r="D35" i="15"/>
  <c r="D34" i="15"/>
  <c r="D33" i="15"/>
  <c r="D39" i="19"/>
  <c r="D38" i="19"/>
  <c r="D37" i="19"/>
  <c r="D36" i="19"/>
  <c r="A476" i="21"/>
  <c r="A438" i="21"/>
  <c r="A400" i="21"/>
  <c r="A362" i="21"/>
  <c r="B447" i="21"/>
  <c r="B409" i="21"/>
  <c r="B371" i="21"/>
  <c r="A399" i="21"/>
  <c r="B333" i="21"/>
  <c r="A361" i="21"/>
  <c r="A477" i="22"/>
  <c r="A439" i="22"/>
  <c r="A401" i="22"/>
  <c r="A363" i="22"/>
  <c r="B448" i="22"/>
  <c r="B410" i="22"/>
  <c r="B372" i="22"/>
  <c r="A400" i="22"/>
  <c r="B334" i="22"/>
  <c r="A476" i="20"/>
  <c r="A438" i="20"/>
  <c r="A400" i="20"/>
  <c r="A362" i="20"/>
  <c r="A476" i="19"/>
  <c r="A438" i="19"/>
  <c r="A400" i="19"/>
  <c r="A362" i="19"/>
  <c r="B447" i="20"/>
  <c r="B409" i="20"/>
  <c r="A437" i="20"/>
  <c r="B371" i="20"/>
  <c r="A399" i="20"/>
  <c r="B333" i="20"/>
  <c r="A361" i="20"/>
  <c r="B447" i="19"/>
  <c r="A475" i="19"/>
  <c r="B409" i="19"/>
  <c r="B371" i="19"/>
  <c r="A399" i="19"/>
  <c r="D364" i="19"/>
  <c r="B333" i="19"/>
  <c r="A361" i="19"/>
  <c r="B43" i="23"/>
  <c r="B42" i="23"/>
  <c r="B28" i="23"/>
  <c r="B27" i="23"/>
  <c r="C177" i="8"/>
  <c r="D177" i="8"/>
  <c r="C178" i="8"/>
  <c r="D178" i="8"/>
  <c r="C360" i="9"/>
  <c r="D360" i="9"/>
  <c r="C361" i="9"/>
  <c r="D361" i="9"/>
  <c r="C212" i="9"/>
  <c r="D212" i="9"/>
  <c r="C213" i="9"/>
  <c r="D213" i="9"/>
  <c r="C359" i="10"/>
  <c r="D359" i="10"/>
  <c r="C360" i="10"/>
  <c r="D360" i="10"/>
  <c r="D211" i="10"/>
  <c r="D212" i="10"/>
  <c r="C211" i="10"/>
  <c r="C212" i="10"/>
  <c r="D359" i="11"/>
  <c r="D360" i="11"/>
  <c r="D358" i="11"/>
  <c r="C359" i="11"/>
  <c r="C360" i="11"/>
  <c r="C358" i="11"/>
  <c r="D211" i="11"/>
  <c r="D212" i="11"/>
  <c r="C211" i="11"/>
  <c r="C212" i="11"/>
  <c r="H152" i="12"/>
  <c r="C152" i="12"/>
  <c r="A152" i="12"/>
  <c r="H113" i="12"/>
  <c r="C113" i="12"/>
  <c r="A113" i="12"/>
  <c r="H74" i="12"/>
  <c r="C74" i="12"/>
  <c r="A74" i="12"/>
  <c r="H35" i="12"/>
  <c r="C35" i="12"/>
  <c r="A35" i="12"/>
  <c r="H167" i="11"/>
  <c r="C167" i="11"/>
  <c r="A167" i="11"/>
  <c r="H123" i="11"/>
  <c r="C123" i="11"/>
  <c r="A123" i="11"/>
  <c r="H79" i="11"/>
  <c r="C79" i="11"/>
  <c r="A79" i="11"/>
  <c r="H35" i="11"/>
  <c r="C35" i="11"/>
  <c r="A35" i="11"/>
  <c r="H167" i="10"/>
  <c r="C167" i="10"/>
  <c r="A167" i="10"/>
  <c r="H123" i="10"/>
  <c r="C123" i="10"/>
  <c r="A123" i="10"/>
  <c r="H79" i="10"/>
  <c r="C79" i="10"/>
  <c r="A79" i="10"/>
  <c r="H35" i="10"/>
  <c r="C35" i="10"/>
  <c r="A35" i="10"/>
  <c r="H167" i="9"/>
  <c r="C167" i="9"/>
  <c r="A167" i="9"/>
  <c r="H123" i="9"/>
  <c r="C123" i="9"/>
  <c r="A123" i="9"/>
  <c r="H79" i="9"/>
  <c r="C79" i="9"/>
  <c r="A79" i="9"/>
  <c r="H35" i="9"/>
  <c r="C35" i="9"/>
  <c r="A35" i="9"/>
  <c r="H141" i="8"/>
  <c r="C141" i="8"/>
  <c r="A141" i="8"/>
  <c r="H105" i="8"/>
  <c r="C105" i="8"/>
  <c r="A105" i="8"/>
  <c r="H69" i="8"/>
  <c r="C69" i="8"/>
  <c r="A69" i="8"/>
  <c r="H33" i="8"/>
  <c r="C33" i="8"/>
  <c r="A33" i="8"/>
  <c r="H166" i="6"/>
  <c r="D166" i="6"/>
  <c r="C166" i="6"/>
  <c r="A166" i="6"/>
  <c r="H123" i="6"/>
  <c r="D123" i="6"/>
  <c r="C123" i="6"/>
  <c r="A123" i="6"/>
  <c r="H80" i="6"/>
  <c r="D80" i="6"/>
  <c r="C80" i="6"/>
  <c r="A80" i="6"/>
  <c r="H37" i="6"/>
  <c r="D37" i="6"/>
  <c r="C37" i="6"/>
  <c r="A37" i="6"/>
  <c r="H222" i="13"/>
  <c r="C222" i="13"/>
  <c r="A222" i="13"/>
  <c r="H184" i="13"/>
  <c r="C184" i="13"/>
  <c r="A184" i="13"/>
  <c r="H146" i="13"/>
  <c r="C146" i="13"/>
  <c r="A146" i="13"/>
  <c r="H108" i="13"/>
  <c r="C108" i="13"/>
  <c r="A108" i="13"/>
  <c r="H169" i="15"/>
  <c r="C169" i="15"/>
  <c r="A169" i="15"/>
  <c r="H124" i="15"/>
  <c r="C124" i="15"/>
  <c r="A124" i="15"/>
  <c r="H79" i="15"/>
  <c r="C79" i="15"/>
  <c r="A79" i="15"/>
  <c r="H34" i="15"/>
  <c r="C34" i="15"/>
  <c r="A34" i="15"/>
  <c r="H222" i="14"/>
  <c r="D222" i="14"/>
  <c r="C222" i="14"/>
  <c r="A222" i="14"/>
  <c r="H184" i="14"/>
  <c r="D184" i="14"/>
  <c r="C184" i="14"/>
  <c r="A184" i="14"/>
  <c r="H146" i="14"/>
  <c r="D146" i="14"/>
  <c r="C146" i="14"/>
  <c r="A146" i="14"/>
  <c r="H108" i="14"/>
  <c r="D108" i="14"/>
  <c r="C108" i="14"/>
  <c r="A108" i="14"/>
  <c r="H222" i="18"/>
  <c r="C222" i="18"/>
  <c r="A222" i="18"/>
  <c r="H184" i="18"/>
  <c r="C184" i="18"/>
  <c r="A184" i="18"/>
  <c r="H146" i="18"/>
  <c r="C146" i="18"/>
  <c r="A146" i="18"/>
  <c r="H108" i="18"/>
  <c r="C108" i="18"/>
  <c r="A108" i="18"/>
  <c r="H222" i="17"/>
  <c r="C222" i="17"/>
  <c r="A222" i="17"/>
  <c r="H184" i="17"/>
  <c r="C184" i="17"/>
  <c r="A184" i="17"/>
  <c r="H146" i="17"/>
  <c r="C146" i="17"/>
  <c r="A146" i="17"/>
  <c r="H108" i="17"/>
  <c r="C108" i="17"/>
  <c r="A108" i="17"/>
  <c r="H222" i="16"/>
  <c r="C222" i="16"/>
  <c r="A222" i="16"/>
  <c r="H184" i="16"/>
  <c r="C184" i="16"/>
  <c r="A184" i="16"/>
  <c r="H146" i="16"/>
  <c r="C146" i="16"/>
  <c r="A146" i="16"/>
  <c r="H108" i="16"/>
  <c r="C108" i="16"/>
  <c r="A108" i="16"/>
  <c r="H169" i="21"/>
  <c r="C169" i="21"/>
  <c r="A169" i="21"/>
  <c r="H124" i="21"/>
  <c r="C124" i="21"/>
  <c r="A124" i="21"/>
  <c r="H79" i="21"/>
  <c r="C79" i="21"/>
  <c r="A79" i="21"/>
  <c r="H34" i="21"/>
  <c r="C34" i="21"/>
  <c r="A34" i="21"/>
  <c r="H169" i="22"/>
  <c r="C169" i="22"/>
  <c r="A169" i="22"/>
  <c r="H124" i="22"/>
  <c r="C124" i="22"/>
  <c r="A124" i="22"/>
  <c r="H79" i="22"/>
  <c r="C79" i="22"/>
  <c r="A79" i="22"/>
  <c r="H34" i="22"/>
  <c r="C34" i="22"/>
  <c r="A34" i="22"/>
  <c r="H169" i="20"/>
  <c r="C169" i="20"/>
  <c r="A169" i="20"/>
  <c r="H124" i="20"/>
  <c r="C124" i="20"/>
  <c r="A124" i="20"/>
  <c r="H79" i="20"/>
  <c r="C79" i="20"/>
  <c r="A79" i="20"/>
  <c r="H34" i="20"/>
  <c r="C34" i="20"/>
  <c r="A34" i="20"/>
  <c r="H169" i="19"/>
  <c r="C169" i="19"/>
  <c r="A169" i="19"/>
  <c r="H124" i="19"/>
  <c r="C124" i="19"/>
  <c r="A124" i="19"/>
  <c r="H79" i="19"/>
  <c r="C79" i="19"/>
  <c r="A79" i="19"/>
  <c r="H34" i="19"/>
  <c r="A34" i="19"/>
  <c r="C34" i="19"/>
  <c r="C138" i="7"/>
  <c r="C139" i="7"/>
  <c r="B123" i="6" s="1"/>
  <c r="C140" i="7"/>
  <c r="B166" i="6" s="1"/>
  <c r="C141" i="7"/>
  <c r="C142" i="7"/>
  <c r="B69" i="8" s="1"/>
  <c r="C143" i="7"/>
  <c r="C144" i="7"/>
  <c r="C145" i="7"/>
  <c r="C146" i="7"/>
  <c r="C147" i="7"/>
  <c r="B123" i="9" s="1"/>
  <c r="C148" i="7"/>
  <c r="B167" i="9" s="1"/>
  <c r="C149" i="7"/>
  <c r="B35" i="10" s="1"/>
  <c r="C150" i="7"/>
  <c r="C151" i="7"/>
  <c r="B123" i="10" s="1"/>
  <c r="C152" i="7"/>
  <c r="C153" i="7"/>
  <c r="C154" i="7"/>
  <c r="C155" i="7"/>
  <c r="C156" i="7"/>
  <c r="B167" i="11" s="1"/>
  <c r="C157" i="7"/>
  <c r="B35" i="12" s="1"/>
  <c r="C158" i="7"/>
  <c r="B74" i="12" s="1"/>
  <c r="C159" i="7"/>
  <c r="B113" i="12" s="1"/>
  <c r="C160" i="7"/>
  <c r="B152" i="12" s="1"/>
  <c r="C161" i="7"/>
  <c r="C162" i="7"/>
  <c r="C163" i="7"/>
  <c r="B108" i="13" s="1"/>
  <c r="C164" i="7"/>
  <c r="B146" i="13" s="1"/>
  <c r="C165" i="7"/>
  <c r="B184" i="13" s="1"/>
  <c r="C166" i="7"/>
  <c r="B222" i="13" s="1"/>
  <c r="C173" i="7"/>
  <c r="C174" i="7"/>
  <c r="C175" i="7"/>
  <c r="C176" i="7"/>
  <c r="C177" i="7"/>
  <c r="C178" i="7"/>
  <c r="C183" i="7"/>
  <c r="B34" i="15" s="1"/>
  <c r="C184" i="7"/>
  <c r="B79" i="15" s="1"/>
  <c r="C185" i="7"/>
  <c r="B124" i="15" s="1"/>
  <c r="C186" i="7"/>
  <c r="C187" i="7"/>
  <c r="C188" i="7"/>
  <c r="C190" i="7"/>
  <c r="B146" i="16" s="1"/>
  <c r="C191" i="7"/>
  <c r="C192" i="7"/>
  <c r="C193" i="7"/>
  <c r="C194" i="7"/>
  <c r="C195" i="7"/>
  <c r="C196" i="7"/>
  <c r="C197" i="7"/>
  <c r="C198" i="7"/>
  <c r="C199" i="7"/>
  <c r="C200" i="7"/>
  <c r="C201" i="7"/>
  <c r="C202" i="7"/>
  <c r="C203" i="7"/>
  <c r="C204" i="7"/>
  <c r="C205" i="7"/>
  <c r="C206" i="7"/>
  <c r="C207" i="7"/>
  <c r="C208" i="7"/>
  <c r="B169" i="19" s="1"/>
  <c r="C209" i="7"/>
  <c r="C210" i="7"/>
  <c r="C211" i="7"/>
  <c r="B124" i="20" s="1"/>
  <c r="C212" i="7"/>
  <c r="C213" i="7"/>
  <c r="C214" i="7"/>
  <c r="C215" i="7"/>
  <c r="C216" i="7"/>
  <c r="C217" i="7"/>
  <c r="C218" i="7"/>
  <c r="C219" i="7"/>
  <c r="C220" i="7"/>
  <c r="C137" i="7"/>
  <c r="B44" i="23"/>
  <c r="D40" i="23"/>
  <c r="C40" i="23"/>
  <c r="A40" i="23"/>
  <c r="B33" i="23"/>
  <c r="H40" i="23"/>
  <c r="B29" i="23"/>
  <c r="B18" i="23"/>
  <c r="H25" i="23"/>
  <c r="D25" i="23"/>
  <c r="C25" i="23"/>
  <c r="A25" i="23"/>
  <c r="H484" i="22"/>
  <c r="D484" i="22"/>
  <c r="C484" i="22"/>
  <c r="A484" i="22"/>
  <c r="H483" i="22"/>
  <c r="D483" i="22"/>
  <c r="C483" i="22"/>
  <c r="A483" i="22"/>
  <c r="H482" i="22"/>
  <c r="D482" i="22"/>
  <c r="C482" i="22"/>
  <c r="A482" i="22"/>
  <c r="H480" i="22"/>
  <c r="D480" i="22"/>
  <c r="C480" i="22"/>
  <c r="A480" i="22"/>
  <c r="D479" i="22"/>
  <c r="C479" i="22"/>
  <c r="H478" i="22"/>
  <c r="D478" i="22"/>
  <c r="C478" i="22"/>
  <c r="A478" i="22"/>
  <c r="C477" i="22"/>
  <c r="C476" i="22"/>
  <c r="B454" i="22"/>
  <c r="H476" i="22"/>
  <c r="H477" i="22"/>
  <c r="B453" i="22"/>
  <c r="A476" i="22"/>
  <c r="H446" i="22"/>
  <c r="D446" i="22"/>
  <c r="C446" i="22"/>
  <c r="A446" i="22"/>
  <c r="H445" i="22"/>
  <c r="D445" i="22"/>
  <c r="C445" i="22"/>
  <c r="A445" i="22"/>
  <c r="H444" i="22"/>
  <c r="D444" i="22"/>
  <c r="C444" i="22"/>
  <c r="A444" i="22"/>
  <c r="H442" i="22"/>
  <c r="D442" i="22"/>
  <c r="C442" i="22"/>
  <c r="A442" i="22"/>
  <c r="D441" i="22"/>
  <c r="C441" i="22"/>
  <c r="H440" i="22"/>
  <c r="D440" i="22"/>
  <c r="C440" i="22"/>
  <c r="A440" i="22"/>
  <c r="C439" i="22"/>
  <c r="C438" i="22"/>
  <c r="B416" i="22"/>
  <c r="H438" i="22"/>
  <c r="H439" i="22"/>
  <c r="B415" i="22"/>
  <c r="A438" i="22"/>
  <c r="H408" i="22"/>
  <c r="D408" i="22"/>
  <c r="C408" i="22"/>
  <c r="A408" i="22"/>
  <c r="H407" i="22"/>
  <c r="D407" i="22"/>
  <c r="C407" i="22"/>
  <c r="A407" i="22"/>
  <c r="H406" i="22"/>
  <c r="D406" i="22"/>
  <c r="C406" i="22"/>
  <c r="A406" i="22"/>
  <c r="H404" i="22"/>
  <c r="D404" i="22"/>
  <c r="C404" i="22"/>
  <c r="A404" i="22"/>
  <c r="D403" i="22"/>
  <c r="C403" i="22"/>
  <c r="H402" i="22"/>
  <c r="D402" i="22"/>
  <c r="C402" i="22"/>
  <c r="A402" i="22"/>
  <c r="C401" i="22"/>
  <c r="C400" i="22"/>
  <c r="B378" i="22"/>
  <c r="H400" i="22"/>
  <c r="H401" i="22"/>
  <c r="B377" i="22"/>
  <c r="H370" i="22"/>
  <c r="D370" i="22"/>
  <c r="C370" i="22"/>
  <c r="A370" i="22"/>
  <c r="H369" i="22"/>
  <c r="D369" i="22"/>
  <c r="C369" i="22"/>
  <c r="A369" i="22"/>
  <c r="H368" i="22"/>
  <c r="D368" i="22"/>
  <c r="C368" i="22"/>
  <c r="A368" i="22"/>
  <c r="H366" i="22"/>
  <c r="D366" i="22"/>
  <c r="C366" i="22"/>
  <c r="A366" i="22"/>
  <c r="D365" i="22"/>
  <c r="C365" i="22"/>
  <c r="H364" i="22"/>
  <c r="D364" i="22"/>
  <c r="C364" i="22"/>
  <c r="A364" i="22"/>
  <c r="C363" i="22"/>
  <c r="C362" i="22"/>
  <c r="B340" i="22"/>
  <c r="H362" i="22"/>
  <c r="H363" i="22"/>
  <c r="B339" i="22"/>
  <c r="A362" i="22"/>
  <c r="H331" i="22"/>
  <c r="D331" i="22"/>
  <c r="C331" i="22"/>
  <c r="A331" i="22"/>
  <c r="H330" i="22"/>
  <c r="D330" i="22"/>
  <c r="C330" i="22"/>
  <c r="A330" i="22"/>
  <c r="H329" i="22"/>
  <c r="D329" i="22"/>
  <c r="C329" i="22"/>
  <c r="A329" i="22"/>
  <c r="H327" i="22"/>
  <c r="D327" i="22"/>
  <c r="C327" i="22"/>
  <c r="A327" i="22"/>
  <c r="H326" i="22"/>
  <c r="D326" i="22"/>
  <c r="C326" i="22"/>
  <c r="A326" i="22"/>
  <c r="H325" i="22"/>
  <c r="D325" i="22"/>
  <c r="C325" i="22"/>
  <c r="A325" i="22"/>
  <c r="C324" i="22"/>
  <c r="C323" i="22"/>
  <c r="B301" i="22"/>
  <c r="H323" i="22"/>
  <c r="H324" i="22"/>
  <c r="B300" i="22"/>
  <c r="B295" i="22"/>
  <c r="A323" i="22"/>
  <c r="A324" i="22"/>
  <c r="H293" i="22"/>
  <c r="D293" i="22"/>
  <c r="C293" i="22"/>
  <c r="A293" i="22"/>
  <c r="H292" i="22"/>
  <c r="D292" i="22"/>
  <c r="C292" i="22"/>
  <c r="A292" i="22"/>
  <c r="H291" i="22"/>
  <c r="D291" i="22"/>
  <c r="C291" i="22"/>
  <c r="A291" i="22"/>
  <c r="H289" i="22"/>
  <c r="D289" i="22"/>
  <c r="C289" i="22"/>
  <c r="A289" i="22"/>
  <c r="H288" i="22"/>
  <c r="D288" i="22"/>
  <c r="C288" i="22"/>
  <c r="A288" i="22"/>
  <c r="H287" i="22"/>
  <c r="D287" i="22"/>
  <c r="C287" i="22"/>
  <c r="A287" i="22"/>
  <c r="C286" i="22"/>
  <c r="C285" i="22"/>
  <c r="B263" i="22"/>
  <c r="H285" i="22"/>
  <c r="H286" i="22"/>
  <c r="B262" i="22"/>
  <c r="B257" i="22"/>
  <c r="A285" i="22"/>
  <c r="A286" i="22"/>
  <c r="H255" i="22"/>
  <c r="D255" i="22"/>
  <c r="C255" i="22"/>
  <c r="A255" i="22"/>
  <c r="H254" i="22"/>
  <c r="D254" i="22"/>
  <c r="C254" i="22"/>
  <c r="A254" i="22"/>
  <c r="H253" i="22"/>
  <c r="D253" i="22"/>
  <c r="C253" i="22"/>
  <c r="A253" i="22"/>
  <c r="H251" i="22"/>
  <c r="D251" i="22"/>
  <c r="C251" i="22"/>
  <c r="A251" i="22"/>
  <c r="H250" i="22"/>
  <c r="D250" i="22"/>
  <c r="C250" i="22"/>
  <c r="A250" i="22"/>
  <c r="H249" i="22"/>
  <c r="D249" i="22"/>
  <c r="C249" i="22"/>
  <c r="A249" i="22"/>
  <c r="C248" i="22"/>
  <c r="C247" i="22"/>
  <c r="B225" i="22"/>
  <c r="H247" i="22"/>
  <c r="H248" i="22"/>
  <c r="B224" i="22"/>
  <c r="B219" i="22"/>
  <c r="A247" i="22"/>
  <c r="A248" i="22"/>
  <c r="H217" i="22"/>
  <c r="D217" i="22"/>
  <c r="C217" i="22"/>
  <c r="A217" i="22"/>
  <c r="H216" i="22"/>
  <c r="D216" i="22"/>
  <c r="C216" i="22"/>
  <c r="A216" i="22"/>
  <c r="H215" i="22"/>
  <c r="D215" i="22"/>
  <c r="C215" i="22"/>
  <c r="A215" i="22"/>
  <c r="H213" i="22"/>
  <c r="D213" i="22"/>
  <c r="C213" i="22"/>
  <c r="A213" i="22"/>
  <c r="H212" i="22"/>
  <c r="D212" i="22"/>
  <c r="C212" i="22"/>
  <c r="A212" i="22"/>
  <c r="H211" i="22"/>
  <c r="D211" i="22"/>
  <c r="C211" i="22"/>
  <c r="A211" i="22"/>
  <c r="C210" i="22"/>
  <c r="C209" i="22"/>
  <c r="B187" i="22"/>
  <c r="H209" i="22"/>
  <c r="H210" i="22"/>
  <c r="B186" i="22"/>
  <c r="B181" i="22"/>
  <c r="A209" i="22"/>
  <c r="A210" i="22"/>
  <c r="H177" i="22"/>
  <c r="C177" i="22"/>
  <c r="A177" i="22"/>
  <c r="H176" i="22"/>
  <c r="C176" i="22"/>
  <c r="A176" i="22"/>
  <c r="H175" i="22"/>
  <c r="C175" i="22"/>
  <c r="A175" i="22"/>
  <c r="H174" i="22"/>
  <c r="C174" i="22"/>
  <c r="A174" i="22"/>
  <c r="H173" i="22"/>
  <c r="C173" i="22"/>
  <c r="A173" i="22"/>
  <c r="H172" i="22"/>
  <c r="C172" i="22"/>
  <c r="A172" i="22"/>
  <c r="H171" i="22"/>
  <c r="C171" i="22"/>
  <c r="A171" i="22"/>
  <c r="H170" i="22"/>
  <c r="C170" i="22"/>
  <c r="A170" i="22"/>
  <c r="H168" i="22"/>
  <c r="C168" i="22"/>
  <c r="A168" i="22"/>
  <c r="H167" i="22"/>
  <c r="D167" i="22"/>
  <c r="C167" i="22"/>
  <c r="B142" i="22"/>
  <c r="B141" i="22"/>
  <c r="B136" i="22"/>
  <c r="A167" i="22"/>
  <c r="H132" i="22"/>
  <c r="C132" i="22"/>
  <c r="A132" i="22"/>
  <c r="H131" i="22"/>
  <c r="C131" i="22"/>
  <c r="A131" i="22"/>
  <c r="H130" i="22"/>
  <c r="C130" i="22"/>
  <c r="A130" i="22"/>
  <c r="H129" i="22"/>
  <c r="C129" i="22"/>
  <c r="A129" i="22"/>
  <c r="H128" i="22"/>
  <c r="C128" i="22"/>
  <c r="A128" i="22"/>
  <c r="H127" i="22"/>
  <c r="C127" i="22"/>
  <c r="A127" i="22"/>
  <c r="H126" i="22"/>
  <c r="C126" i="22"/>
  <c r="A126" i="22"/>
  <c r="H125" i="22"/>
  <c r="C125" i="22"/>
  <c r="A125" i="22"/>
  <c r="H123" i="22"/>
  <c r="C123" i="22"/>
  <c r="A123" i="22"/>
  <c r="H122" i="22"/>
  <c r="D122" i="22"/>
  <c r="C122" i="22"/>
  <c r="B97" i="22"/>
  <c r="B96" i="22"/>
  <c r="B91" i="22"/>
  <c r="A122" i="22"/>
  <c r="H87" i="22"/>
  <c r="C87" i="22"/>
  <c r="A87" i="22"/>
  <c r="H86" i="22"/>
  <c r="C86" i="22"/>
  <c r="A86" i="22"/>
  <c r="H85" i="22"/>
  <c r="C85" i="22"/>
  <c r="A85" i="22"/>
  <c r="H84" i="22"/>
  <c r="C84" i="22"/>
  <c r="A84" i="22"/>
  <c r="H83" i="22"/>
  <c r="C83" i="22"/>
  <c r="A83" i="22"/>
  <c r="H82" i="22"/>
  <c r="C82" i="22"/>
  <c r="A82" i="22"/>
  <c r="H81" i="22"/>
  <c r="C81" i="22"/>
  <c r="A81" i="22"/>
  <c r="H80" i="22"/>
  <c r="C80" i="22"/>
  <c r="A80" i="22"/>
  <c r="H78" i="22"/>
  <c r="C78" i="22"/>
  <c r="A78" i="22"/>
  <c r="H77" i="22"/>
  <c r="D77" i="22"/>
  <c r="C77" i="22"/>
  <c r="B52" i="22"/>
  <c r="B51" i="22"/>
  <c r="B46" i="22"/>
  <c r="A77" i="22"/>
  <c r="H42" i="22"/>
  <c r="C42" i="22"/>
  <c r="A42" i="22"/>
  <c r="H41" i="22"/>
  <c r="C41" i="22"/>
  <c r="A41" i="22"/>
  <c r="H40" i="22"/>
  <c r="C40" i="22"/>
  <c r="A40" i="22"/>
  <c r="H39" i="22"/>
  <c r="C39" i="22"/>
  <c r="A39" i="22"/>
  <c r="H38" i="22"/>
  <c r="C38" i="22"/>
  <c r="A38" i="22"/>
  <c r="H37" i="22"/>
  <c r="C37" i="22"/>
  <c r="A37" i="22"/>
  <c r="H36" i="22"/>
  <c r="C36" i="22"/>
  <c r="A36" i="22"/>
  <c r="H35" i="22"/>
  <c r="C35" i="22"/>
  <c r="A35" i="22"/>
  <c r="H33" i="22"/>
  <c r="C33" i="22"/>
  <c r="A33" i="22"/>
  <c r="H32" i="22"/>
  <c r="D32" i="22"/>
  <c r="C32" i="22"/>
  <c r="B7" i="22"/>
  <c r="B6" i="22"/>
  <c r="B1" i="22"/>
  <c r="A32" i="22"/>
  <c r="H483" i="21"/>
  <c r="D483" i="21"/>
  <c r="C483" i="21"/>
  <c r="A483" i="21"/>
  <c r="H482" i="21"/>
  <c r="D482" i="21"/>
  <c r="C482" i="21"/>
  <c r="A482" i="21"/>
  <c r="H481" i="21"/>
  <c r="D481" i="21"/>
  <c r="C481" i="21"/>
  <c r="A481" i="21"/>
  <c r="H479" i="21"/>
  <c r="D479" i="21"/>
  <c r="C479" i="21"/>
  <c r="A479" i="21"/>
  <c r="D478" i="21"/>
  <c r="C478" i="21"/>
  <c r="H477" i="21"/>
  <c r="D477" i="21"/>
  <c r="C477" i="21"/>
  <c r="A477" i="21"/>
  <c r="C476" i="21"/>
  <c r="C475" i="21"/>
  <c r="B453" i="21"/>
  <c r="H475" i="21"/>
  <c r="H476" i="21"/>
  <c r="B452" i="21"/>
  <c r="A475" i="21"/>
  <c r="H445" i="21"/>
  <c r="D445" i="21"/>
  <c r="C445" i="21"/>
  <c r="A445" i="21"/>
  <c r="H444" i="21"/>
  <c r="D444" i="21"/>
  <c r="C444" i="21"/>
  <c r="A444" i="21"/>
  <c r="H443" i="21"/>
  <c r="D443" i="21"/>
  <c r="C443" i="21"/>
  <c r="A443" i="21"/>
  <c r="H441" i="21"/>
  <c r="D441" i="21"/>
  <c r="C441" i="21"/>
  <c r="A441" i="21"/>
  <c r="D440" i="21"/>
  <c r="C440" i="21"/>
  <c r="H439" i="21"/>
  <c r="D439" i="21"/>
  <c r="C439" i="21"/>
  <c r="A439" i="21"/>
  <c r="C438" i="21"/>
  <c r="C437" i="21"/>
  <c r="B415" i="21"/>
  <c r="H437" i="21"/>
  <c r="H438" i="21"/>
  <c r="B414" i="21"/>
  <c r="A437" i="21"/>
  <c r="H407" i="21"/>
  <c r="D407" i="21"/>
  <c r="C407" i="21"/>
  <c r="A407" i="21"/>
  <c r="H406" i="21"/>
  <c r="D406" i="21"/>
  <c r="C406" i="21"/>
  <c r="A406" i="21"/>
  <c r="H405" i="21"/>
  <c r="D405" i="21"/>
  <c r="C405" i="21"/>
  <c r="A405" i="21"/>
  <c r="H403" i="21"/>
  <c r="D403" i="21"/>
  <c r="C403" i="21"/>
  <c r="A403" i="21"/>
  <c r="D402" i="21"/>
  <c r="C402" i="21"/>
  <c r="H401" i="21"/>
  <c r="D401" i="21"/>
  <c r="C401" i="21"/>
  <c r="A401" i="21"/>
  <c r="C400" i="21"/>
  <c r="C399" i="21"/>
  <c r="B377" i="21"/>
  <c r="H399" i="21"/>
  <c r="H400" i="21"/>
  <c r="B376" i="21"/>
  <c r="H369" i="21"/>
  <c r="D369" i="21"/>
  <c r="C369" i="21"/>
  <c r="A369" i="21"/>
  <c r="H368" i="21"/>
  <c r="D368" i="21"/>
  <c r="C368" i="21"/>
  <c r="A368" i="21"/>
  <c r="H367" i="21"/>
  <c r="D367" i="21"/>
  <c r="C367" i="21"/>
  <c r="A367" i="21"/>
  <c r="H365" i="21"/>
  <c r="D365" i="21"/>
  <c r="C365" i="21"/>
  <c r="A365" i="21"/>
  <c r="D364" i="21"/>
  <c r="C364" i="21"/>
  <c r="H363" i="21"/>
  <c r="D363" i="21"/>
  <c r="C363" i="21"/>
  <c r="A363" i="21"/>
  <c r="C362" i="21"/>
  <c r="C361" i="21"/>
  <c r="B339" i="21"/>
  <c r="H361" i="21"/>
  <c r="H362" i="21"/>
  <c r="B338" i="21"/>
  <c r="H331" i="21"/>
  <c r="D331" i="21"/>
  <c r="C331" i="21"/>
  <c r="A331" i="21"/>
  <c r="H330" i="21"/>
  <c r="D330" i="21"/>
  <c r="C330" i="21"/>
  <c r="A330" i="21"/>
  <c r="H329" i="21"/>
  <c r="D329" i="21"/>
  <c r="C329" i="21"/>
  <c r="A329" i="21"/>
  <c r="H327" i="21"/>
  <c r="D327" i="21"/>
  <c r="C327" i="21"/>
  <c r="A327" i="21"/>
  <c r="H326" i="21"/>
  <c r="D326" i="21"/>
  <c r="C326" i="21"/>
  <c r="A326" i="21"/>
  <c r="H325" i="21"/>
  <c r="D325" i="21"/>
  <c r="C325" i="21"/>
  <c r="A325" i="21"/>
  <c r="C324" i="21"/>
  <c r="C323" i="21"/>
  <c r="B301" i="21"/>
  <c r="H323" i="21"/>
  <c r="H324" i="21"/>
  <c r="B300" i="21"/>
  <c r="B295" i="21"/>
  <c r="A323" i="21"/>
  <c r="A324" i="21"/>
  <c r="H293" i="21"/>
  <c r="D293" i="21"/>
  <c r="C293" i="21"/>
  <c r="A293" i="21"/>
  <c r="H292" i="21"/>
  <c r="D292" i="21"/>
  <c r="C292" i="21"/>
  <c r="A292" i="21"/>
  <c r="H291" i="21"/>
  <c r="D291" i="21"/>
  <c r="C291" i="21"/>
  <c r="A291" i="21"/>
  <c r="H289" i="21"/>
  <c r="D289" i="21"/>
  <c r="C289" i="21"/>
  <c r="A289" i="21"/>
  <c r="H288" i="21"/>
  <c r="D288" i="21"/>
  <c r="C288" i="21"/>
  <c r="A288" i="21"/>
  <c r="H287" i="21"/>
  <c r="D287" i="21"/>
  <c r="C287" i="21"/>
  <c r="A287" i="21"/>
  <c r="C286" i="21"/>
  <c r="C285" i="21"/>
  <c r="B263" i="21"/>
  <c r="H285" i="21"/>
  <c r="H286" i="21"/>
  <c r="B262" i="21"/>
  <c r="B257" i="21"/>
  <c r="A285" i="21"/>
  <c r="A286" i="21"/>
  <c r="H255" i="21"/>
  <c r="D255" i="21"/>
  <c r="C255" i="21"/>
  <c r="A255" i="21"/>
  <c r="H254" i="21"/>
  <c r="D254" i="21"/>
  <c r="C254" i="21"/>
  <c r="A254" i="21"/>
  <c r="H253" i="21"/>
  <c r="D253" i="21"/>
  <c r="C253" i="21"/>
  <c r="A253" i="21"/>
  <c r="H251" i="21"/>
  <c r="D251" i="21"/>
  <c r="C251" i="21"/>
  <c r="A251" i="21"/>
  <c r="H250" i="21"/>
  <c r="D250" i="21"/>
  <c r="C250" i="21"/>
  <c r="A250" i="21"/>
  <c r="H249" i="21"/>
  <c r="D249" i="21"/>
  <c r="C249" i="21"/>
  <c r="A249" i="21"/>
  <c r="C248" i="21"/>
  <c r="C247" i="21"/>
  <c r="B225" i="21"/>
  <c r="H247" i="21"/>
  <c r="H248" i="21"/>
  <c r="B224" i="21"/>
  <c r="B219" i="21"/>
  <c r="A247" i="21"/>
  <c r="A248" i="21"/>
  <c r="H217" i="21"/>
  <c r="D217" i="21"/>
  <c r="C217" i="21"/>
  <c r="A217" i="21"/>
  <c r="H216" i="21"/>
  <c r="D216" i="21"/>
  <c r="C216" i="21"/>
  <c r="A216" i="21"/>
  <c r="H215" i="21"/>
  <c r="D215" i="21"/>
  <c r="C215" i="21"/>
  <c r="A215" i="21"/>
  <c r="H213" i="21"/>
  <c r="D213" i="21"/>
  <c r="C213" i="21"/>
  <c r="A213" i="21"/>
  <c r="H212" i="21"/>
  <c r="D212" i="21"/>
  <c r="C212" i="21"/>
  <c r="A212" i="21"/>
  <c r="H211" i="21"/>
  <c r="D211" i="21"/>
  <c r="C211" i="21"/>
  <c r="A211" i="21"/>
  <c r="C210" i="21"/>
  <c r="C209" i="21"/>
  <c r="B187" i="21"/>
  <c r="H209" i="21"/>
  <c r="H210" i="21"/>
  <c r="B186" i="21"/>
  <c r="B181" i="21"/>
  <c r="A209" i="21"/>
  <c r="A210" i="21"/>
  <c r="H177" i="21"/>
  <c r="C177" i="21"/>
  <c r="A177" i="21"/>
  <c r="H176" i="21"/>
  <c r="C176" i="21"/>
  <c r="A176" i="21"/>
  <c r="H175" i="21"/>
  <c r="C175" i="21"/>
  <c r="A175" i="21"/>
  <c r="H174" i="21"/>
  <c r="C174" i="21"/>
  <c r="A174" i="21"/>
  <c r="H173" i="21"/>
  <c r="C173" i="21"/>
  <c r="A173" i="21"/>
  <c r="H172" i="21"/>
  <c r="C172" i="21"/>
  <c r="A172" i="21"/>
  <c r="H171" i="21"/>
  <c r="C171" i="21"/>
  <c r="A171" i="21"/>
  <c r="H170" i="21"/>
  <c r="C170" i="21"/>
  <c r="A170" i="21"/>
  <c r="H168" i="21"/>
  <c r="C168" i="21"/>
  <c r="A168" i="21"/>
  <c r="H167" i="21"/>
  <c r="D167" i="21"/>
  <c r="C167" i="21"/>
  <c r="B142" i="21"/>
  <c r="B141" i="21"/>
  <c r="B136" i="21"/>
  <c r="A167" i="21"/>
  <c r="H132" i="21"/>
  <c r="C132" i="21"/>
  <c r="A132" i="21"/>
  <c r="H131" i="21"/>
  <c r="C131" i="21"/>
  <c r="A131" i="21"/>
  <c r="H130" i="21"/>
  <c r="C130" i="21"/>
  <c r="A130" i="21"/>
  <c r="H129" i="21"/>
  <c r="C129" i="21"/>
  <c r="A129" i="21"/>
  <c r="H128" i="21"/>
  <c r="C128" i="21"/>
  <c r="A128" i="21"/>
  <c r="H127" i="21"/>
  <c r="C127" i="21"/>
  <c r="A127" i="21"/>
  <c r="H126" i="21"/>
  <c r="C126" i="21"/>
  <c r="A126" i="21"/>
  <c r="H125" i="21"/>
  <c r="C125" i="21"/>
  <c r="A125" i="21"/>
  <c r="H123" i="21"/>
  <c r="C123" i="21"/>
  <c r="A123" i="21"/>
  <c r="H122" i="21"/>
  <c r="D122" i="21"/>
  <c r="C122" i="21"/>
  <c r="B97" i="21"/>
  <c r="B96" i="21"/>
  <c r="B91" i="21"/>
  <c r="A122" i="21"/>
  <c r="H87" i="21"/>
  <c r="C87" i="21"/>
  <c r="A87" i="21"/>
  <c r="H86" i="21"/>
  <c r="C86" i="21"/>
  <c r="A86" i="21"/>
  <c r="H85" i="21"/>
  <c r="C85" i="21"/>
  <c r="A85" i="21"/>
  <c r="H84" i="21"/>
  <c r="C84" i="21"/>
  <c r="A84" i="21"/>
  <c r="H83" i="21"/>
  <c r="C83" i="21"/>
  <c r="A83" i="21"/>
  <c r="H82" i="21"/>
  <c r="C82" i="21"/>
  <c r="A82" i="21"/>
  <c r="H81" i="21"/>
  <c r="C81" i="21"/>
  <c r="A81" i="21"/>
  <c r="H80" i="21"/>
  <c r="C80" i="21"/>
  <c r="A80" i="21"/>
  <c r="H78" i="21"/>
  <c r="C78" i="21"/>
  <c r="A78" i="21"/>
  <c r="H77" i="21"/>
  <c r="D77" i="21"/>
  <c r="C77" i="21"/>
  <c r="B52" i="21"/>
  <c r="B51" i="21"/>
  <c r="B46" i="21"/>
  <c r="A77" i="21"/>
  <c r="H42" i="21"/>
  <c r="C42" i="21"/>
  <c r="A42" i="21"/>
  <c r="H41" i="21"/>
  <c r="C41" i="21"/>
  <c r="A41" i="21"/>
  <c r="H40" i="21"/>
  <c r="C40" i="21"/>
  <c r="A40" i="21"/>
  <c r="H39" i="21"/>
  <c r="C39" i="21"/>
  <c r="A39" i="21"/>
  <c r="H38" i="21"/>
  <c r="C38" i="21"/>
  <c r="A38" i="21"/>
  <c r="H37" i="21"/>
  <c r="C37" i="21"/>
  <c r="A37" i="21"/>
  <c r="H36" i="21"/>
  <c r="C36" i="21"/>
  <c r="A36" i="21"/>
  <c r="H35" i="21"/>
  <c r="C35" i="21"/>
  <c r="A35" i="21"/>
  <c r="H33" i="21"/>
  <c r="C33" i="21"/>
  <c r="A33" i="21"/>
  <c r="H32" i="21"/>
  <c r="D32" i="21"/>
  <c r="C32" i="21"/>
  <c r="B7" i="21"/>
  <c r="B6" i="21"/>
  <c r="B1" i="21"/>
  <c r="A32" i="21"/>
  <c r="H483" i="20"/>
  <c r="D483" i="20"/>
  <c r="C483" i="20"/>
  <c r="A483" i="20"/>
  <c r="H482" i="20"/>
  <c r="D482" i="20"/>
  <c r="C482" i="20"/>
  <c r="A482" i="20"/>
  <c r="H481" i="20"/>
  <c r="D481" i="20"/>
  <c r="C481" i="20"/>
  <c r="A481" i="20"/>
  <c r="H479" i="20"/>
  <c r="D479" i="20"/>
  <c r="C479" i="20"/>
  <c r="A479" i="20"/>
  <c r="D478" i="20"/>
  <c r="C478" i="20"/>
  <c r="H477" i="20"/>
  <c r="D477" i="20"/>
  <c r="C477" i="20"/>
  <c r="A477" i="20"/>
  <c r="C476" i="20"/>
  <c r="C475" i="20"/>
  <c r="B453" i="20"/>
  <c r="H475" i="20"/>
  <c r="H476" i="20"/>
  <c r="B452" i="20"/>
  <c r="A475" i="20"/>
  <c r="H445" i="20"/>
  <c r="D445" i="20"/>
  <c r="C445" i="20"/>
  <c r="A445" i="20"/>
  <c r="H444" i="20"/>
  <c r="D444" i="20"/>
  <c r="C444" i="20"/>
  <c r="A444" i="20"/>
  <c r="H443" i="20"/>
  <c r="D443" i="20"/>
  <c r="C443" i="20"/>
  <c r="A443" i="20"/>
  <c r="H441" i="20"/>
  <c r="D441" i="20"/>
  <c r="C441" i="20"/>
  <c r="A441" i="20"/>
  <c r="D440" i="20"/>
  <c r="C440" i="20"/>
  <c r="H439" i="20"/>
  <c r="D439" i="20"/>
  <c r="C439" i="20"/>
  <c r="A439" i="20"/>
  <c r="C438" i="20"/>
  <c r="C437" i="20"/>
  <c r="B415" i="20"/>
  <c r="H437" i="20"/>
  <c r="H438" i="20"/>
  <c r="B414" i="20"/>
  <c r="H407" i="20"/>
  <c r="D407" i="20"/>
  <c r="C407" i="20"/>
  <c r="A407" i="20"/>
  <c r="H406" i="20"/>
  <c r="D406" i="20"/>
  <c r="C406" i="20"/>
  <c r="A406" i="20"/>
  <c r="H405" i="20"/>
  <c r="D405" i="20"/>
  <c r="C405" i="20"/>
  <c r="A405" i="20"/>
  <c r="H403" i="20"/>
  <c r="D403" i="20"/>
  <c r="C403" i="20"/>
  <c r="A403" i="20"/>
  <c r="D402" i="20"/>
  <c r="C402" i="20"/>
  <c r="H401" i="20"/>
  <c r="D401" i="20"/>
  <c r="C401" i="20"/>
  <c r="A401" i="20"/>
  <c r="C400" i="20"/>
  <c r="C399" i="20"/>
  <c r="B377" i="20"/>
  <c r="H399" i="20"/>
  <c r="H400" i="20"/>
  <c r="B376" i="20"/>
  <c r="H369" i="20"/>
  <c r="D369" i="20"/>
  <c r="C369" i="20"/>
  <c r="A369" i="20"/>
  <c r="H368" i="20"/>
  <c r="D368" i="20"/>
  <c r="C368" i="20"/>
  <c r="A368" i="20"/>
  <c r="H367" i="20"/>
  <c r="D367" i="20"/>
  <c r="C367" i="20"/>
  <c r="A367" i="20"/>
  <c r="H365" i="20"/>
  <c r="D365" i="20"/>
  <c r="C365" i="20"/>
  <c r="A365" i="20"/>
  <c r="D364" i="20"/>
  <c r="C364" i="20"/>
  <c r="H363" i="20"/>
  <c r="D363" i="20"/>
  <c r="C363" i="20"/>
  <c r="A363" i="20"/>
  <c r="C362" i="20"/>
  <c r="C361" i="20"/>
  <c r="B339" i="20"/>
  <c r="H361" i="20"/>
  <c r="H362" i="20"/>
  <c r="B338" i="20"/>
  <c r="H331" i="20"/>
  <c r="D331" i="20"/>
  <c r="C331" i="20"/>
  <c r="A331" i="20"/>
  <c r="H330" i="20"/>
  <c r="D330" i="20"/>
  <c r="C330" i="20"/>
  <c r="A330" i="20"/>
  <c r="H329" i="20"/>
  <c r="D329" i="20"/>
  <c r="C329" i="20"/>
  <c r="A329" i="20"/>
  <c r="H327" i="20"/>
  <c r="D327" i="20"/>
  <c r="C327" i="20"/>
  <c r="A327" i="20"/>
  <c r="H326" i="20"/>
  <c r="D326" i="20"/>
  <c r="C326" i="20"/>
  <c r="A326" i="20"/>
  <c r="H325" i="20"/>
  <c r="D325" i="20"/>
  <c r="C325" i="20"/>
  <c r="A325" i="20"/>
  <c r="C324" i="20"/>
  <c r="C323" i="20"/>
  <c r="B301" i="20"/>
  <c r="H323" i="20"/>
  <c r="H324" i="20"/>
  <c r="B300" i="20"/>
  <c r="B295" i="20"/>
  <c r="A323" i="20"/>
  <c r="A324" i="20"/>
  <c r="H293" i="20"/>
  <c r="D293" i="20"/>
  <c r="C293" i="20"/>
  <c r="A293" i="20"/>
  <c r="H292" i="20"/>
  <c r="D292" i="20"/>
  <c r="C292" i="20"/>
  <c r="A292" i="20"/>
  <c r="H291" i="20"/>
  <c r="D291" i="20"/>
  <c r="C291" i="20"/>
  <c r="A291" i="20"/>
  <c r="H289" i="20"/>
  <c r="D289" i="20"/>
  <c r="C289" i="20"/>
  <c r="A289" i="20"/>
  <c r="H288" i="20"/>
  <c r="D288" i="20"/>
  <c r="C288" i="20"/>
  <c r="A288" i="20"/>
  <c r="H287" i="20"/>
  <c r="D287" i="20"/>
  <c r="C287" i="20"/>
  <c r="A287" i="20"/>
  <c r="C286" i="20"/>
  <c r="C285" i="20"/>
  <c r="B263" i="20"/>
  <c r="H285" i="20"/>
  <c r="H286" i="20"/>
  <c r="B262" i="20"/>
  <c r="B257" i="20"/>
  <c r="A285" i="20"/>
  <c r="A286" i="20"/>
  <c r="H255" i="20"/>
  <c r="D255" i="20"/>
  <c r="C255" i="20"/>
  <c r="A255" i="20"/>
  <c r="H254" i="20"/>
  <c r="D254" i="20"/>
  <c r="C254" i="20"/>
  <c r="A254" i="20"/>
  <c r="H253" i="20"/>
  <c r="D253" i="20"/>
  <c r="C253" i="20"/>
  <c r="A253" i="20"/>
  <c r="H251" i="20"/>
  <c r="D251" i="20"/>
  <c r="C251" i="20"/>
  <c r="A251" i="20"/>
  <c r="H250" i="20"/>
  <c r="D250" i="20"/>
  <c r="C250" i="20"/>
  <c r="A250" i="20"/>
  <c r="H249" i="20"/>
  <c r="D249" i="20"/>
  <c r="C249" i="20"/>
  <c r="A249" i="20"/>
  <c r="C248" i="20"/>
  <c r="C247" i="20"/>
  <c r="B225" i="20"/>
  <c r="H247" i="20"/>
  <c r="H248" i="20"/>
  <c r="B224" i="20"/>
  <c r="B219" i="20"/>
  <c r="A247" i="20"/>
  <c r="A248" i="20"/>
  <c r="H217" i="20"/>
  <c r="D217" i="20"/>
  <c r="C217" i="20"/>
  <c r="A217" i="20"/>
  <c r="H216" i="20"/>
  <c r="D216" i="20"/>
  <c r="C216" i="20"/>
  <c r="A216" i="20"/>
  <c r="H215" i="20"/>
  <c r="D215" i="20"/>
  <c r="C215" i="20"/>
  <c r="A215" i="20"/>
  <c r="H213" i="20"/>
  <c r="D213" i="20"/>
  <c r="C213" i="20"/>
  <c r="A213" i="20"/>
  <c r="H212" i="20"/>
  <c r="D212" i="20"/>
  <c r="C212" i="20"/>
  <c r="A212" i="20"/>
  <c r="H211" i="20"/>
  <c r="D211" i="20"/>
  <c r="C211" i="20"/>
  <c r="A211" i="20"/>
  <c r="C210" i="20"/>
  <c r="C209" i="20"/>
  <c r="B187" i="20"/>
  <c r="H209" i="20"/>
  <c r="H210" i="20"/>
  <c r="B186" i="20"/>
  <c r="B181" i="20"/>
  <c r="A209" i="20"/>
  <c r="A210" i="20"/>
  <c r="H177" i="20"/>
  <c r="C177" i="20"/>
  <c r="A177" i="20"/>
  <c r="H176" i="20"/>
  <c r="C176" i="20"/>
  <c r="A176" i="20"/>
  <c r="H175" i="20"/>
  <c r="C175" i="20"/>
  <c r="A175" i="20"/>
  <c r="H174" i="20"/>
  <c r="C174" i="20"/>
  <c r="A174" i="20"/>
  <c r="H173" i="20"/>
  <c r="C173" i="20"/>
  <c r="A173" i="20"/>
  <c r="H172" i="20"/>
  <c r="C172" i="20"/>
  <c r="A172" i="20"/>
  <c r="H171" i="20"/>
  <c r="C171" i="20"/>
  <c r="A171" i="20"/>
  <c r="H170" i="20"/>
  <c r="C170" i="20"/>
  <c r="A170" i="20"/>
  <c r="H168" i="20"/>
  <c r="C168" i="20"/>
  <c r="A168" i="20"/>
  <c r="H167" i="20"/>
  <c r="D167" i="20"/>
  <c r="C167" i="20"/>
  <c r="B142" i="20"/>
  <c r="B141" i="20"/>
  <c r="B136" i="20"/>
  <c r="A167" i="20"/>
  <c r="H132" i="20"/>
  <c r="C132" i="20"/>
  <c r="A132" i="20"/>
  <c r="H131" i="20"/>
  <c r="C131" i="20"/>
  <c r="A131" i="20"/>
  <c r="H130" i="20"/>
  <c r="C130" i="20"/>
  <c r="A130" i="20"/>
  <c r="H129" i="20"/>
  <c r="C129" i="20"/>
  <c r="A129" i="20"/>
  <c r="H128" i="20"/>
  <c r="C128" i="20"/>
  <c r="A128" i="20"/>
  <c r="H127" i="20"/>
  <c r="C127" i="20"/>
  <c r="A127" i="20"/>
  <c r="H126" i="20"/>
  <c r="C126" i="20"/>
  <c r="A126" i="20"/>
  <c r="H125" i="20"/>
  <c r="C125" i="20"/>
  <c r="A125" i="20"/>
  <c r="H123" i="20"/>
  <c r="C123" i="20"/>
  <c r="A123" i="20"/>
  <c r="H122" i="20"/>
  <c r="D122" i="20"/>
  <c r="C122" i="20"/>
  <c r="B97" i="20"/>
  <c r="B96" i="20"/>
  <c r="B91" i="20"/>
  <c r="A122" i="20"/>
  <c r="H87" i="20"/>
  <c r="C87" i="20"/>
  <c r="A87" i="20"/>
  <c r="H86" i="20"/>
  <c r="C86" i="20"/>
  <c r="A86" i="20"/>
  <c r="H85" i="20"/>
  <c r="C85" i="20"/>
  <c r="A85" i="20"/>
  <c r="H84" i="20"/>
  <c r="C84" i="20"/>
  <c r="A84" i="20"/>
  <c r="H83" i="20"/>
  <c r="C83" i="20"/>
  <c r="A83" i="20"/>
  <c r="H82" i="20"/>
  <c r="C82" i="20"/>
  <c r="A82" i="20"/>
  <c r="H81" i="20"/>
  <c r="C81" i="20"/>
  <c r="A81" i="20"/>
  <c r="H80" i="20"/>
  <c r="C80" i="20"/>
  <c r="A80" i="20"/>
  <c r="H78" i="20"/>
  <c r="C78" i="20"/>
  <c r="A78" i="20"/>
  <c r="H77" i="20"/>
  <c r="D77" i="20"/>
  <c r="C77" i="20"/>
  <c r="B52" i="20"/>
  <c r="B51" i="20"/>
  <c r="B46" i="20"/>
  <c r="A77" i="20"/>
  <c r="H42" i="20"/>
  <c r="C42" i="20"/>
  <c r="A42" i="20"/>
  <c r="H41" i="20"/>
  <c r="C41" i="20"/>
  <c r="A41" i="20"/>
  <c r="H40" i="20"/>
  <c r="C40" i="20"/>
  <c r="A40" i="20"/>
  <c r="H39" i="20"/>
  <c r="C39" i="20"/>
  <c r="A39" i="20"/>
  <c r="H38" i="20"/>
  <c r="C38" i="20"/>
  <c r="A38" i="20"/>
  <c r="H37" i="20"/>
  <c r="C37" i="20"/>
  <c r="A37" i="20"/>
  <c r="H36" i="20"/>
  <c r="C36" i="20"/>
  <c r="A36" i="20"/>
  <c r="H35" i="20"/>
  <c r="C35" i="20"/>
  <c r="A35" i="20"/>
  <c r="H33" i="20"/>
  <c r="C33" i="20"/>
  <c r="A33" i="20"/>
  <c r="H32" i="20"/>
  <c r="D32" i="20"/>
  <c r="C32" i="20"/>
  <c r="B7" i="20"/>
  <c r="B6" i="20"/>
  <c r="B1" i="20"/>
  <c r="A32" i="20"/>
  <c r="H483" i="19"/>
  <c r="D483" i="19"/>
  <c r="C483" i="19"/>
  <c r="A483" i="19"/>
  <c r="H482" i="19"/>
  <c r="D482" i="19"/>
  <c r="C482" i="19"/>
  <c r="A482" i="19"/>
  <c r="H481" i="19"/>
  <c r="D481" i="19"/>
  <c r="C481" i="19"/>
  <c r="A481" i="19"/>
  <c r="H479" i="19"/>
  <c r="D479" i="19"/>
  <c r="C479" i="19"/>
  <c r="A479" i="19"/>
  <c r="D478" i="19"/>
  <c r="C478" i="19"/>
  <c r="H477" i="19"/>
  <c r="D477" i="19"/>
  <c r="C477" i="19"/>
  <c r="A477" i="19"/>
  <c r="C476" i="19"/>
  <c r="C475" i="19"/>
  <c r="B453" i="19"/>
  <c r="H475" i="19"/>
  <c r="H476" i="19"/>
  <c r="B452" i="19"/>
  <c r="H445" i="19"/>
  <c r="D445" i="19"/>
  <c r="C445" i="19"/>
  <c r="A445" i="19"/>
  <c r="H444" i="19"/>
  <c r="D444" i="19"/>
  <c r="C444" i="19"/>
  <c r="A444" i="19"/>
  <c r="H443" i="19"/>
  <c r="D443" i="19"/>
  <c r="C443" i="19"/>
  <c r="A443" i="19"/>
  <c r="H441" i="19"/>
  <c r="D441" i="19"/>
  <c r="C441" i="19"/>
  <c r="A441" i="19"/>
  <c r="D440" i="19"/>
  <c r="C440" i="19"/>
  <c r="H439" i="19"/>
  <c r="D439" i="19"/>
  <c r="C439" i="19"/>
  <c r="A439" i="19"/>
  <c r="C438" i="19"/>
  <c r="C437" i="19"/>
  <c r="B415" i="19"/>
  <c r="H437" i="19"/>
  <c r="H438" i="19"/>
  <c r="B414" i="19"/>
  <c r="A437" i="19"/>
  <c r="H407" i="19"/>
  <c r="D407" i="19"/>
  <c r="C407" i="19"/>
  <c r="A407" i="19"/>
  <c r="H406" i="19"/>
  <c r="D406" i="19"/>
  <c r="C406" i="19"/>
  <c r="A406" i="19"/>
  <c r="H405" i="19"/>
  <c r="D405" i="19"/>
  <c r="C405" i="19"/>
  <c r="A405" i="19"/>
  <c r="H403" i="19"/>
  <c r="D403" i="19"/>
  <c r="C403" i="19"/>
  <c r="A403" i="19"/>
  <c r="D402" i="19"/>
  <c r="C402" i="19"/>
  <c r="H401" i="19"/>
  <c r="D401" i="19"/>
  <c r="C401" i="19"/>
  <c r="A401" i="19"/>
  <c r="C400" i="19"/>
  <c r="C399" i="19"/>
  <c r="B377" i="19"/>
  <c r="H399" i="19"/>
  <c r="H400" i="19"/>
  <c r="B376" i="19"/>
  <c r="H369" i="19"/>
  <c r="D369" i="19"/>
  <c r="C369" i="19"/>
  <c r="A369" i="19"/>
  <c r="H368" i="19"/>
  <c r="D368" i="19"/>
  <c r="C368" i="19"/>
  <c r="A368" i="19"/>
  <c r="H367" i="19"/>
  <c r="D367" i="19"/>
  <c r="C367" i="19"/>
  <c r="A367" i="19"/>
  <c r="H365" i="19"/>
  <c r="D365" i="19"/>
  <c r="C365" i="19"/>
  <c r="A365" i="19"/>
  <c r="C364" i="19"/>
  <c r="H363" i="19"/>
  <c r="D363" i="19"/>
  <c r="C363" i="19"/>
  <c r="A363" i="19"/>
  <c r="C362" i="19"/>
  <c r="C361" i="19"/>
  <c r="B339" i="19"/>
  <c r="H361" i="19"/>
  <c r="H362" i="19"/>
  <c r="B338" i="19"/>
  <c r="H331" i="19"/>
  <c r="D331" i="19"/>
  <c r="C331" i="19"/>
  <c r="A331" i="19"/>
  <c r="H330" i="19"/>
  <c r="D330" i="19"/>
  <c r="C330" i="19"/>
  <c r="A330" i="19"/>
  <c r="H329" i="19"/>
  <c r="D329" i="19"/>
  <c r="C329" i="19"/>
  <c r="A329" i="19"/>
  <c r="H327" i="19"/>
  <c r="D327" i="19"/>
  <c r="C327" i="19"/>
  <c r="A327" i="19"/>
  <c r="H326" i="19"/>
  <c r="D326" i="19"/>
  <c r="C326" i="19"/>
  <c r="A326" i="19"/>
  <c r="H325" i="19"/>
  <c r="D325" i="19"/>
  <c r="C325" i="19"/>
  <c r="A325" i="19"/>
  <c r="C324" i="19"/>
  <c r="C323" i="19"/>
  <c r="B301" i="19"/>
  <c r="H323" i="19"/>
  <c r="H324" i="19"/>
  <c r="B300" i="19"/>
  <c r="B295" i="19"/>
  <c r="A323" i="19"/>
  <c r="A324" i="19"/>
  <c r="H293" i="19"/>
  <c r="D293" i="19"/>
  <c r="C293" i="19"/>
  <c r="A293" i="19"/>
  <c r="H292" i="19"/>
  <c r="D292" i="19"/>
  <c r="C292" i="19"/>
  <c r="A292" i="19"/>
  <c r="H291" i="19"/>
  <c r="D291" i="19"/>
  <c r="C291" i="19"/>
  <c r="A291" i="19"/>
  <c r="H289" i="19"/>
  <c r="D289" i="19"/>
  <c r="C289" i="19"/>
  <c r="A289" i="19"/>
  <c r="H288" i="19"/>
  <c r="D288" i="19"/>
  <c r="C288" i="19"/>
  <c r="A288" i="19"/>
  <c r="H287" i="19"/>
  <c r="D287" i="19"/>
  <c r="C287" i="19"/>
  <c r="A287" i="19"/>
  <c r="C286" i="19"/>
  <c r="C285" i="19"/>
  <c r="B263" i="19"/>
  <c r="H285" i="19"/>
  <c r="H286" i="19"/>
  <c r="B262" i="19"/>
  <c r="B257" i="19"/>
  <c r="A285" i="19"/>
  <c r="A286" i="19"/>
  <c r="H255" i="19"/>
  <c r="D255" i="19"/>
  <c r="C255" i="19"/>
  <c r="A255" i="19"/>
  <c r="H254" i="19"/>
  <c r="D254" i="19"/>
  <c r="C254" i="19"/>
  <c r="A254" i="19"/>
  <c r="H253" i="19"/>
  <c r="D253" i="19"/>
  <c r="C253" i="19"/>
  <c r="A253" i="19"/>
  <c r="H251" i="19"/>
  <c r="D251" i="19"/>
  <c r="C251" i="19"/>
  <c r="A251" i="19"/>
  <c r="H250" i="19"/>
  <c r="D250" i="19"/>
  <c r="C250" i="19"/>
  <c r="A250" i="19"/>
  <c r="H249" i="19"/>
  <c r="D249" i="19"/>
  <c r="C249" i="19"/>
  <c r="A249" i="19"/>
  <c r="C248" i="19"/>
  <c r="C247" i="19"/>
  <c r="B225" i="19"/>
  <c r="H247" i="19"/>
  <c r="H248" i="19"/>
  <c r="B224" i="19"/>
  <c r="B219" i="19"/>
  <c r="A247" i="19"/>
  <c r="A248" i="19"/>
  <c r="H217" i="19"/>
  <c r="D217" i="19"/>
  <c r="C217" i="19"/>
  <c r="A217" i="19"/>
  <c r="H216" i="19"/>
  <c r="D216" i="19"/>
  <c r="C216" i="19"/>
  <c r="A216" i="19"/>
  <c r="H215" i="19"/>
  <c r="D215" i="19"/>
  <c r="C215" i="19"/>
  <c r="A215" i="19"/>
  <c r="H213" i="19"/>
  <c r="D213" i="19"/>
  <c r="C213" i="19"/>
  <c r="A213" i="19"/>
  <c r="H212" i="19"/>
  <c r="D212" i="19"/>
  <c r="C212" i="19"/>
  <c r="A212" i="19"/>
  <c r="H211" i="19"/>
  <c r="D211" i="19"/>
  <c r="C211" i="19"/>
  <c r="A211" i="19"/>
  <c r="C210" i="19"/>
  <c r="C209" i="19"/>
  <c r="B187" i="19"/>
  <c r="H209" i="19"/>
  <c r="H210" i="19"/>
  <c r="B186" i="19"/>
  <c r="B181" i="19"/>
  <c r="A209" i="19"/>
  <c r="A210" i="19"/>
  <c r="H177" i="19"/>
  <c r="C177" i="19"/>
  <c r="A177" i="19"/>
  <c r="H176" i="19"/>
  <c r="C176" i="19"/>
  <c r="A176" i="19"/>
  <c r="H175" i="19"/>
  <c r="C175" i="19"/>
  <c r="A175" i="19"/>
  <c r="H174" i="19"/>
  <c r="C174" i="19"/>
  <c r="A174" i="19"/>
  <c r="H173" i="19"/>
  <c r="C173" i="19"/>
  <c r="A173" i="19"/>
  <c r="H172" i="19"/>
  <c r="C172" i="19"/>
  <c r="A172" i="19"/>
  <c r="H171" i="19"/>
  <c r="C171" i="19"/>
  <c r="A171" i="19"/>
  <c r="H170" i="19"/>
  <c r="C170" i="19"/>
  <c r="A170" i="19"/>
  <c r="H168" i="19"/>
  <c r="C168" i="19"/>
  <c r="A168" i="19"/>
  <c r="H167" i="19"/>
  <c r="D167" i="19"/>
  <c r="C167" i="19"/>
  <c r="B142" i="19"/>
  <c r="D177" i="19"/>
  <c r="B141" i="19"/>
  <c r="B136" i="19"/>
  <c r="A167" i="19"/>
  <c r="H132" i="19"/>
  <c r="C132" i="19"/>
  <c r="A132" i="19"/>
  <c r="H131" i="19"/>
  <c r="C131" i="19"/>
  <c r="A131" i="19"/>
  <c r="H130" i="19"/>
  <c r="C130" i="19"/>
  <c r="A130" i="19"/>
  <c r="H129" i="19"/>
  <c r="C129" i="19"/>
  <c r="A129" i="19"/>
  <c r="H128" i="19"/>
  <c r="C128" i="19"/>
  <c r="A128" i="19"/>
  <c r="H127" i="19"/>
  <c r="C127" i="19"/>
  <c r="A127" i="19"/>
  <c r="H126" i="19"/>
  <c r="C126" i="19"/>
  <c r="A126" i="19"/>
  <c r="H125" i="19"/>
  <c r="C125" i="19"/>
  <c r="A125" i="19"/>
  <c r="H123" i="19"/>
  <c r="C123" i="19"/>
  <c r="A123" i="19"/>
  <c r="H122" i="19"/>
  <c r="D122" i="19"/>
  <c r="C122" i="19"/>
  <c r="B97" i="19"/>
  <c r="D132" i="19"/>
  <c r="B96" i="19"/>
  <c r="B91" i="19"/>
  <c r="A122" i="19"/>
  <c r="H87" i="19"/>
  <c r="C87" i="19"/>
  <c r="A87" i="19"/>
  <c r="H86" i="19"/>
  <c r="C86" i="19"/>
  <c r="A86" i="19"/>
  <c r="H85" i="19"/>
  <c r="C85" i="19"/>
  <c r="A85" i="19"/>
  <c r="H84" i="19"/>
  <c r="C84" i="19"/>
  <c r="A84" i="19"/>
  <c r="H83" i="19"/>
  <c r="C83" i="19"/>
  <c r="A83" i="19"/>
  <c r="H82" i="19"/>
  <c r="C82" i="19"/>
  <c r="A82" i="19"/>
  <c r="H81" i="19"/>
  <c r="C81" i="19"/>
  <c r="A81" i="19"/>
  <c r="H80" i="19"/>
  <c r="C80" i="19"/>
  <c r="A80" i="19"/>
  <c r="H78" i="19"/>
  <c r="C78" i="19"/>
  <c r="A78" i="19"/>
  <c r="H77" i="19"/>
  <c r="D77" i="19"/>
  <c r="C77" i="19"/>
  <c r="B52" i="19"/>
  <c r="D87" i="19"/>
  <c r="B51" i="19"/>
  <c r="B46" i="19"/>
  <c r="A77" i="19"/>
  <c r="H42" i="19"/>
  <c r="C42" i="19"/>
  <c r="A42" i="19"/>
  <c r="H41" i="19"/>
  <c r="C41" i="19"/>
  <c r="A41" i="19"/>
  <c r="H40" i="19"/>
  <c r="C40" i="19"/>
  <c r="A40" i="19"/>
  <c r="H39" i="19"/>
  <c r="C39" i="19"/>
  <c r="A39" i="19"/>
  <c r="H38" i="19"/>
  <c r="C38" i="19"/>
  <c r="A38" i="19"/>
  <c r="H37" i="19"/>
  <c r="C37" i="19"/>
  <c r="A37" i="19"/>
  <c r="H36" i="19"/>
  <c r="C36" i="19"/>
  <c r="A36" i="19"/>
  <c r="H35" i="19"/>
  <c r="C35" i="19"/>
  <c r="A35" i="19"/>
  <c r="H33" i="19"/>
  <c r="C33" i="19"/>
  <c r="A33" i="19"/>
  <c r="H32" i="19"/>
  <c r="D32" i="19"/>
  <c r="C32" i="19"/>
  <c r="B7" i="19"/>
  <c r="D42" i="19"/>
  <c r="B6" i="19"/>
  <c r="B1" i="19"/>
  <c r="A32" i="19"/>
  <c r="H644" i="13"/>
  <c r="D644" i="13"/>
  <c r="C644" i="13"/>
  <c r="A644" i="13"/>
  <c r="H567" i="13"/>
  <c r="D567" i="13"/>
  <c r="C567" i="13"/>
  <c r="A567" i="13"/>
  <c r="H490" i="13"/>
  <c r="D490" i="13"/>
  <c r="C490" i="13"/>
  <c r="A490" i="13"/>
  <c r="H413" i="13"/>
  <c r="D413" i="13"/>
  <c r="C413" i="13"/>
  <c r="A413" i="13"/>
  <c r="H336" i="13"/>
  <c r="D336" i="13"/>
  <c r="C336" i="13"/>
  <c r="A336" i="13"/>
  <c r="H259" i="13"/>
  <c r="D259" i="13"/>
  <c r="C259" i="13"/>
  <c r="A259" i="13"/>
  <c r="H644" i="14"/>
  <c r="D644" i="14"/>
  <c r="C644" i="14"/>
  <c r="A644" i="14"/>
  <c r="H567" i="14"/>
  <c r="D567" i="14"/>
  <c r="C567" i="14"/>
  <c r="A567" i="14"/>
  <c r="H490" i="14"/>
  <c r="D490" i="14"/>
  <c r="C490" i="14"/>
  <c r="A490" i="14"/>
  <c r="H413" i="14"/>
  <c r="D413" i="14"/>
  <c r="C413" i="14"/>
  <c r="A413" i="14"/>
  <c r="H336" i="14"/>
  <c r="D336" i="14"/>
  <c r="C336" i="14"/>
  <c r="A336" i="14"/>
  <c r="H259" i="14"/>
  <c r="D259" i="14"/>
  <c r="C259" i="14"/>
  <c r="A259" i="14"/>
  <c r="H644" i="18"/>
  <c r="D644" i="18"/>
  <c r="C644" i="18"/>
  <c r="A644" i="18"/>
  <c r="H567" i="18"/>
  <c r="D567" i="18"/>
  <c r="C567" i="18"/>
  <c r="A567" i="18"/>
  <c r="H490" i="18"/>
  <c r="D490" i="18"/>
  <c r="C490" i="18"/>
  <c r="A490" i="18"/>
  <c r="H413" i="18"/>
  <c r="D413" i="18"/>
  <c r="C413" i="18"/>
  <c r="A413" i="18"/>
  <c r="H336" i="18"/>
  <c r="D336" i="18"/>
  <c r="C336" i="18"/>
  <c r="A336" i="18"/>
  <c r="H259" i="18"/>
  <c r="D259" i="18"/>
  <c r="C259" i="18"/>
  <c r="A259" i="18"/>
  <c r="H644" i="17"/>
  <c r="D644" i="17"/>
  <c r="C644" i="17"/>
  <c r="A644" i="17"/>
  <c r="H567" i="17"/>
  <c r="D567" i="17"/>
  <c r="C567" i="17"/>
  <c r="A567" i="17"/>
  <c r="H490" i="17"/>
  <c r="D490" i="17"/>
  <c r="C490" i="17"/>
  <c r="A490" i="17"/>
  <c r="H413" i="17"/>
  <c r="D413" i="17"/>
  <c r="C413" i="17"/>
  <c r="A413" i="17"/>
  <c r="H336" i="17"/>
  <c r="D336" i="17"/>
  <c r="C336" i="17"/>
  <c r="A336" i="17"/>
  <c r="H259" i="17"/>
  <c r="D259" i="17"/>
  <c r="C259" i="17"/>
  <c r="A259" i="17"/>
  <c r="H643" i="16"/>
  <c r="D643" i="16"/>
  <c r="C643" i="16"/>
  <c r="A643" i="16"/>
  <c r="H566" i="16"/>
  <c r="D566" i="16"/>
  <c r="C566" i="16"/>
  <c r="A566" i="16"/>
  <c r="H489" i="16"/>
  <c r="D489" i="16"/>
  <c r="C489" i="16"/>
  <c r="A489" i="16"/>
  <c r="H412" i="16"/>
  <c r="D412" i="16"/>
  <c r="C412" i="16"/>
  <c r="A412" i="16"/>
  <c r="H335" i="16"/>
  <c r="D335" i="16"/>
  <c r="C335" i="16"/>
  <c r="A335" i="16"/>
  <c r="H687" i="18"/>
  <c r="D687" i="18"/>
  <c r="C687" i="18"/>
  <c r="A687" i="18"/>
  <c r="H686" i="18"/>
  <c r="D686" i="18"/>
  <c r="C686" i="18"/>
  <c r="A686" i="18"/>
  <c r="H685" i="18"/>
  <c r="D685" i="18"/>
  <c r="C685" i="18"/>
  <c r="A685" i="18"/>
  <c r="E653" i="18"/>
  <c r="D653" i="18"/>
  <c r="A653" i="18"/>
  <c r="E652" i="18"/>
  <c r="D652" i="18"/>
  <c r="A652" i="18"/>
  <c r="E651" i="18"/>
  <c r="D651" i="18"/>
  <c r="A651" i="18"/>
  <c r="E650" i="18"/>
  <c r="D650" i="18"/>
  <c r="A650" i="18"/>
  <c r="E649" i="18"/>
  <c r="D649" i="18"/>
  <c r="A649" i="18"/>
  <c r="E648" i="18"/>
  <c r="D648" i="18"/>
  <c r="A648" i="18"/>
  <c r="E647" i="18"/>
  <c r="D647" i="18"/>
  <c r="A647" i="18"/>
  <c r="E646" i="18"/>
  <c r="D646" i="18"/>
  <c r="A646" i="18"/>
  <c r="E645" i="18"/>
  <c r="D645" i="18"/>
  <c r="A645" i="18"/>
  <c r="H643" i="18"/>
  <c r="D643" i="18"/>
  <c r="C643" i="18"/>
  <c r="A643" i="18"/>
  <c r="H642" i="18"/>
  <c r="D642" i="18"/>
  <c r="C642" i="18"/>
  <c r="A642" i="18"/>
  <c r="C640" i="18"/>
  <c r="C639" i="18"/>
  <c r="B618" i="18"/>
  <c r="H639" i="18"/>
  <c r="H640" i="18" s="1"/>
  <c r="B617" i="18"/>
  <c r="B612" i="18"/>
  <c r="A639" i="18"/>
  <c r="A640" i="18"/>
  <c r="H610" i="18"/>
  <c r="D610" i="18"/>
  <c r="C610" i="18"/>
  <c r="A610" i="18"/>
  <c r="H609" i="18"/>
  <c r="D609" i="18"/>
  <c r="C609" i="18"/>
  <c r="A609" i="18"/>
  <c r="H608" i="18"/>
  <c r="D608" i="18"/>
  <c r="C608" i="18"/>
  <c r="A608" i="18"/>
  <c r="E576" i="18"/>
  <c r="D576" i="18"/>
  <c r="A576" i="18"/>
  <c r="E575" i="18"/>
  <c r="D575" i="18"/>
  <c r="A575" i="18"/>
  <c r="E574" i="18"/>
  <c r="D574" i="18"/>
  <c r="A574" i="18"/>
  <c r="E573" i="18"/>
  <c r="D573" i="18"/>
  <c r="A573" i="18"/>
  <c r="E572" i="18"/>
  <c r="D572" i="18"/>
  <c r="A572" i="18"/>
  <c r="E571" i="18"/>
  <c r="D571" i="18"/>
  <c r="A571" i="18"/>
  <c r="E570" i="18"/>
  <c r="D570" i="18"/>
  <c r="A570" i="18"/>
  <c r="E569" i="18"/>
  <c r="D569" i="18"/>
  <c r="A569" i="18"/>
  <c r="E568" i="18"/>
  <c r="D568" i="18"/>
  <c r="A568" i="18"/>
  <c r="H566" i="18"/>
  <c r="D566" i="18"/>
  <c r="C566" i="18"/>
  <c r="A566" i="18"/>
  <c r="H565" i="18"/>
  <c r="D565" i="18"/>
  <c r="C565" i="18"/>
  <c r="A565" i="18"/>
  <c r="C563" i="18"/>
  <c r="C562" i="18"/>
  <c r="B541" i="18"/>
  <c r="H562" i="18"/>
  <c r="H563" i="18" s="1"/>
  <c r="B540" i="18"/>
  <c r="B535" i="18"/>
  <c r="A562" i="18"/>
  <c r="A563" i="18"/>
  <c r="H533" i="18"/>
  <c r="D533" i="18"/>
  <c r="C533" i="18"/>
  <c r="A533" i="18"/>
  <c r="H532" i="18"/>
  <c r="D532" i="18"/>
  <c r="C532" i="18"/>
  <c r="A532" i="18"/>
  <c r="H531" i="18"/>
  <c r="D531" i="18"/>
  <c r="C531" i="18"/>
  <c r="A531" i="18"/>
  <c r="E499" i="18"/>
  <c r="D499" i="18"/>
  <c r="A499" i="18"/>
  <c r="E498" i="18"/>
  <c r="D498" i="18"/>
  <c r="A498" i="18"/>
  <c r="E497" i="18"/>
  <c r="D497" i="18"/>
  <c r="A497" i="18"/>
  <c r="E496" i="18"/>
  <c r="D496" i="18"/>
  <c r="A496" i="18"/>
  <c r="E495" i="18"/>
  <c r="D495" i="18"/>
  <c r="A495" i="18"/>
  <c r="E494" i="18"/>
  <c r="D494" i="18"/>
  <c r="A494" i="18"/>
  <c r="E493" i="18"/>
  <c r="D493" i="18"/>
  <c r="A493" i="18"/>
  <c r="E492" i="18"/>
  <c r="D492" i="18"/>
  <c r="A492" i="18"/>
  <c r="E491" i="18"/>
  <c r="D491" i="18"/>
  <c r="A491" i="18"/>
  <c r="H489" i="18"/>
  <c r="D489" i="18"/>
  <c r="C489" i="18"/>
  <c r="A489" i="18"/>
  <c r="H488" i="18"/>
  <c r="D488" i="18"/>
  <c r="C488" i="18"/>
  <c r="A488" i="18"/>
  <c r="C486" i="18"/>
  <c r="C485" i="18"/>
  <c r="B464" i="18"/>
  <c r="H485" i="18"/>
  <c r="H486" i="18" s="1"/>
  <c r="B463" i="18"/>
  <c r="B458" i="18"/>
  <c r="A485" i="18"/>
  <c r="A486" i="18"/>
  <c r="H456" i="18"/>
  <c r="D456" i="18"/>
  <c r="C456" i="18"/>
  <c r="A456" i="18"/>
  <c r="H455" i="18"/>
  <c r="D455" i="18"/>
  <c r="C455" i="18"/>
  <c r="A455" i="18"/>
  <c r="H454" i="18"/>
  <c r="D454" i="18"/>
  <c r="C454" i="18"/>
  <c r="A454" i="18"/>
  <c r="E422" i="18"/>
  <c r="D422" i="18"/>
  <c r="A422" i="18"/>
  <c r="E421" i="18"/>
  <c r="D421" i="18"/>
  <c r="A421" i="18"/>
  <c r="E420" i="18"/>
  <c r="D420" i="18"/>
  <c r="A420" i="18"/>
  <c r="E419" i="18"/>
  <c r="D419" i="18"/>
  <c r="A419" i="18"/>
  <c r="E418" i="18"/>
  <c r="D418" i="18"/>
  <c r="A418" i="18"/>
  <c r="E417" i="18"/>
  <c r="D417" i="18"/>
  <c r="A417" i="18"/>
  <c r="E416" i="18"/>
  <c r="D416" i="18"/>
  <c r="A416" i="18"/>
  <c r="E415" i="18"/>
  <c r="D415" i="18"/>
  <c r="A415" i="18"/>
  <c r="E414" i="18"/>
  <c r="D414" i="18"/>
  <c r="A414" i="18"/>
  <c r="H412" i="18"/>
  <c r="D412" i="18"/>
  <c r="C412" i="18"/>
  <c r="A412" i="18"/>
  <c r="H411" i="18"/>
  <c r="D411" i="18"/>
  <c r="C411" i="18"/>
  <c r="A411" i="18"/>
  <c r="C409" i="18"/>
  <c r="C408" i="18"/>
  <c r="B387" i="18"/>
  <c r="H408" i="18"/>
  <c r="H409" i="18" s="1"/>
  <c r="B386" i="18"/>
  <c r="B381" i="18"/>
  <c r="A408" i="18"/>
  <c r="A409" i="18"/>
  <c r="H379" i="18"/>
  <c r="D379" i="18"/>
  <c r="C379" i="18"/>
  <c r="A379" i="18"/>
  <c r="H378" i="18"/>
  <c r="D378" i="18"/>
  <c r="C378" i="18"/>
  <c r="A378" i="18"/>
  <c r="H377" i="18"/>
  <c r="D377" i="18"/>
  <c r="C377" i="18"/>
  <c r="A377" i="18"/>
  <c r="E345" i="18"/>
  <c r="D345" i="18"/>
  <c r="A345" i="18"/>
  <c r="E344" i="18"/>
  <c r="D344" i="18"/>
  <c r="A344" i="18"/>
  <c r="E343" i="18"/>
  <c r="D343" i="18"/>
  <c r="A343" i="18"/>
  <c r="E342" i="18"/>
  <c r="D342" i="18"/>
  <c r="A342" i="18"/>
  <c r="E341" i="18"/>
  <c r="D341" i="18"/>
  <c r="A341" i="18"/>
  <c r="E340" i="18"/>
  <c r="D340" i="18"/>
  <c r="A340" i="18"/>
  <c r="E339" i="18"/>
  <c r="D339" i="18"/>
  <c r="A339" i="18"/>
  <c r="E338" i="18"/>
  <c r="D338" i="18"/>
  <c r="A338" i="18"/>
  <c r="E337" i="18"/>
  <c r="D337" i="18"/>
  <c r="A337" i="18"/>
  <c r="H335" i="18"/>
  <c r="D335" i="18"/>
  <c r="C335" i="18"/>
  <c r="A335" i="18"/>
  <c r="H334" i="18"/>
  <c r="D334" i="18"/>
  <c r="C334" i="18"/>
  <c r="A334" i="18"/>
  <c r="C332" i="18"/>
  <c r="C331" i="18"/>
  <c r="B310" i="18"/>
  <c r="H331" i="18"/>
  <c r="H332" i="18" s="1"/>
  <c r="B309" i="18"/>
  <c r="B304" i="18"/>
  <c r="A331" i="18"/>
  <c r="A332" i="18"/>
  <c r="H302" i="18"/>
  <c r="D302" i="18"/>
  <c r="C302" i="18"/>
  <c r="A302" i="18"/>
  <c r="H301" i="18"/>
  <c r="D301" i="18"/>
  <c r="C301" i="18"/>
  <c r="A301" i="18"/>
  <c r="H300" i="18"/>
  <c r="D300" i="18"/>
  <c r="C300" i="18"/>
  <c r="A300" i="18"/>
  <c r="E268" i="18"/>
  <c r="D268" i="18"/>
  <c r="A268" i="18"/>
  <c r="E267" i="18"/>
  <c r="D267" i="18"/>
  <c r="A267" i="18"/>
  <c r="E266" i="18"/>
  <c r="D266" i="18"/>
  <c r="A266" i="18"/>
  <c r="E265" i="18"/>
  <c r="D265" i="18"/>
  <c r="A265" i="18"/>
  <c r="E264" i="18"/>
  <c r="D264" i="18"/>
  <c r="A264" i="18"/>
  <c r="E263" i="18"/>
  <c r="D263" i="18"/>
  <c r="A263" i="18"/>
  <c r="E262" i="18"/>
  <c r="D262" i="18"/>
  <c r="A262" i="18"/>
  <c r="E261" i="18"/>
  <c r="D261" i="18"/>
  <c r="A261" i="18"/>
  <c r="E260" i="18"/>
  <c r="D260" i="18"/>
  <c r="A260" i="18"/>
  <c r="H258" i="18"/>
  <c r="D258" i="18"/>
  <c r="C258" i="18"/>
  <c r="A258" i="18"/>
  <c r="H257" i="18"/>
  <c r="D257" i="18"/>
  <c r="C257" i="18"/>
  <c r="A257" i="18"/>
  <c r="C255" i="18"/>
  <c r="C254" i="18"/>
  <c r="B233" i="18"/>
  <c r="H254" i="18"/>
  <c r="H255" i="18" s="1"/>
  <c r="B232" i="18"/>
  <c r="B227" i="18"/>
  <c r="A254" i="18"/>
  <c r="A255" i="18"/>
  <c r="H223" i="18"/>
  <c r="C223" i="18"/>
  <c r="A223" i="18"/>
  <c r="H221" i="18"/>
  <c r="C221" i="18"/>
  <c r="A221" i="18"/>
  <c r="H220" i="18"/>
  <c r="C220" i="18"/>
  <c r="A220" i="18"/>
  <c r="H219" i="18"/>
  <c r="D219" i="18"/>
  <c r="C219" i="18"/>
  <c r="B195" i="18"/>
  <c r="B194" i="18"/>
  <c r="B189" i="18"/>
  <c r="A219" i="18"/>
  <c r="H185" i="18"/>
  <c r="C185" i="18"/>
  <c r="A185" i="18"/>
  <c r="H183" i="18"/>
  <c r="C183" i="18"/>
  <c r="A183" i="18"/>
  <c r="H182" i="18"/>
  <c r="C182" i="18"/>
  <c r="A182" i="18"/>
  <c r="H181" i="18"/>
  <c r="D181" i="18"/>
  <c r="C181" i="18"/>
  <c r="B157" i="18"/>
  <c r="B156" i="18"/>
  <c r="B151" i="18"/>
  <c r="A181" i="18"/>
  <c r="H147" i="18"/>
  <c r="C147" i="18"/>
  <c r="A147" i="18"/>
  <c r="H145" i="18"/>
  <c r="C145" i="18"/>
  <c r="A145" i="18"/>
  <c r="H144" i="18"/>
  <c r="C144" i="18"/>
  <c r="A144" i="18"/>
  <c r="H143" i="18"/>
  <c r="D143" i="18"/>
  <c r="C143" i="18"/>
  <c r="B119" i="18"/>
  <c r="B118" i="18"/>
  <c r="B113" i="18"/>
  <c r="A143" i="18"/>
  <c r="H109" i="18"/>
  <c r="C109" i="18"/>
  <c r="A109" i="18"/>
  <c r="H107" i="18"/>
  <c r="C107" i="18"/>
  <c r="A107" i="18"/>
  <c r="H106" i="18"/>
  <c r="C106" i="18"/>
  <c r="A106" i="18"/>
  <c r="H105" i="18"/>
  <c r="D105" i="18"/>
  <c r="C105" i="18"/>
  <c r="B81" i="18"/>
  <c r="B80" i="18"/>
  <c r="B75" i="18"/>
  <c r="A105" i="18"/>
  <c r="H71" i="18"/>
  <c r="C71" i="18"/>
  <c r="A71" i="18"/>
  <c r="H70" i="18"/>
  <c r="C70" i="18"/>
  <c r="A70" i="18"/>
  <c r="H69" i="18"/>
  <c r="C69" i="18"/>
  <c r="A69" i="18"/>
  <c r="H68" i="18"/>
  <c r="D68" i="18"/>
  <c r="C68" i="18"/>
  <c r="B44" i="18"/>
  <c r="B43" i="18"/>
  <c r="B38" i="18"/>
  <c r="A68" i="18"/>
  <c r="H34" i="18"/>
  <c r="C34" i="18"/>
  <c r="A34" i="18"/>
  <c r="H33" i="18"/>
  <c r="C33" i="18"/>
  <c r="A33" i="18"/>
  <c r="H32" i="18"/>
  <c r="C32" i="18"/>
  <c r="A32" i="18"/>
  <c r="H31" i="18"/>
  <c r="D31" i="18"/>
  <c r="C31" i="18"/>
  <c r="B7" i="18"/>
  <c r="B6" i="18"/>
  <c r="B1" i="18"/>
  <c r="A31" i="18"/>
  <c r="H687" i="17"/>
  <c r="D687" i="17"/>
  <c r="C687" i="17"/>
  <c r="A687" i="17"/>
  <c r="H686" i="17"/>
  <c r="D686" i="17"/>
  <c r="C686" i="17"/>
  <c r="A686" i="17"/>
  <c r="H685" i="17"/>
  <c r="D685" i="17"/>
  <c r="C685" i="17"/>
  <c r="A685" i="17"/>
  <c r="E653" i="17"/>
  <c r="D653" i="17"/>
  <c r="A653" i="17"/>
  <c r="E652" i="17"/>
  <c r="D652" i="17"/>
  <c r="A652" i="17"/>
  <c r="E651" i="17"/>
  <c r="D651" i="17"/>
  <c r="A651" i="17"/>
  <c r="E650" i="17"/>
  <c r="D650" i="17"/>
  <c r="A650" i="17"/>
  <c r="E649" i="17"/>
  <c r="D649" i="17"/>
  <c r="A649" i="17"/>
  <c r="E648" i="17"/>
  <c r="D648" i="17"/>
  <c r="A648" i="17"/>
  <c r="E647" i="17"/>
  <c r="D647" i="17"/>
  <c r="A647" i="17"/>
  <c r="E646" i="17"/>
  <c r="D646" i="17"/>
  <c r="A646" i="17"/>
  <c r="E645" i="17"/>
  <c r="D645" i="17"/>
  <c r="A645" i="17"/>
  <c r="H643" i="17"/>
  <c r="D643" i="17"/>
  <c r="C643" i="17"/>
  <c r="A643" i="17"/>
  <c r="H642" i="17"/>
  <c r="D642" i="17"/>
  <c r="C642" i="17"/>
  <c r="A642" i="17"/>
  <c r="C640" i="17"/>
  <c r="C639" i="17"/>
  <c r="B618" i="17"/>
  <c r="H639" i="17"/>
  <c r="H640" i="17" s="1"/>
  <c r="B617" i="17"/>
  <c r="B612" i="17"/>
  <c r="A639" i="17" s="1"/>
  <c r="A640" i="17" s="1"/>
  <c r="H610" i="17"/>
  <c r="D610" i="17"/>
  <c r="C610" i="17"/>
  <c r="A610" i="17"/>
  <c r="H609" i="17"/>
  <c r="D609" i="17"/>
  <c r="C609" i="17"/>
  <c r="A609" i="17"/>
  <c r="H608" i="17"/>
  <c r="D608" i="17"/>
  <c r="C608" i="17"/>
  <c r="A608" i="17"/>
  <c r="E576" i="17"/>
  <c r="D576" i="17"/>
  <c r="A576" i="17"/>
  <c r="E575" i="17"/>
  <c r="D575" i="17"/>
  <c r="A575" i="17"/>
  <c r="E574" i="17"/>
  <c r="D574" i="17"/>
  <c r="A574" i="17"/>
  <c r="E573" i="17"/>
  <c r="D573" i="17"/>
  <c r="A573" i="17"/>
  <c r="E572" i="17"/>
  <c r="D572" i="17"/>
  <c r="A572" i="17"/>
  <c r="E571" i="17"/>
  <c r="D571" i="17"/>
  <c r="A571" i="17"/>
  <c r="E570" i="17"/>
  <c r="D570" i="17"/>
  <c r="A570" i="17"/>
  <c r="E569" i="17"/>
  <c r="D569" i="17"/>
  <c r="A569" i="17"/>
  <c r="E568" i="17"/>
  <c r="D568" i="17"/>
  <c r="A568" i="17"/>
  <c r="H566" i="17"/>
  <c r="D566" i="17"/>
  <c r="C566" i="17"/>
  <c r="A566" i="17"/>
  <c r="H565" i="17"/>
  <c r="D565" i="17"/>
  <c r="C565" i="17"/>
  <c r="A565" i="17"/>
  <c r="C563" i="17"/>
  <c r="C562" i="17"/>
  <c r="B541" i="17"/>
  <c r="H562" i="17"/>
  <c r="H563" i="17" s="1"/>
  <c r="B540" i="17"/>
  <c r="B535" i="17"/>
  <c r="A562" i="17" s="1"/>
  <c r="A563" i="17" s="1"/>
  <c r="H533" i="17"/>
  <c r="D533" i="17"/>
  <c r="C533" i="17"/>
  <c r="A533" i="17"/>
  <c r="H532" i="17"/>
  <c r="D532" i="17"/>
  <c r="C532" i="17"/>
  <c r="A532" i="17"/>
  <c r="H531" i="17"/>
  <c r="D531" i="17"/>
  <c r="C531" i="17"/>
  <c r="A531" i="17"/>
  <c r="E499" i="17"/>
  <c r="D499" i="17"/>
  <c r="A499" i="17"/>
  <c r="E498" i="17"/>
  <c r="D498" i="17"/>
  <c r="A498" i="17"/>
  <c r="E497" i="17"/>
  <c r="D497" i="17"/>
  <c r="A497" i="17"/>
  <c r="E496" i="17"/>
  <c r="D496" i="17"/>
  <c r="A496" i="17"/>
  <c r="E495" i="17"/>
  <c r="D495" i="17"/>
  <c r="A495" i="17"/>
  <c r="E494" i="17"/>
  <c r="D494" i="17"/>
  <c r="A494" i="17"/>
  <c r="E493" i="17"/>
  <c r="D493" i="17"/>
  <c r="A493" i="17"/>
  <c r="E492" i="17"/>
  <c r="D492" i="17"/>
  <c r="A492" i="17"/>
  <c r="E491" i="17"/>
  <c r="D491" i="17"/>
  <c r="A491" i="17"/>
  <c r="H489" i="17"/>
  <c r="D489" i="17"/>
  <c r="C489" i="17"/>
  <c r="A489" i="17"/>
  <c r="H488" i="17"/>
  <c r="D488" i="17"/>
  <c r="C488" i="17"/>
  <c r="A488" i="17"/>
  <c r="C486" i="17"/>
  <c r="C485" i="17"/>
  <c r="B464" i="17"/>
  <c r="H485" i="17"/>
  <c r="H486" i="17" s="1"/>
  <c r="B463" i="17"/>
  <c r="B458" i="17"/>
  <c r="A485" i="17" s="1"/>
  <c r="A486" i="17" s="1"/>
  <c r="H456" i="17"/>
  <c r="D456" i="17"/>
  <c r="C456" i="17"/>
  <c r="A456" i="17"/>
  <c r="H455" i="17"/>
  <c r="D455" i="17"/>
  <c r="C455" i="17"/>
  <c r="A455" i="17"/>
  <c r="H454" i="17"/>
  <c r="D454" i="17"/>
  <c r="C454" i="17"/>
  <c r="A454" i="17"/>
  <c r="E422" i="17"/>
  <c r="D422" i="17"/>
  <c r="A422" i="17"/>
  <c r="E421" i="17"/>
  <c r="D421" i="17"/>
  <c r="A421" i="17"/>
  <c r="E420" i="17"/>
  <c r="D420" i="17"/>
  <c r="A420" i="17"/>
  <c r="E419" i="17"/>
  <c r="D419" i="17"/>
  <c r="A419" i="17"/>
  <c r="E418" i="17"/>
  <c r="D418" i="17"/>
  <c r="A418" i="17"/>
  <c r="E417" i="17"/>
  <c r="D417" i="17"/>
  <c r="A417" i="17"/>
  <c r="E416" i="17"/>
  <c r="D416" i="17"/>
  <c r="A416" i="17"/>
  <c r="E415" i="17"/>
  <c r="D415" i="17"/>
  <c r="A415" i="17"/>
  <c r="E414" i="17"/>
  <c r="D414" i="17"/>
  <c r="A414" i="17"/>
  <c r="H412" i="17"/>
  <c r="D412" i="17"/>
  <c r="C412" i="17"/>
  <c r="A412" i="17"/>
  <c r="H411" i="17"/>
  <c r="D411" i="17"/>
  <c r="C411" i="17"/>
  <c r="A411" i="17"/>
  <c r="C409" i="17"/>
  <c r="C408" i="17"/>
  <c r="B387" i="17"/>
  <c r="H408" i="17"/>
  <c r="H409" i="17" s="1"/>
  <c r="B386" i="17"/>
  <c r="B381" i="17"/>
  <c r="A408" i="17" s="1"/>
  <c r="A409" i="17" s="1"/>
  <c r="H379" i="17"/>
  <c r="D379" i="17"/>
  <c r="C379" i="17"/>
  <c r="A379" i="17"/>
  <c r="H378" i="17"/>
  <c r="D378" i="17"/>
  <c r="C378" i="17"/>
  <c r="A378" i="17"/>
  <c r="H377" i="17"/>
  <c r="D377" i="17"/>
  <c r="C377" i="17"/>
  <c r="A377" i="17"/>
  <c r="E345" i="17"/>
  <c r="D345" i="17"/>
  <c r="A345" i="17"/>
  <c r="E344" i="17"/>
  <c r="D344" i="17"/>
  <c r="A344" i="17"/>
  <c r="E343" i="17"/>
  <c r="D343" i="17"/>
  <c r="A343" i="17"/>
  <c r="E342" i="17"/>
  <c r="D342" i="17"/>
  <c r="A342" i="17"/>
  <c r="E341" i="17"/>
  <c r="D341" i="17"/>
  <c r="A341" i="17"/>
  <c r="E340" i="17"/>
  <c r="D340" i="17"/>
  <c r="A340" i="17"/>
  <c r="E339" i="17"/>
  <c r="D339" i="17"/>
  <c r="A339" i="17"/>
  <c r="E338" i="17"/>
  <c r="D338" i="17"/>
  <c r="A338" i="17"/>
  <c r="E337" i="17"/>
  <c r="D337" i="17"/>
  <c r="A337" i="17"/>
  <c r="H335" i="17"/>
  <c r="D335" i="17"/>
  <c r="C335" i="17"/>
  <c r="A335" i="17"/>
  <c r="H334" i="17"/>
  <c r="D334" i="17"/>
  <c r="C334" i="17"/>
  <c r="A334" i="17"/>
  <c r="C332" i="17"/>
  <c r="C331" i="17"/>
  <c r="B310" i="17"/>
  <c r="H331" i="17"/>
  <c r="H332" i="17" s="1"/>
  <c r="B309" i="17"/>
  <c r="B304" i="17"/>
  <c r="A331" i="17" s="1"/>
  <c r="A332" i="17" s="1"/>
  <c r="H302" i="17"/>
  <c r="D302" i="17"/>
  <c r="C302" i="17"/>
  <c r="A302" i="17"/>
  <c r="H301" i="17"/>
  <c r="D301" i="17"/>
  <c r="C301" i="17"/>
  <c r="A301" i="17"/>
  <c r="H300" i="17"/>
  <c r="D300" i="17"/>
  <c r="C300" i="17"/>
  <c r="A300" i="17"/>
  <c r="E268" i="17"/>
  <c r="D268" i="17"/>
  <c r="A268" i="17"/>
  <c r="E267" i="17"/>
  <c r="D267" i="17"/>
  <c r="A267" i="17"/>
  <c r="E266" i="17"/>
  <c r="D266" i="17"/>
  <c r="A266" i="17"/>
  <c r="E265" i="17"/>
  <c r="D265" i="17"/>
  <c r="A265" i="17"/>
  <c r="E264" i="17"/>
  <c r="D264" i="17"/>
  <c r="A264" i="17"/>
  <c r="E263" i="17"/>
  <c r="D263" i="17"/>
  <c r="A263" i="17"/>
  <c r="E262" i="17"/>
  <c r="D262" i="17"/>
  <c r="A262" i="17"/>
  <c r="E261" i="17"/>
  <c r="D261" i="17"/>
  <c r="A261" i="17"/>
  <c r="E260" i="17"/>
  <c r="D260" i="17"/>
  <c r="A260" i="17"/>
  <c r="H258" i="17"/>
  <c r="D258" i="17"/>
  <c r="C258" i="17"/>
  <c r="A258" i="17"/>
  <c r="H257" i="17"/>
  <c r="D257" i="17"/>
  <c r="C257" i="17"/>
  <c r="A257" i="17"/>
  <c r="C255" i="17"/>
  <c r="C254" i="17"/>
  <c r="B233" i="17"/>
  <c r="H254" i="17"/>
  <c r="H255" i="17" s="1"/>
  <c r="B232" i="17"/>
  <c r="B227" i="17"/>
  <c r="A254" i="17" s="1"/>
  <c r="A255" i="17" s="1"/>
  <c r="H223" i="17"/>
  <c r="C223" i="17"/>
  <c r="A223" i="17"/>
  <c r="H221" i="17"/>
  <c r="C221" i="17"/>
  <c r="A221" i="17"/>
  <c r="H220" i="17"/>
  <c r="C220" i="17"/>
  <c r="A220" i="17"/>
  <c r="H219" i="17"/>
  <c r="D219" i="17"/>
  <c r="C219" i="17"/>
  <c r="B195" i="17"/>
  <c r="B194" i="17"/>
  <c r="B189" i="17"/>
  <c r="A219" i="17" s="1"/>
  <c r="H185" i="17"/>
  <c r="C185" i="17"/>
  <c r="A185" i="17"/>
  <c r="H183" i="17"/>
  <c r="C183" i="17"/>
  <c r="A183" i="17"/>
  <c r="H182" i="17"/>
  <c r="C182" i="17"/>
  <c r="A182" i="17"/>
  <c r="H181" i="17"/>
  <c r="D181" i="17"/>
  <c r="C181" i="17"/>
  <c r="B157" i="17"/>
  <c r="B156" i="17"/>
  <c r="B151" i="17"/>
  <c r="A181" i="17" s="1"/>
  <c r="H147" i="17"/>
  <c r="C147" i="17"/>
  <c r="A147" i="17"/>
  <c r="H145" i="17"/>
  <c r="C145" i="17"/>
  <c r="A145" i="17"/>
  <c r="H144" i="17"/>
  <c r="C144" i="17"/>
  <c r="A144" i="17"/>
  <c r="H143" i="17"/>
  <c r="D143" i="17"/>
  <c r="C143" i="17"/>
  <c r="B119" i="17"/>
  <c r="B118" i="17"/>
  <c r="B113" i="17"/>
  <c r="A143" i="17" s="1"/>
  <c r="H109" i="17"/>
  <c r="C109" i="17"/>
  <c r="A109" i="17"/>
  <c r="H107" i="17"/>
  <c r="C107" i="17"/>
  <c r="A107" i="17"/>
  <c r="H106" i="17"/>
  <c r="C106" i="17"/>
  <c r="A106" i="17"/>
  <c r="H105" i="17"/>
  <c r="D105" i="17"/>
  <c r="C105" i="17"/>
  <c r="B81" i="17"/>
  <c r="B80" i="17"/>
  <c r="B75" i="17"/>
  <c r="A105" i="17" s="1"/>
  <c r="H71" i="17"/>
  <c r="C71" i="17"/>
  <c r="A71" i="17"/>
  <c r="H70" i="17"/>
  <c r="C70" i="17"/>
  <c r="A70" i="17"/>
  <c r="H69" i="17"/>
  <c r="C69" i="17"/>
  <c r="A69" i="17"/>
  <c r="H68" i="17"/>
  <c r="D68" i="17"/>
  <c r="C68" i="17"/>
  <c r="B44" i="17"/>
  <c r="B43" i="17"/>
  <c r="B38" i="17"/>
  <c r="A68" i="17" s="1"/>
  <c r="H34" i="17"/>
  <c r="C34" i="17"/>
  <c r="A34" i="17"/>
  <c r="H33" i="17"/>
  <c r="C33" i="17"/>
  <c r="A33" i="17"/>
  <c r="H32" i="17"/>
  <c r="C32" i="17"/>
  <c r="A32" i="17"/>
  <c r="H31" i="17"/>
  <c r="D31" i="17"/>
  <c r="C31" i="17"/>
  <c r="B7" i="17"/>
  <c r="B6" i="17"/>
  <c r="B1" i="17"/>
  <c r="A31" i="17" s="1"/>
  <c r="H687" i="16"/>
  <c r="D687" i="16"/>
  <c r="C687" i="16"/>
  <c r="A687" i="16"/>
  <c r="H686" i="16"/>
  <c r="D686" i="16"/>
  <c r="C686" i="16"/>
  <c r="A686" i="16"/>
  <c r="H685" i="16"/>
  <c r="D685" i="16"/>
  <c r="C685" i="16"/>
  <c r="A685" i="16"/>
  <c r="E653" i="16"/>
  <c r="D653" i="16"/>
  <c r="A653" i="16"/>
  <c r="E652" i="16"/>
  <c r="D652" i="16"/>
  <c r="A652" i="16"/>
  <c r="E651" i="16"/>
  <c r="D651" i="16"/>
  <c r="A651" i="16"/>
  <c r="E650" i="16"/>
  <c r="D650" i="16"/>
  <c r="A650" i="16"/>
  <c r="E649" i="16"/>
  <c r="D649" i="16"/>
  <c r="A649" i="16"/>
  <c r="E648" i="16"/>
  <c r="D648" i="16"/>
  <c r="A648" i="16"/>
  <c r="E647" i="16"/>
  <c r="D647" i="16"/>
  <c r="A647" i="16"/>
  <c r="E646" i="16"/>
  <c r="D646" i="16"/>
  <c r="A646" i="16"/>
  <c r="E645" i="16"/>
  <c r="D645" i="16"/>
  <c r="A645" i="16"/>
  <c r="H642" i="16"/>
  <c r="D642" i="16"/>
  <c r="C642" i="16"/>
  <c r="A642" i="16"/>
  <c r="H641" i="16"/>
  <c r="D641" i="16"/>
  <c r="C641" i="16"/>
  <c r="A641" i="16"/>
  <c r="C640" i="16"/>
  <c r="C639" i="16"/>
  <c r="B618" i="16"/>
  <c r="H639" i="16" s="1"/>
  <c r="H640" i="16" s="1"/>
  <c r="B617" i="16"/>
  <c r="B612" i="16"/>
  <c r="A639" i="16" s="1"/>
  <c r="A640" i="16" s="1"/>
  <c r="H610" i="16"/>
  <c r="D610" i="16"/>
  <c r="C610" i="16"/>
  <c r="A610" i="16"/>
  <c r="H609" i="16"/>
  <c r="D609" i="16"/>
  <c r="C609" i="16"/>
  <c r="A609" i="16"/>
  <c r="H608" i="16"/>
  <c r="D608" i="16"/>
  <c r="C608" i="16"/>
  <c r="A608" i="16"/>
  <c r="E576" i="16"/>
  <c r="D576" i="16"/>
  <c r="A576" i="16"/>
  <c r="E575" i="16"/>
  <c r="D575" i="16"/>
  <c r="A575" i="16"/>
  <c r="E574" i="16"/>
  <c r="D574" i="16"/>
  <c r="A574" i="16"/>
  <c r="E573" i="16"/>
  <c r="D573" i="16"/>
  <c r="A573" i="16"/>
  <c r="E572" i="16"/>
  <c r="D572" i="16"/>
  <c r="A572" i="16"/>
  <c r="E571" i="16"/>
  <c r="D571" i="16"/>
  <c r="A571" i="16"/>
  <c r="E570" i="16"/>
  <c r="D570" i="16"/>
  <c r="A570" i="16"/>
  <c r="E569" i="16"/>
  <c r="D569" i="16"/>
  <c r="A569" i="16"/>
  <c r="E568" i="16"/>
  <c r="D568" i="16"/>
  <c r="A568" i="16"/>
  <c r="H565" i="16"/>
  <c r="D565" i="16"/>
  <c r="C565" i="16"/>
  <c r="A565" i="16"/>
  <c r="H564" i="16"/>
  <c r="D564" i="16"/>
  <c r="C564" i="16"/>
  <c r="A564" i="16"/>
  <c r="C563" i="16"/>
  <c r="C562" i="16"/>
  <c r="B541" i="16"/>
  <c r="H562" i="16" s="1"/>
  <c r="H563" i="16" s="1"/>
  <c r="B540" i="16"/>
  <c r="B535" i="16"/>
  <c r="A562" i="16" s="1"/>
  <c r="A563" i="16" s="1"/>
  <c r="H533" i="16"/>
  <c r="D533" i="16"/>
  <c r="C533" i="16"/>
  <c r="A533" i="16"/>
  <c r="H532" i="16"/>
  <c r="D532" i="16"/>
  <c r="C532" i="16"/>
  <c r="A532" i="16"/>
  <c r="H531" i="16"/>
  <c r="D531" i="16"/>
  <c r="C531" i="16"/>
  <c r="A531" i="16"/>
  <c r="E499" i="16"/>
  <c r="D499" i="16"/>
  <c r="A499" i="16"/>
  <c r="E498" i="16"/>
  <c r="D498" i="16"/>
  <c r="A498" i="16"/>
  <c r="E497" i="16"/>
  <c r="D497" i="16"/>
  <c r="A497" i="16"/>
  <c r="E496" i="16"/>
  <c r="D496" i="16"/>
  <c r="A496" i="16"/>
  <c r="E495" i="16"/>
  <c r="D495" i="16"/>
  <c r="A495" i="16"/>
  <c r="E494" i="16"/>
  <c r="D494" i="16"/>
  <c r="A494" i="16"/>
  <c r="E493" i="16"/>
  <c r="D493" i="16"/>
  <c r="A493" i="16"/>
  <c r="E492" i="16"/>
  <c r="D492" i="16"/>
  <c r="A492" i="16"/>
  <c r="E491" i="16"/>
  <c r="D491" i="16"/>
  <c r="A491" i="16"/>
  <c r="H488" i="16"/>
  <c r="D488" i="16"/>
  <c r="C488" i="16"/>
  <c r="A488" i="16"/>
  <c r="H487" i="16"/>
  <c r="D487" i="16"/>
  <c r="C487" i="16"/>
  <c r="A487" i="16"/>
  <c r="C486" i="16"/>
  <c r="C485" i="16"/>
  <c r="B464" i="16"/>
  <c r="H485" i="16" s="1"/>
  <c r="H486" i="16" s="1"/>
  <c r="B463" i="16"/>
  <c r="B458" i="16"/>
  <c r="A485" i="16" s="1"/>
  <c r="A486" i="16" s="1"/>
  <c r="H456" i="16"/>
  <c r="D456" i="16"/>
  <c r="C456" i="16"/>
  <c r="A456" i="16"/>
  <c r="H455" i="16"/>
  <c r="D455" i="16"/>
  <c r="C455" i="16"/>
  <c r="A455" i="16"/>
  <c r="H454" i="16"/>
  <c r="D454" i="16"/>
  <c r="C454" i="16"/>
  <c r="A454" i="16"/>
  <c r="E422" i="16"/>
  <c r="D422" i="16"/>
  <c r="A422" i="16"/>
  <c r="E421" i="16"/>
  <c r="D421" i="16"/>
  <c r="A421" i="16"/>
  <c r="E420" i="16"/>
  <c r="D420" i="16"/>
  <c r="A420" i="16"/>
  <c r="E419" i="16"/>
  <c r="D419" i="16"/>
  <c r="A419" i="16"/>
  <c r="E418" i="16"/>
  <c r="D418" i="16"/>
  <c r="A418" i="16"/>
  <c r="E417" i="16"/>
  <c r="D417" i="16"/>
  <c r="A417" i="16"/>
  <c r="E416" i="16"/>
  <c r="D416" i="16"/>
  <c r="A416" i="16"/>
  <c r="E415" i="16"/>
  <c r="D415" i="16"/>
  <c r="A415" i="16"/>
  <c r="E414" i="16"/>
  <c r="D414" i="16"/>
  <c r="A414" i="16"/>
  <c r="H411" i="16"/>
  <c r="D411" i="16"/>
  <c r="C411" i="16"/>
  <c r="A411" i="16"/>
  <c r="H410" i="16"/>
  <c r="D410" i="16"/>
  <c r="C410" i="16"/>
  <c r="A410" i="16"/>
  <c r="C409" i="16"/>
  <c r="C408" i="16"/>
  <c r="B387" i="16"/>
  <c r="H408" i="16" s="1"/>
  <c r="H409" i="16" s="1"/>
  <c r="B386" i="16"/>
  <c r="B381" i="16"/>
  <c r="A408" i="16" s="1"/>
  <c r="A409" i="16" s="1"/>
  <c r="H379" i="16"/>
  <c r="D379" i="16"/>
  <c r="C379" i="16"/>
  <c r="A379" i="16"/>
  <c r="H378" i="16"/>
  <c r="D378" i="16"/>
  <c r="C378" i="16"/>
  <c r="A378" i="16"/>
  <c r="H377" i="16"/>
  <c r="D377" i="16"/>
  <c r="C377" i="16"/>
  <c r="A377" i="16"/>
  <c r="E345" i="16"/>
  <c r="D345" i="16"/>
  <c r="A345" i="16"/>
  <c r="E344" i="16"/>
  <c r="D344" i="16"/>
  <c r="A344" i="16"/>
  <c r="E343" i="16"/>
  <c r="D343" i="16"/>
  <c r="A343" i="16"/>
  <c r="E342" i="16"/>
  <c r="D342" i="16"/>
  <c r="A342" i="16"/>
  <c r="E341" i="16"/>
  <c r="D341" i="16"/>
  <c r="A341" i="16"/>
  <c r="E340" i="16"/>
  <c r="D340" i="16"/>
  <c r="A340" i="16"/>
  <c r="E339" i="16"/>
  <c r="D339" i="16"/>
  <c r="A339" i="16"/>
  <c r="E338" i="16"/>
  <c r="D338" i="16"/>
  <c r="A338" i="16"/>
  <c r="E337" i="16"/>
  <c r="D337" i="16"/>
  <c r="A337" i="16"/>
  <c r="H334" i="16"/>
  <c r="D334" i="16"/>
  <c r="C334" i="16"/>
  <c r="A334" i="16"/>
  <c r="H333" i="16"/>
  <c r="D333" i="16"/>
  <c r="C333" i="16"/>
  <c r="A333" i="16"/>
  <c r="C332" i="16"/>
  <c r="C331" i="16"/>
  <c r="B310" i="16"/>
  <c r="H331" i="16" s="1"/>
  <c r="H332" i="16" s="1"/>
  <c r="B309" i="16"/>
  <c r="B304" i="16"/>
  <c r="A331" i="16" s="1"/>
  <c r="A332" i="16" s="1"/>
  <c r="H302" i="16"/>
  <c r="D302" i="16"/>
  <c r="C302" i="16"/>
  <c r="A302" i="16"/>
  <c r="H301" i="16"/>
  <c r="D301" i="16"/>
  <c r="C301" i="16"/>
  <c r="A301" i="16"/>
  <c r="H300" i="16"/>
  <c r="D300" i="16"/>
  <c r="C300" i="16"/>
  <c r="A300" i="16"/>
  <c r="E267" i="16"/>
  <c r="D267" i="16"/>
  <c r="A267" i="16"/>
  <c r="E266" i="16"/>
  <c r="D266" i="16"/>
  <c r="A266" i="16"/>
  <c r="E265" i="16"/>
  <c r="D265" i="16"/>
  <c r="A265" i="16"/>
  <c r="E264" i="16"/>
  <c r="D264" i="16"/>
  <c r="A264" i="16"/>
  <c r="E263" i="16"/>
  <c r="D263" i="16"/>
  <c r="A263" i="16"/>
  <c r="E262" i="16"/>
  <c r="D262" i="16"/>
  <c r="A262" i="16"/>
  <c r="E261" i="16"/>
  <c r="D261" i="16"/>
  <c r="A261" i="16"/>
  <c r="E260" i="16"/>
  <c r="D260" i="16"/>
  <c r="A260" i="16"/>
  <c r="H257" i="16"/>
  <c r="D257" i="16"/>
  <c r="C257" i="16"/>
  <c r="A257" i="16"/>
  <c r="H256" i="16"/>
  <c r="D256" i="16"/>
  <c r="C256" i="16"/>
  <c r="A256" i="16"/>
  <c r="C255" i="16"/>
  <c r="C254" i="16"/>
  <c r="B233" i="16"/>
  <c r="H254" i="16" s="1"/>
  <c r="H255" i="16" s="1"/>
  <c r="B232" i="16"/>
  <c r="B227" i="16"/>
  <c r="A254" i="16" s="1"/>
  <c r="A255" i="16" s="1"/>
  <c r="H223" i="16"/>
  <c r="C223" i="16"/>
  <c r="A223" i="16"/>
  <c r="H221" i="16"/>
  <c r="C221" i="16"/>
  <c r="A221" i="16"/>
  <c r="H220" i="16"/>
  <c r="C220" i="16"/>
  <c r="A220" i="16"/>
  <c r="H219" i="16"/>
  <c r="D219" i="16"/>
  <c r="C219" i="16"/>
  <c r="B195" i="16"/>
  <c r="B194" i="16"/>
  <c r="B189" i="16"/>
  <c r="A219" i="16"/>
  <c r="H185" i="16"/>
  <c r="C185" i="16"/>
  <c r="A185" i="16"/>
  <c r="H183" i="16"/>
  <c r="C183" i="16"/>
  <c r="A183" i="16"/>
  <c r="H182" i="16"/>
  <c r="C182" i="16"/>
  <c r="A182" i="16"/>
  <c r="H181" i="16"/>
  <c r="D181" i="16"/>
  <c r="C181" i="16"/>
  <c r="B157" i="16"/>
  <c r="B156" i="16"/>
  <c r="B151" i="16"/>
  <c r="A181" i="16"/>
  <c r="H147" i="16"/>
  <c r="C147" i="16"/>
  <c r="A147" i="16"/>
  <c r="H145" i="16"/>
  <c r="C145" i="16"/>
  <c r="A145" i="16"/>
  <c r="H144" i="16"/>
  <c r="C144" i="16"/>
  <c r="A144" i="16"/>
  <c r="H143" i="16"/>
  <c r="D143" i="16"/>
  <c r="C143" i="16"/>
  <c r="B119" i="16"/>
  <c r="B118" i="16"/>
  <c r="B113" i="16"/>
  <c r="A143" i="16"/>
  <c r="H109" i="16"/>
  <c r="C109" i="16"/>
  <c r="A109" i="16"/>
  <c r="H107" i="16"/>
  <c r="C107" i="16"/>
  <c r="A107" i="16"/>
  <c r="H106" i="16"/>
  <c r="C106" i="16"/>
  <c r="A106" i="16"/>
  <c r="H105" i="16"/>
  <c r="D105" i="16"/>
  <c r="C105" i="16"/>
  <c r="B81" i="16"/>
  <c r="B80" i="16"/>
  <c r="B75" i="16"/>
  <c r="A105" i="16"/>
  <c r="H71" i="16"/>
  <c r="C71" i="16"/>
  <c r="A71" i="16"/>
  <c r="H70" i="16"/>
  <c r="C70" i="16"/>
  <c r="A70" i="16"/>
  <c r="H69" i="16"/>
  <c r="C69" i="16"/>
  <c r="A69" i="16"/>
  <c r="H68" i="16"/>
  <c r="D68" i="16"/>
  <c r="C68" i="16"/>
  <c r="B44" i="16"/>
  <c r="B43" i="16"/>
  <c r="B38" i="16"/>
  <c r="A68" i="16"/>
  <c r="H34" i="16"/>
  <c r="C34" i="16"/>
  <c r="A34" i="16"/>
  <c r="H33" i="16"/>
  <c r="C33" i="16"/>
  <c r="A33" i="16"/>
  <c r="H32" i="16"/>
  <c r="C32" i="16"/>
  <c r="A32" i="16"/>
  <c r="H31" i="16"/>
  <c r="D31" i="16"/>
  <c r="C31" i="16"/>
  <c r="B7" i="16"/>
  <c r="B6" i="16"/>
  <c r="B1" i="16"/>
  <c r="A31" i="16"/>
  <c r="D479" i="15"/>
  <c r="C479" i="15"/>
  <c r="D441" i="15"/>
  <c r="C441" i="15"/>
  <c r="D403" i="15"/>
  <c r="C403" i="15"/>
  <c r="D365" i="15"/>
  <c r="C365" i="15"/>
  <c r="H327" i="15"/>
  <c r="D327" i="15"/>
  <c r="C327" i="15"/>
  <c r="A327" i="15"/>
  <c r="H289" i="15"/>
  <c r="D289" i="15"/>
  <c r="C289" i="15"/>
  <c r="A289" i="15"/>
  <c r="H251" i="15"/>
  <c r="D251" i="15"/>
  <c r="C251" i="15"/>
  <c r="A251" i="15"/>
  <c r="H213" i="15"/>
  <c r="A213" i="15"/>
  <c r="D213" i="15"/>
  <c r="C213" i="15"/>
  <c r="H483" i="15"/>
  <c r="D483" i="15"/>
  <c r="C483" i="15"/>
  <c r="A483" i="15"/>
  <c r="H482" i="15"/>
  <c r="D482" i="15"/>
  <c r="C482" i="15"/>
  <c r="A482" i="15"/>
  <c r="H481" i="15"/>
  <c r="D481" i="15"/>
  <c r="C481" i="15"/>
  <c r="A481" i="15"/>
  <c r="H480" i="15"/>
  <c r="D480" i="15"/>
  <c r="C480" i="15"/>
  <c r="A480" i="15"/>
  <c r="H478" i="15"/>
  <c r="D478" i="15"/>
  <c r="C478" i="15"/>
  <c r="A478" i="15"/>
  <c r="C476" i="15"/>
  <c r="C475" i="15"/>
  <c r="B453" i="15"/>
  <c r="H475" i="15"/>
  <c r="H476" i="15"/>
  <c r="B452" i="15"/>
  <c r="A475" i="15"/>
  <c r="H445" i="15"/>
  <c r="D445" i="15"/>
  <c r="C445" i="15"/>
  <c r="A445" i="15"/>
  <c r="H444" i="15"/>
  <c r="D444" i="15"/>
  <c r="C444" i="15"/>
  <c r="A444" i="15"/>
  <c r="H443" i="15"/>
  <c r="D443" i="15"/>
  <c r="C443" i="15"/>
  <c r="A443" i="15"/>
  <c r="H442" i="15"/>
  <c r="D442" i="15"/>
  <c r="C442" i="15"/>
  <c r="A442" i="15"/>
  <c r="H440" i="15"/>
  <c r="D440" i="15"/>
  <c r="C440" i="15"/>
  <c r="A440" i="15"/>
  <c r="C438" i="15"/>
  <c r="C437" i="15"/>
  <c r="B415" i="15"/>
  <c r="H437" i="15"/>
  <c r="H438" i="15"/>
  <c r="B414" i="15"/>
  <c r="H407" i="15"/>
  <c r="D407" i="15"/>
  <c r="C407" i="15"/>
  <c r="A407" i="15"/>
  <c r="H406" i="15"/>
  <c r="D406" i="15"/>
  <c r="C406" i="15"/>
  <c r="A406" i="15"/>
  <c r="H405" i="15"/>
  <c r="D405" i="15"/>
  <c r="C405" i="15"/>
  <c r="A405" i="15"/>
  <c r="H404" i="15"/>
  <c r="D404" i="15"/>
  <c r="C404" i="15"/>
  <c r="A404" i="15"/>
  <c r="H402" i="15"/>
  <c r="D402" i="15"/>
  <c r="C402" i="15"/>
  <c r="A402" i="15"/>
  <c r="C400" i="15"/>
  <c r="C399" i="15"/>
  <c r="B377" i="15"/>
  <c r="H399" i="15"/>
  <c r="H400" i="15"/>
  <c r="B376" i="15"/>
  <c r="A399" i="15"/>
  <c r="H369" i="15"/>
  <c r="D369" i="15"/>
  <c r="C369" i="15"/>
  <c r="A369" i="15"/>
  <c r="H368" i="15"/>
  <c r="D368" i="15"/>
  <c r="C368" i="15"/>
  <c r="A368" i="15"/>
  <c r="H367" i="15"/>
  <c r="D367" i="15"/>
  <c r="C367" i="15"/>
  <c r="A367" i="15"/>
  <c r="H366" i="15"/>
  <c r="D366" i="15"/>
  <c r="C366" i="15"/>
  <c r="A366" i="15"/>
  <c r="H364" i="15"/>
  <c r="D364" i="15"/>
  <c r="C364" i="15"/>
  <c r="A364" i="15"/>
  <c r="C362" i="15"/>
  <c r="C361" i="15"/>
  <c r="B339" i="15"/>
  <c r="H361" i="15"/>
  <c r="H362" i="15"/>
  <c r="B338" i="15"/>
  <c r="A361" i="15"/>
  <c r="H177" i="15"/>
  <c r="C177" i="15"/>
  <c r="A177" i="15"/>
  <c r="H176" i="15"/>
  <c r="C176" i="15"/>
  <c r="A176" i="15"/>
  <c r="H175" i="15"/>
  <c r="C175" i="15"/>
  <c r="A175" i="15"/>
  <c r="H174" i="15"/>
  <c r="C174" i="15"/>
  <c r="A174" i="15"/>
  <c r="H173" i="15"/>
  <c r="C173" i="15"/>
  <c r="A173" i="15"/>
  <c r="H172" i="15"/>
  <c r="C172" i="15"/>
  <c r="A172" i="15"/>
  <c r="H171" i="15"/>
  <c r="C171" i="15"/>
  <c r="A171" i="15"/>
  <c r="H170" i="15"/>
  <c r="C170" i="15"/>
  <c r="A170" i="15"/>
  <c r="H168" i="15"/>
  <c r="C168" i="15"/>
  <c r="A168" i="15"/>
  <c r="H167" i="15"/>
  <c r="D167" i="15"/>
  <c r="C167" i="15"/>
  <c r="B142" i="15"/>
  <c r="B141" i="15"/>
  <c r="B136" i="15"/>
  <c r="A167" i="15"/>
  <c r="H132" i="15"/>
  <c r="C132" i="15"/>
  <c r="A132" i="15"/>
  <c r="H131" i="15"/>
  <c r="C131" i="15"/>
  <c r="A131" i="15"/>
  <c r="H130" i="15"/>
  <c r="C130" i="15"/>
  <c r="A130" i="15"/>
  <c r="H129" i="15"/>
  <c r="C129" i="15"/>
  <c r="A129" i="15"/>
  <c r="H128" i="15"/>
  <c r="C128" i="15"/>
  <c r="A128" i="15"/>
  <c r="H127" i="15"/>
  <c r="C127" i="15"/>
  <c r="A127" i="15"/>
  <c r="H126" i="15"/>
  <c r="C126" i="15"/>
  <c r="A126" i="15"/>
  <c r="H125" i="15"/>
  <c r="C125" i="15"/>
  <c r="A125" i="15"/>
  <c r="H123" i="15"/>
  <c r="C123" i="15"/>
  <c r="A123" i="15"/>
  <c r="H122" i="15"/>
  <c r="D122" i="15"/>
  <c r="C122" i="15"/>
  <c r="B97" i="15"/>
  <c r="B96" i="15"/>
  <c r="B91" i="15"/>
  <c r="A122" i="15"/>
  <c r="H87" i="15"/>
  <c r="C87" i="15"/>
  <c r="A87" i="15"/>
  <c r="H86" i="15"/>
  <c r="C86" i="15"/>
  <c r="A86" i="15"/>
  <c r="H85" i="15"/>
  <c r="C85" i="15"/>
  <c r="A85" i="15"/>
  <c r="H84" i="15"/>
  <c r="C84" i="15"/>
  <c r="A84" i="15"/>
  <c r="H83" i="15"/>
  <c r="C83" i="15"/>
  <c r="A83" i="15"/>
  <c r="H82" i="15"/>
  <c r="C82" i="15"/>
  <c r="A82" i="15"/>
  <c r="H81" i="15"/>
  <c r="C81" i="15"/>
  <c r="A81" i="15"/>
  <c r="H80" i="15"/>
  <c r="C80" i="15"/>
  <c r="A80" i="15"/>
  <c r="H78" i="15"/>
  <c r="C78" i="15"/>
  <c r="A78" i="15"/>
  <c r="H77" i="15"/>
  <c r="D77" i="15"/>
  <c r="C77" i="15"/>
  <c r="B52" i="15"/>
  <c r="B51" i="15"/>
  <c r="B46" i="15"/>
  <c r="A77" i="15"/>
  <c r="H42" i="15"/>
  <c r="H41" i="15"/>
  <c r="H40" i="15"/>
  <c r="H39" i="15"/>
  <c r="H38" i="15"/>
  <c r="C42" i="15"/>
  <c r="C41" i="15"/>
  <c r="C40" i="15"/>
  <c r="C39" i="15"/>
  <c r="C38" i="15"/>
  <c r="A42" i="15"/>
  <c r="A41" i="15"/>
  <c r="A40" i="15"/>
  <c r="A39" i="15"/>
  <c r="A38" i="15"/>
  <c r="H33" i="15"/>
  <c r="H331" i="15"/>
  <c r="D331" i="15"/>
  <c r="C331" i="15"/>
  <c r="A331" i="15"/>
  <c r="H330" i="15"/>
  <c r="D330" i="15"/>
  <c r="C330" i="15"/>
  <c r="A330" i="15"/>
  <c r="H329" i="15"/>
  <c r="D329" i="15"/>
  <c r="C329" i="15"/>
  <c r="A329" i="15"/>
  <c r="H328" i="15"/>
  <c r="D328" i="15"/>
  <c r="C328" i="15"/>
  <c r="A328" i="15"/>
  <c r="H326" i="15"/>
  <c r="D326" i="15"/>
  <c r="C326" i="15"/>
  <c r="A326" i="15"/>
  <c r="C324" i="15"/>
  <c r="C323" i="15"/>
  <c r="B301" i="15"/>
  <c r="H323" i="15"/>
  <c r="H324" i="15"/>
  <c r="B300" i="15"/>
  <c r="B295" i="15"/>
  <c r="A323" i="15"/>
  <c r="A324" i="15"/>
  <c r="H293" i="15"/>
  <c r="D293" i="15"/>
  <c r="C293" i="15"/>
  <c r="A293" i="15"/>
  <c r="H292" i="15"/>
  <c r="D292" i="15"/>
  <c r="C292" i="15"/>
  <c r="A292" i="15"/>
  <c r="H291" i="15"/>
  <c r="D291" i="15"/>
  <c r="C291" i="15"/>
  <c r="A291" i="15"/>
  <c r="H290" i="15"/>
  <c r="D290" i="15"/>
  <c r="C290" i="15"/>
  <c r="A290" i="15"/>
  <c r="H288" i="15"/>
  <c r="D288" i="15"/>
  <c r="C288" i="15"/>
  <c r="A288" i="15"/>
  <c r="C286" i="15"/>
  <c r="C285" i="15"/>
  <c r="B263" i="15"/>
  <c r="H285" i="15"/>
  <c r="H286" i="15"/>
  <c r="B262" i="15"/>
  <c r="B257" i="15"/>
  <c r="A285" i="15"/>
  <c r="A286" i="15"/>
  <c r="H255" i="15"/>
  <c r="D255" i="15"/>
  <c r="C255" i="15"/>
  <c r="A255" i="15"/>
  <c r="H254" i="15"/>
  <c r="D254" i="15"/>
  <c r="C254" i="15"/>
  <c r="A254" i="15"/>
  <c r="H253" i="15"/>
  <c r="D253" i="15"/>
  <c r="C253" i="15"/>
  <c r="A253" i="15"/>
  <c r="H252" i="15"/>
  <c r="D252" i="15"/>
  <c r="C252" i="15"/>
  <c r="A252" i="15"/>
  <c r="H250" i="15"/>
  <c r="D250" i="15"/>
  <c r="C250" i="15"/>
  <c r="A250" i="15"/>
  <c r="C248" i="15"/>
  <c r="C247" i="15"/>
  <c r="B225" i="15"/>
  <c r="H247" i="15"/>
  <c r="H248" i="15"/>
  <c r="B224" i="15"/>
  <c r="B219" i="15"/>
  <c r="A247" i="15"/>
  <c r="A248" i="15"/>
  <c r="H217" i="15"/>
  <c r="D217" i="15"/>
  <c r="C217" i="15"/>
  <c r="A217" i="15"/>
  <c r="H216" i="15"/>
  <c r="D216" i="15"/>
  <c r="C216" i="15"/>
  <c r="A216" i="15"/>
  <c r="H215" i="15"/>
  <c r="D215" i="15"/>
  <c r="C215" i="15"/>
  <c r="A215" i="15"/>
  <c r="H214" i="15"/>
  <c r="D214" i="15"/>
  <c r="C214" i="15"/>
  <c r="A214" i="15"/>
  <c r="H212" i="15"/>
  <c r="D212" i="15"/>
  <c r="C212" i="15"/>
  <c r="A212" i="15"/>
  <c r="C210" i="15"/>
  <c r="C209" i="15"/>
  <c r="B187" i="15"/>
  <c r="H209" i="15"/>
  <c r="H210" i="15"/>
  <c r="B186" i="15"/>
  <c r="B181" i="15"/>
  <c r="A209" i="15"/>
  <c r="A210" i="15"/>
  <c r="H37" i="15"/>
  <c r="C37" i="15"/>
  <c r="A37" i="15"/>
  <c r="H36" i="15"/>
  <c r="C36" i="15"/>
  <c r="A36" i="15"/>
  <c r="H35" i="15"/>
  <c r="C35" i="15"/>
  <c r="A35" i="15"/>
  <c r="C33" i="15"/>
  <c r="A33" i="15"/>
  <c r="H32" i="15"/>
  <c r="D32" i="15"/>
  <c r="C32" i="15"/>
  <c r="B7" i="15"/>
  <c r="B6" i="15"/>
  <c r="B1" i="15"/>
  <c r="A32" i="15"/>
  <c r="H687" i="14"/>
  <c r="D687" i="14"/>
  <c r="C687" i="14"/>
  <c r="A687" i="14"/>
  <c r="H686" i="14"/>
  <c r="D686" i="14"/>
  <c r="C686" i="14"/>
  <c r="A686" i="14"/>
  <c r="H685" i="14"/>
  <c r="D685" i="14"/>
  <c r="C685" i="14"/>
  <c r="A685" i="14"/>
  <c r="E653" i="14"/>
  <c r="D653" i="14"/>
  <c r="A653" i="14"/>
  <c r="E652" i="14"/>
  <c r="D652" i="14"/>
  <c r="A652" i="14"/>
  <c r="E651" i="14"/>
  <c r="D651" i="14"/>
  <c r="A651" i="14"/>
  <c r="E650" i="14"/>
  <c r="D650" i="14"/>
  <c r="A650" i="14"/>
  <c r="E649" i="14"/>
  <c r="D649" i="14"/>
  <c r="A649" i="14"/>
  <c r="E648" i="14"/>
  <c r="D648" i="14"/>
  <c r="A648" i="14"/>
  <c r="E647" i="14"/>
  <c r="D647" i="14"/>
  <c r="A647" i="14"/>
  <c r="E646" i="14"/>
  <c r="D646" i="14"/>
  <c r="A646" i="14"/>
  <c r="E645" i="14"/>
  <c r="D645" i="14"/>
  <c r="A645" i="14"/>
  <c r="H643" i="14"/>
  <c r="D643" i="14"/>
  <c r="C643" i="14"/>
  <c r="A643" i="14"/>
  <c r="H642" i="14"/>
  <c r="D642" i="14"/>
  <c r="C642" i="14"/>
  <c r="A642" i="14"/>
  <c r="C640" i="14"/>
  <c r="C639" i="14"/>
  <c r="B618" i="14"/>
  <c r="H639" i="14"/>
  <c r="H640" i="14"/>
  <c r="B617" i="14"/>
  <c r="B612" i="14"/>
  <c r="A639" i="14"/>
  <c r="A640" i="14"/>
  <c r="H610" i="14"/>
  <c r="D610" i="14"/>
  <c r="C610" i="14"/>
  <c r="A610" i="14"/>
  <c r="H609" i="14"/>
  <c r="D609" i="14"/>
  <c r="C609" i="14"/>
  <c r="A609" i="14"/>
  <c r="H608" i="14"/>
  <c r="D608" i="14"/>
  <c r="C608" i="14"/>
  <c r="A608" i="14"/>
  <c r="E576" i="14"/>
  <c r="D576" i="14"/>
  <c r="A576" i="14"/>
  <c r="E575" i="14"/>
  <c r="D575" i="14"/>
  <c r="A575" i="14"/>
  <c r="E574" i="14"/>
  <c r="D574" i="14"/>
  <c r="A574" i="14"/>
  <c r="E573" i="14"/>
  <c r="D573" i="14"/>
  <c r="A573" i="14"/>
  <c r="E572" i="14"/>
  <c r="D572" i="14"/>
  <c r="A572" i="14"/>
  <c r="E571" i="14"/>
  <c r="D571" i="14"/>
  <c r="A571" i="14"/>
  <c r="E570" i="14"/>
  <c r="D570" i="14"/>
  <c r="A570" i="14"/>
  <c r="E569" i="14"/>
  <c r="D569" i="14"/>
  <c r="A569" i="14"/>
  <c r="E568" i="14"/>
  <c r="D568" i="14"/>
  <c r="A568" i="14"/>
  <c r="H566" i="14"/>
  <c r="D566" i="14"/>
  <c r="C566" i="14"/>
  <c r="A566" i="14"/>
  <c r="H565" i="14"/>
  <c r="D565" i="14"/>
  <c r="C565" i="14"/>
  <c r="A565" i="14"/>
  <c r="C563" i="14"/>
  <c r="C562" i="14"/>
  <c r="B541" i="14"/>
  <c r="H562" i="14"/>
  <c r="H563" i="14"/>
  <c r="B540" i="14"/>
  <c r="B535" i="14"/>
  <c r="A562" i="14"/>
  <c r="A563" i="14"/>
  <c r="H533" i="14"/>
  <c r="D533" i="14"/>
  <c r="C533" i="14"/>
  <c r="A533" i="14"/>
  <c r="H532" i="14"/>
  <c r="D532" i="14"/>
  <c r="C532" i="14"/>
  <c r="A532" i="14"/>
  <c r="H531" i="14"/>
  <c r="D531" i="14"/>
  <c r="C531" i="14"/>
  <c r="A531" i="14"/>
  <c r="E499" i="14"/>
  <c r="D499" i="14"/>
  <c r="A499" i="14"/>
  <c r="E498" i="14"/>
  <c r="D498" i="14"/>
  <c r="A498" i="14"/>
  <c r="E497" i="14"/>
  <c r="D497" i="14"/>
  <c r="A497" i="14"/>
  <c r="E496" i="14"/>
  <c r="D496" i="14"/>
  <c r="A496" i="14"/>
  <c r="E495" i="14"/>
  <c r="D495" i="14"/>
  <c r="A495" i="14"/>
  <c r="E494" i="14"/>
  <c r="D494" i="14"/>
  <c r="A494" i="14"/>
  <c r="E493" i="14"/>
  <c r="D493" i="14"/>
  <c r="A493" i="14"/>
  <c r="E492" i="14"/>
  <c r="D492" i="14"/>
  <c r="A492" i="14"/>
  <c r="E491" i="14"/>
  <c r="D491" i="14"/>
  <c r="A491" i="14"/>
  <c r="H489" i="14"/>
  <c r="D489" i="14"/>
  <c r="C489" i="14"/>
  <c r="A489" i="14"/>
  <c r="H488" i="14"/>
  <c r="D488" i="14"/>
  <c r="C488" i="14"/>
  <c r="A488" i="14"/>
  <c r="C486" i="14"/>
  <c r="C485" i="14"/>
  <c r="B464" i="14"/>
  <c r="H485" i="14"/>
  <c r="H486" i="14"/>
  <c r="B463" i="14"/>
  <c r="B458" i="14"/>
  <c r="A485" i="14"/>
  <c r="A486" i="14"/>
  <c r="H456" i="14"/>
  <c r="D456" i="14"/>
  <c r="C456" i="14"/>
  <c r="A456" i="14"/>
  <c r="H455" i="14"/>
  <c r="D455" i="14"/>
  <c r="C455" i="14"/>
  <c r="A455" i="14"/>
  <c r="H454" i="14"/>
  <c r="D454" i="14"/>
  <c r="C454" i="14"/>
  <c r="A454" i="14"/>
  <c r="E422" i="14"/>
  <c r="D422" i="14"/>
  <c r="A422" i="14"/>
  <c r="E421" i="14"/>
  <c r="D421" i="14"/>
  <c r="A421" i="14"/>
  <c r="E420" i="14"/>
  <c r="D420" i="14"/>
  <c r="A420" i="14"/>
  <c r="E419" i="14"/>
  <c r="D419" i="14"/>
  <c r="A419" i="14"/>
  <c r="E418" i="14"/>
  <c r="D418" i="14"/>
  <c r="A418" i="14"/>
  <c r="E417" i="14"/>
  <c r="D417" i="14"/>
  <c r="A417" i="14"/>
  <c r="E416" i="14"/>
  <c r="D416" i="14"/>
  <c r="A416" i="14"/>
  <c r="E415" i="14"/>
  <c r="D415" i="14"/>
  <c r="A415" i="14"/>
  <c r="E414" i="14"/>
  <c r="D414" i="14"/>
  <c r="A414" i="14"/>
  <c r="H412" i="14"/>
  <c r="D412" i="14"/>
  <c r="C412" i="14"/>
  <c r="A412" i="14"/>
  <c r="H411" i="14"/>
  <c r="D411" i="14"/>
  <c r="C411" i="14"/>
  <c r="A411" i="14"/>
  <c r="C409" i="14"/>
  <c r="C408" i="14"/>
  <c r="B387" i="14"/>
  <c r="H408" i="14"/>
  <c r="H409" i="14"/>
  <c r="B386" i="14"/>
  <c r="B381" i="14"/>
  <c r="A408" i="14"/>
  <c r="A409" i="14"/>
  <c r="H379" i="14"/>
  <c r="D379" i="14"/>
  <c r="C379" i="14"/>
  <c r="A379" i="14"/>
  <c r="H378" i="14"/>
  <c r="D378" i="14"/>
  <c r="C378" i="14"/>
  <c r="A378" i="14"/>
  <c r="H377" i="14"/>
  <c r="D377" i="14"/>
  <c r="C377" i="14"/>
  <c r="A377" i="14"/>
  <c r="E345" i="14"/>
  <c r="D345" i="14"/>
  <c r="A345" i="14"/>
  <c r="E344" i="14"/>
  <c r="D344" i="14"/>
  <c r="A344" i="14"/>
  <c r="E343" i="14"/>
  <c r="D343" i="14"/>
  <c r="A343" i="14"/>
  <c r="E342" i="14"/>
  <c r="D342" i="14"/>
  <c r="A342" i="14"/>
  <c r="E341" i="14"/>
  <c r="D341" i="14"/>
  <c r="A341" i="14"/>
  <c r="E340" i="14"/>
  <c r="D340" i="14"/>
  <c r="A340" i="14"/>
  <c r="E339" i="14"/>
  <c r="D339" i="14"/>
  <c r="A339" i="14"/>
  <c r="E338" i="14"/>
  <c r="D338" i="14"/>
  <c r="A338" i="14"/>
  <c r="E337" i="14"/>
  <c r="D337" i="14"/>
  <c r="A337" i="14"/>
  <c r="H335" i="14"/>
  <c r="D335" i="14"/>
  <c r="C335" i="14"/>
  <c r="A335" i="14"/>
  <c r="H334" i="14"/>
  <c r="D334" i="14"/>
  <c r="C334" i="14"/>
  <c r="A334" i="14"/>
  <c r="C332" i="14"/>
  <c r="C331" i="14"/>
  <c r="B310" i="14"/>
  <c r="H331" i="14"/>
  <c r="H332" i="14"/>
  <c r="B309" i="14"/>
  <c r="B304" i="14"/>
  <c r="A331" i="14"/>
  <c r="A332" i="14"/>
  <c r="H302" i="14"/>
  <c r="D302" i="14"/>
  <c r="C302" i="14"/>
  <c r="A302" i="14"/>
  <c r="H301" i="14"/>
  <c r="D301" i="14"/>
  <c r="C301" i="14"/>
  <c r="A301" i="14"/>
  <c r="H300" i="14"/>
  <c r="D300" i="14"/>
  <c r="C300" i="14"/>
  <c r="A300" i="14"/>
  <c r="E268" i="14"/>
  <c r="D268" i="14"/>
  <c r="A268" i="14"/>
  <c r="E267" i="14"/>
  <c r="D267" i="14"/>
  <c r="A267" i="14"/>
  <c r="E266" i="14"/>
  <c r="D266" i="14"/>
  <c r="A266" i="14"/>
  <c r="E265" i="14"/>
  <c r="D265" i="14"/>
  <c r="A265" i="14"/>
  <c r="E264" i="14"/>
  <c r="D264" i="14"/>
  <c r="A264" i="14"/>
  <c r="E263" i="14"/>
  <c r="D263" i="14"/>
  <c r="A263" i="14"/>
  <c r="E262" i="14"/>
  <c r="D262" i="14"/>
  <c r="A262" i="14"/>
  <c r="E261" i="14"/>
  <c r="D261" i="14"/>
  <c r="A261" i="14"/>
  <c r="E260" i="14"/>
  <c r="D260" i="14"/>
  <c r="A260" i="14"/>
  <c r="H258" i="14"/>
  <c r="D258" i="14"/>
  <c r="C258" i="14"/>
  <c r="A258" i="14"/>
  <c r="H257" i="14"/>
  <c r="D257" i="14"/>
  <c r="C257" i="14"/>
  <c r="A257" i="14"/>
  <c r="C255" i="14"/>
  <c r="C254" i="14"/>
  <c r="B233" i="14"/>
  <c r="H254" i="14"/>
  <c r="H255" i="14"/>
  <c r="B232" i="14"/>
  <c r="B227" i="14"/>
  <c r="A254" i="14"/>
  <c r="A255" i="14"/>
  <c r="H223" i="14"/>
  <c r="D223" i="14"/>
  <c r="C223" i="14"/>
  <c r="A223" i="14"/>
  <c r="H221" i="14"/>
  <c r="D221" i="14"/>
  <c r="C221" i="14"/>
  <c r="A221" i="14"/>
  <c r="H220" i="14"/>
  <c r="D220" i="14"/>
  <c r="C220" i="14"/>
  <c r="A220" i="14"/>
  <c r="H219" i="14"/>
  <c r="D219" i="14"/>
  <c r="C219" i="14"/>
  <c r="B195" i="14"/>
  <c r="B194" i="14"/>
  <c r="B189" i="14"/>
  <c r="A219" i="14"/>
  <c r="H185" i="14"/>
  <c r="D185" i="14"/>
  <c r="C185" i="14"/>
  <c r="A185" i="14"/>
  <c r="H183" i="14"/>
  <c r="D183" i="14"/>
  <c r="C183" i="14"/>
  <c r="A183" i="14"/>
  <c r="H182" i="14"/>
  <c r="D182" i="14"/>
  <c r="C182" i="14"/>
  <c r="A182" i="14"/>
  <c r="H181" i="14"/>
  <c r="D181" i="14"/>
  <c r="C181" i="14"/>
  <c r="B157" i="14"/>
  <c r="B156" i="14"/>
  <c r="B151" i="14"/>
  <c r="A181" i="14"/>
  <c r="H147" i="14"/>
  <c r="D147" i="14"/>
  <c r="C147" i="14"/>
  <c r="A147" i="14"/>
  <c r="H145" i="14"/>
  <c r="D145" i="14"/>
  <c r="C145" i="14"/>
  <c r="A145" i="14"/>
  <c r="H144" i="14"/>
  <c r="D144" i="14"/>
  <c r="C144" i="14"/>
  <c r="A144" i="14"/>
  <c r="H143" i="14"/>
  <c r="D143" i="14"/>
  <c r="C143" i="14"/>
  <c r="B119" i="14"/>
  <c r="B118" i="14"/>
  <c r="B113" i="14"/>
  <c r="A143" i="14"/>
  <c r="H109" i="14"/>
  <c r="D109" i="14"/>
  <c r="C109" i="14"/>
  <c r="A109" i="14"/>
  <c r="H107" i="14"/>
  <c r="D107" i="14"/>
  <c r="C107" i="14"/>
  <c r="A107" i="14"/>
  <c r="H106" i="14"/>
  <c r="D106" i="14"/>
  <c r="C106" i="14"/>
  <c r="A106" i="14"/>
  <c r="H105" i="14"/>
  <c r="D105" i="14"/>
  <c r="C105" i="14"/>
  <c r="B81" i="14"/>
  <c r="B80" i="14"/>
  <c r="B75" i="14"/>
  <c r="A105" i="14"/>
  <c r="H71" i="14"/>
  <c r="D71" i="14"/>
  <c r="C71" i="14"/>
  <c r="A71" i="14"/>
  <c r="H70" i="14"/>
  <c r="D70" i="14"/>
  <c r="C70" i="14"/>
  <c r="A70" i="14"/>
  <c r="H69" i="14"/>
  <c r="D69" i="14"/>
  <c r="C69" i="14"/>
  <c r="A69" i="14"/>
  <c r="H68" i="14"/>
  <c r="D68" i="14"/>
  <c r="C68" i="14"/>
  <c r="B44" i="14"/>
  <c r="B43" i="14"/>
  <c r="B38" i="14"/>
  <c r="A68" i="14"/>
  <c r="H34" i="14"/>
  <c r="D34" i="14"/>
  <c r="C34" i="14"/>
  <c r="A34" i="14"/>
  <c r="H33" i="14"/>
  <c r="D33" i="14"/>
  <c r="C33" i="14"/>
  <c r="A33" i="14"/>
  <c r="H32" i="14"/>
  <c r="C32" i="14"/>
  <c r="A32" i="14"/>
  <c r="H31" i="14"/>
  <c r="D31" i="14"/>
  <c r="C31" i="14"/>
  <c r="B7" i="14"/>
  <c r="B6" i="14"/>
  <c r="B1" i="14"/>
  <c r="A31" i="14"/>
  <c r="R138" i="7"/>
  <c r="R139" i="7"/>
  <c r="R140" i="7"/>
  <c r="R141" i="7"/>
  <c r="R142" i="7"/>
  <c r="R143" i="7"/>
  <c r="R144" i="7"/>
  <c r="R145" i="7"/>
  <c r="R146" i="7"/>
  <c r="R147" i="7"/>
  <c r="R148" i="7"/>
  <c r="B173" i="9" s="1"/>
  <c r="R149" i="7"/>
  <c r="R150" i="7"/>
  <c r="R151" i="7"/>
  <c r="R152" i="7"/>
  <c r="R153" i="7"/>
  <c r="R154" i="7"/>
  <c r="R155" i="7"/>
  <c r="B129" i="11" s="1"/>
  <c r="R156" i="7"/>
  <c r="R157" i="7"/>
  <c r="R158" i="7"/>
  <c r="R159" i="7"/>
  <c r="R160" i="7"/>
  <c r="R161" i="7"/>
  <c r="R162" i="7"/>
  <c r="R163" i="7"/>
  <c r="R164" i="7"/>
  <c r="R165" i="7"/>
  <c r="R166" i="7"/>
  <c r="R173" i="7"/>
  <c r="R174" i="7"/>
  <c r="R175" i="7"/>
  <c r="R176" i="7"/>
  <c r="R177" i="7"/>
  <c r="R178" i="7"/>
  <c r="R183" i="7"/>
  <c r="B42" i="15" s="1"/>
  <c r="R184" i="7"/>
  <c r="B87" i="15" s="1"/>
  <c r="R185" i="7"/>
  <c r="R186" i="7"/>
  <c r="R187" i="7"/>
  <c r="R188" i="7"/>
  <c r="R189" i="7"/>
  <c r="R190" i="7"/>
  <c r="R191" i="7"/>
  <c r="R192" i="7"/>
  <c r="R193" i="7"/>
  <c r="R194" i="7"/>
  <c r="R195" i="7"/>
  <c r="R196" i="7"/>
  <c r="R197" i="7"/>
  <c r="R198" i="7"/>
  <c r="R199" i="7"/>
  <c r="R200" i="7"/>
  <c r="R201" i="7"/>
  <c r="R202" i="7"/>
  <c r="R203" i="7"/>
  <c r="R204" i="7"/>
  <c r="R205" i="7"/>
  <c r="R206" i="7"/>
  <c r="R207" i="7"/>
  <c r="R208" i="7"/>
  <c r="R209" i="7"/>
  <c r="B42" i="20" s="1"/>
  <c r="R210" i="7"/>
  <c r="R211" i="7"/>
  <c r="R212" i="7"/>
  <c r="R213" i="7"/>
  <c r="R214" i="7"/>
  <c r="R215" i="7"/>
  <c r="R216" i="7"/>
  <c r="R217" i="7"/>
  <c r="R218" i="7"/>
  <c r="R219" i="7"/>
  <c r="R220" i="7"/>
  <c r="R137" i="7"/>
  <c r="F157" i="7"/>
  <c r="G157" i="7"/>
  <c r="F158" i="7"/>
  <c r="G158" i="7"/>
  <c r="F159" i="7"/>
  <c r="G159" i="7"/>
  <c r="F160" i="7"/>
  <c r="G160" i="7"/>
  <c r="F161" i="7"/>
  <c r="G161" i="7"/>
  <c r="F162" i="7"/>
  <c r="G162" i="7"/>
  <c r="F163" i="7"/>
  <c r="G163" i="7"/>
  <c r="F164" i="7"/>
  <c r="G164" i="7"/>
  <c r="F165" i="7"/>
  <c r="G165" i="7"/>
  <c r="F166" i="7"/>
  <c r="G166" i="7"/>
  <c r="F173" i="7"/>
  <c r="G173" i="7"/>
  <c r="F174" i="7"/>
  <c r="G174" i="7"/>
  <c r="F175" i="7"/>
  <c r="G175" i="7"/>
  <c r="F176" i="7"/>
  <c r="G176" i="7"/>
  <c r="F177" i="7"/>
  <c r="G177" i="7"/>
  <c r="F178" i="7"/>
  <c r="G178" i="7"/>
  <c r="F183" i="7"/>
  <c r="B37" i="15" s="1"/>
  <c r="G183" i="7"/>
  <c r="B38" i="15" s="1"/>
  <c r="F184" i="7"/>
  <c r="B82" i="15" s="1"/>
  <c r="G184" i="7"/>
  <c r="B83" i="15" s="1"/>
  <c r="F185" i="7"/>
  <c r="B127" i="15" s="1"/>
  <c r="G185" i="7"/>
  <c r="B128" i="15" s="1"/>
  <c r="F186" i="7"/>
  <c r="B172" i="15" s="1"/>
  <c r="G186" i="7"/>
  <c r="B173" i="15" s="1"/>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B38" i="19" s="1"/>
  <c r="F206" i="7"/>
  <c r="G206" i="7"/>
  <c r="F207" i="7"/>
  <c r="B127" i="19" s="1"/>
  <c r="G207" i="7"/>
  <c r="B128" i="19" s="1"/>
  <c r="F208" i="7"/>
  <c r="G208" i="7"/>
  <c r="F209" i="7"/>
  <c r="G209" i="7"/>
  <c r="B38" i="20" s="1"/>
  <c r="F210" i="7"/>
  <c r="G210" i="7"/>
  <c r="F211" i="7"/>
  <c r="G211" i="7"/>
  <c r="B128" i="20" s="1"/>
  <c r="F212" i="7"/>
  <c r="G212" i="7"/>
  <c r="F213" i="7"/>
  <c r="G213" i="7"/>
  <c r="B38" i="21" s="1"/>
  <c r="F214" i="7"/>
  <c r="G214" i="7"/>
  <c r="F215" i="7"/>
  <c r="G215" i="7"/>
  <c r="B128" i="21" s="1"/>
  <c r="F216" i="7"/>
  <c r="B172" i="21" s="1"/>
  <c r="G216" i="7"/>
  <c r="F217" i="7"/>
  <c r="G217" i="7"/>
  <c r="B38" i="22" s="1"/>
  <c r="F218" i="7"/>
  <c r="B82" i="22" s="1"/>
  <c r="G218" i="7"/>
  <c r="F219" i="7"/>
  <c r="G219" i="7"/>
  <c r="F220" i="7"/>
  <c r="G220" i="7"/>
  <c r="F138" i="7"/>
  <c r="B81" i="6" s="1"/>
  <c r="G138" i="7"/>
  <c r="B82" i="6" s="1"/>
  <c r="F139" i="7"/>
  <c r="B124" i="6" s="1"/>
  <c r="G139" i="7"/>
  <c r="F140" i="7"/>
  <c r="B167" i="6" s="1"/>
  <c r="G140" i="7"/>
  <c r="F141" i="7"/>
  <c r="G141" i="7"/>
  <c r="F142" i="7"/>
  <c r="G142" i="7"/>
  <c r="F143" i="7"/>
  <c r="G143" i="7"/>
  <c r="F144" i="7"/>
  <c r="G144" i="7"/>
  <c r="F145" i="7"/>
  <c r="B36" i="9" s="1"/>
  <c r="G145" i="7"/>
  <c r="B37" i="9" s="1"/>
  <c r="F146" i="7"/>
  <c r="G146" i="7"/>
  <c r="F147" i="7"/>
  <c r="B124" i="9" s="1"/>
  <c r="G147" i="7"/>
  <c r="B125" i="9" s="1"/>
  <c r="F148" i="7"/>
  <c r="B168" i="9" s="1"/>
  <c r="G148" i="7"/>
  <c r="F149" i="7"/>
  <c r="B36" i="10" s="1"/>
  <c r="G149" i="7"/>
  <c r="F150" i="7"/>
  <c r="B80" i="10" s="1"/>
  <c r="G150" i="7"/>
  <c r="F151" i="7"/>
  <c r="B124" i="10" s="1"/>
  <c r="G151" i="7"/>
  <c r="F152" i="7"/>
  <c r="B168" i="10" s="1"/>
  <c r="G152" i="7"/>
  <c r="B169" i="10" s="1"/>
  <c r="F153" i="7"/>
  <c r="B36" i="11" s="1"/>
  <c r="G153" i="7"/>
  <c r="B37" i="11" s="1"/>
  <c r="F154" i="7"/>
  <c r="B80" i="11" s="1"/>
  <c r="G154" i="7"/>
  <c r="B81" i="11" s="1"/>
  <c r="F155" i="7"/>
  <c r="B124" i="11" s="1"/>
  <c r="G155" i="7"/>
  <c r="F156" i="7"/>
  <c r="B168" i="11" s="1"/>
  <c r="G156" i="7"/>
  <c r="G137" i="7"/>
  <c r="F137" i="7"/>
  <c r="S158" i="7"/>
  <c r="T158" i="7"/>
  <c r="U158" i="7"/>
  <c r="V158" i="7"/>
  <c r="W158" i="7"/>
  <c r="X158" i="7"/>
  <c r="Y158" i="7"/>
  <c r="Z158" i="7"/>
  <c r="AA158" i="7"/>
  <c r="AB158" i="7"/>
  <c r="BI158" i="7"/>
  <c r="BJ158" i="7"/>
  <c r="BK158" i="7"/>
  <c r="S159" i="7"/>
  <c r="T159" i="7"/>
  <c r="U159" i="7"/>
  <c r="V159" i="7"/>
  <c r="W159" i="7"/>
  <c r="X159" i="7"/>
  <c r="Y159" i="7"/>
  <c r="Z159" i="7"/>
  <c r="AA159" i="7"/>
  <c r="AB159" i="7"/>
  <c r="BI159" i="7"/>
  <c r="BJ159" i="7"/>
  <c r="BK159" i="7"/>
  <c r="S160" i="7"/>
  <c r="T160" i="7"/>
  <c r="U160" i="7"/>
  <c r="V160" i="7"/>
  <c r="W160" i="7"/>
  <c r="X160" i="7"/>
  <c r="Y160" i="7"/>
  <c r="Z160" i="7"/>
  <c r="AA160" i="7"/>
  <c r="AB160" i="7"/>
  <c r="BI160" i="7"/>
  <c r="BJ160" i="7"/>
  <c r="BK160" i="7"/>
  <c r="BJ157" i="7"/>
  <c r="BK157" i="7"/>
  <c r="BI157" i="7"/>
  <c r="T157" i="7"/>
  <c r="U157" i="7"/>
  <c r="V157" i="7"/>
  <c r="W157" i="7"/>
  <c r="X157" i="7"/>
  <c r="Y157" i="7"/>
  <c r="Z157" i="7"/>
  <c r="AA157" i="7"/>
  <c r="AB157" i="7"/>
  <c r="S157" i="7"/>
  <c r="O162" i="7"/>
  <c r="B334" i="13" s="1"/>
  <c r="O163" i="7"/>
  <c r="B411" i="13" s="1"/>
  <c r="O164" i="7"/>
  <c r="B488" i="13" s="1"/>
  <c r="O165" i="7"/>
  <c r="B565" i="13" s="1"/>
  <c r="O166" i="7"/>
  <c r="B642" i="13" s="1"/>
  <c r="O173" i="7"/>
  <c r="B257" i="14" s="1"/>
  <c r="O174" i="7"/>
  <c r="B334" i="14" s="1"/>
  <c r="O175" i="7"/>
  <c r="B411" i="14" s="1"/>
  <c r="O176" i="7"/>
  <c r="B488" i="14" s="1"/>
  <c r="O177" i="7"/>
  <c r="B565" i="14" s="1"/>
  <c r="O178" i="7"/>
  <c r="B642" i="14" s="1"/>
  <c r="O183" i="7"/>
  <c r="B212" i="15" s="1"/>
  <c r="O184" i="7"/>
  <c r="B402" i="15" s="1"/>
  <c r="O185" i="7"/>
  <c r="B288" i="15" s="1"/>
  <c r="O186" i="7"/>
  <c r="B326" i="15" s="1"/>
  <c r="O187" i="7"/>
  <c r="O188" i="7"/>
  <c r="B336" i="16" s="1"/>
  <c r="O189" i="7"/>
  <c r="O190" i="7"/>
  <c r="O191" i="7"/>
  <c r="O192" i="7"/>
  <c r="O193" i="7"/>
  <c r="O194" i="7"/>
  <c r="B334" i="17" s="1"/>
  <c r="O195" i="7"/>
  <c r="O196" i="7"/>
  <c r="B488" i="17" s="1"/>
  <c r="O197" i="7"/>
  <c r="O198" i="7"/>
  <c r="O199" i="7"/>
  <c r="B257" i="18" s="1"/>
  <c r="O200" i="7"/>
  <c r="O201" i="7"/>
  <c r="O202" i="7"/>
  <c r="O203" i="7"/>
  <c r="O204" i="7"/>
  <c r="B642" i="18" s="1"/>
  <c r="O205" i="7"/>
  <c r="O206" i="7"/>
  <c r="B249" i="19" s="1"/>
  <c r="O207" i="7"/>
  <c r="B439" i="19" s="1"/>
  <c r="O208" i="7"/>
  <c r="O209" i="7"/>
  <c r="O210" i="7"/>
  <c r="O211" i="7"/>
  <c r="O212" i="7"/>
  <c r="B477" i="20" s="1"/>
  <c r="O213" i="7"/>
  <c r="O214" i="7"/>
  <c r="B401" i="21" s="1"/>
  <c r="O215" i="7"/>
  <c r="B439" i="21" s="1"/>
  <c r="O216" i="7"/>
  <c r="O217" i="7"/>
  <c r="B364" i="22" s="1"/>
  <c r="O218" i="7"/>
  <c r="O219" i="7"/>
  <c r="O220" i="7"/>
  <c r="B325" i="22" s="1"/>
  <c r="O161" i="7"/>
  <c r="B257" i="13" s="1"/>
  <c r="O138" i="7"/>
  <c r="O139" i="7"/>
  <c r="O140" i="7"/>
  <c r="O141" i="7"/>
  <c r="O142" i="7"/>
  <c r="O143" i="7"/>
  <c r="O144" i="7"/>
  <c r="O145" i="7"/>
  <c r="O146" i="7"/>
  <c r="O147" i="7"/>
  <c r="O148" i="7"/>
  <c r="O149" i="7"/>
  <c r="O150" i="7"/>
  <c r="O151" i="7"/>
  <c r="O152" i="7"/>
  <c r="O153" i="7"/>
  <c r="O154" i="7"/>
  <c r="O155" i="7"/>
  <c r="O156" i="7"/>
  <c r="O137" i="7"/>
  <c r="M162" i="7"/>
  <c r="B335" i="13" s="1"/>
  <c r="M163" i="7"/>
  <c r="B412" i="13" s="1"/>
  <c r="M164" i="7"/>
  <c r="B489" i="13" s="1"/>
  <c r="M165" i="7"/>
  <c r="B566" i="13" s="1"/>
  <c r="M166" i="7"/>
  <c r="B643" i="13" s="1"/>
  <c r="M173" i="7"/>
  <c r="B258" i="14" s="1"/>
  <c r="M174" i="7"/>
  <c r="B335" i="14" s="1"/>
  <c r="M175" i="7"/>
  <c r="B412" i="14" s="1"/>
  <c r="M176" i="7"/>
  <c r="B489" i="14" s="1"/>
  <c r="M177" i="7"/>
  <c r="B566" i="14" s="1"/>
  <c r="M178" i="7"/>
  <c r="B643" i="14" s="1"/>
  <c r="M183" i="7"/>
  <c r="B214" i="15" s="1"/>
  <c r="M184" i="7"/>
  <c r="B252" i="15" s="1"/>
  <c r="M185" i="7"/>
  <c r="B442" i="15" s="1"/>
  <c r="M186" i="7"/>
  <c r="B480" i="15" s="1"/>
  <c r="M187" i="7"/>
  <c r="B257" i="16" s="1"/>
  <c r="M188" i="7"/>
  <c r="M189" i="7"/>
  <c r="M190" i="7"/>
  <c r="M191" i="7"/>
  <c r="B565" i="16" s="1"/>
  <c r="M192" i="7"/>
  <c r="M193" i="7"/>
  <c r="M194" i="7"/>
  <c r="M195" i="7"/>
  <c r="M196" i="7"/>
  <c r="B489" i="17" s="1"/>
  <c r="M197" i="7"/>
  <c r="M198" i="7"/>
  <c r="M199" i="7"/>
  <c r="M200" i="7"/>
  <c r="M201" i="7"/>
  <c r="M202" i="7"/>
  <c r="M203" i="7"/>
  <c r="M204" i="7"/>
  <c r="M205" i="7"/>
  <c r="M206" i="7"/>
  <c r="B403" i="19" s="1"/>
  <c r="M207" i="7"/>
  <c r="B441" i="19" s="1"/>
  <c r="M208" i="7"/>
  <c r="M209" i="7"/>
  <c r="B365" i="20" s="1"/>
  <c r="M210" i="7"/>
  <c r="M211" i="7"/>
  <c r="M212" i="7"/>
  <c r="B479" i="20" s="1"/>
  <c r="M213" i="7"/>
  <c r="M214" i="7"/>
  <c r="B403" i="21" s="1"/>
  <c r="M215" i="7"/>
  <c r="M216" i="7"/>
  <c r="B479" i="21" s="1"/>
  <c r="M217" i="7"/>
  <c r="M218" i="7"/>
  <c r="M219" i="7"/>
  <c r="B442" i="22" s="1"/>
  <c r="M220" i="7"/>
  <c r="B480" i="22" s="1"/>
  <c r="M161" i="7"/>
  <c r="B258" i="13" s="1"/>
  <c r="M138" i="7"/>
  <c r="B243" i="6" s="1"/>
  <c r="M139" i="7"/>
  <c r="B280" i="6" s="1"/>
  <c r="M140" i="7"/>
  <c r="B317" i="6" s="1"/>
  <c r="M141" i="7"/>
  <c r="M142" i="7"/>
  <c r="B210" i="8" s="1"/>
  <c r="M143" i="7"/>
  <c r="B245" i="8" s="1"/>
  <c r="M144" i="7"/>
  <c r="B280" i="8" s="1"/>
  <c r="M145" i="7"/>
  <c r="B210" i="9" s="1"/>
  <c r="M146" i="7"/>
  <c r="B247" i="9" s="1"/>
  <c r="M147" i="7"/>
  <c r="B284" i="9" s="1"/>
  <c r="M148" i="7"/>
  <c r="B469" i="9" s="1"/>
  <c r="M149" i="7"/>
  <c r="B209" i="10" s="1"/>
  <c r="M150" i="7"/>
  <c r="B246" i="10" s="1"/>
  <c r="M151" i="7"/>
  <c r="B431" i="10" s="1"/>
  <c r="M152" i="7"/>
  <c r="B320" i="10" s="1"/>
  <c r="M153" i="7"/>
  <c r="B209" i="11" s="1"/>
  <c r="M154" i="7"/>
  <c r="B394" i="11" s="1"/>
  <c r="M155" i="7"/>
  <c r="B431" i="11" s="1"/>
  <c r="M156" i="7"/>
  <c r="B320" i="11" s="1"/>
  <c r="M137" i="7"/>
  <c r="BI138" i="7"/>
  <c r="B245" i="6" s="1"/>
  <c r="BJ138" i="7"/>
  <c r="B246" i="6" s="1"/>
  <c r="BK138" i="7"/>
  <c r="B247" i="6" s="1"/>
  <c r="BI139" i="7"/>
  <c r="B282" i="6" s="1"/>
  <c r="BJ139" i="7"/>
  <c r="B283" i="6" s="1"/>
  <c r="BK139" i="7"/>
  <c r="B284" i="6" s="1"/>
  <c r="BI140" i="7"/>
  <c r="B319" i="6" s="1"/>
  <c r="BJ140" i="7"/>
  <c r="B320" i="6" s="1"/>
  <c r="BK140" i="7"/>
  <c r="B321" i="6" s="1"/>
  <c r="BI141" i="7"/>
  <c r="B176" i="8" s="1"/>
  <c r="BJ141" i="7"/>
  <c r="B177" i="8" s="1"/>
  <c r="BK141" i="7"/>
  <c r="B178" i="8" s="1"/>
  <c r="BI142" i="7"/>
  <c r="B211" i="8" s="1"/>
  <c r="BJ142" i="7"/>
  <c r="B212" i="8" s="1"/>
  <c r="BK142" i="7"/>
  <c r="B213" i="8" s="1"/>
  <c r="BI143" i="7"/>
  <c r="B246" i="8" s="1"/>
  <c r="BJ143" i="7"/>
  <c r="B247" i="8" s="1"/>
  <c r="BK143" i="7"/>
  <c r="B248" i="8" s="1"/>
  <c r="BI144" i="7"/>
  <c r="B281" i="8" s="1"/>
  <c r="BJ144" i="7"/>
  <c r="B282" i="8" s="1"/>
  <c r="BK144" i="7"/>
  <c r="B283" i="8" s="1"/>
  <c r="BI145" i="7"/>
  <c r="B211" i="9" s="1"/>
  <c r="BJ145" i="7"/>
  <c r="B360" i="9" s="1"/>
  <c r="BK145" i="7"/>
  <c r="B361" i="9" s="1"/>
  <c r="BI146" i="7"/>
  <c r="B248" i="9" s="1"/>
  <c r="BJ146" i="7"/>
  <c r="B249" i="9" s="1"/>
  <c r="BK146" i="7"/>
  <c r="B250" i="9" s="1"/>
  <c r="BI147" i="7"/>
  <c r="B285" i="9" s="1"/>
  <c r="BJ147" i="7"/>
  <c r="B434" i="9" s="1"/>
  <c r="BK147" i="7"/>
  <c r="B287" i="9" s="1"/>
  <c r="BI148" i="7"/>
  <c r="B470" i="9" s="1"/>
  <c r="BJ148" i="7"/>
  <c r="B323" i="9" s="1"/>
  <c r="BK148" i="7"/>
  <c r="B472" i="9" s="1"/>
  <c r="BI149" i="7"/>
  <c r="B358" i="10" s="1"/>
  <c r="BJ149" i="7"/>
  <c r="B359" i="10" s="1"/>
  <c r="BK149" i="7"/>
  <c r="B212" i="10" s="1"/>
  <c r="BI150" i="7"/>
  <c r="B395" i="10" s="1"/>
  <c r="BJ150" i="7"/>
  <c r="B248" i="10" s="1"/>
  <c r="BK150" i="7"/>
  <c r="B397" i="10" s="1"/>
  <c r="BI151" i="7"/>
  <c r="B432" i="10" s="1"/>
  <c r="BJ151" i="7"/>
  <c r="B433" i="10" s="1"/>
  <c r="BK151" i="7"/>
  <c r="B434" i="10" s="1"/>
  <c r="BI152" i="7"/>
  <c r="B469" i="10" s="1"/>
  <c r="BJ152" i="7"/>
  <c r="B322" i="10" s="1"/>
  <c r="BK152" i="7"/>
  <c r="B323" i="10" s="1"/>
  <c r="BI153" i="7"/>
  <c r="B210" i="11" s="1"/>
  <c r="BJ153" i="7"/>
  <c r="B211" i="11" s="1"/>
  <c r="BK153" i="7"/>
  <c r="B212" i="11" s="1"/>
  <c r="BI154" i="7"/>
  <c r="B395" i="11" s="1"/>
  <c r="BJ154" i="7"/>
  <c r="B248" i="11" s="1"/>
  <c r="BK154" i="7"/>
  <c r="B249" i="11" s="1"/>
  <c r="BI155" i="7"/>
  <c r="B432" i="11" s="1"/>
  <c r="BJ155" i="7"/>
  <c r="B433" i="11" s="1"/>
  <c r="BK155" i="7"/>
  <c r="B434" i="11" s="1"/>
  <c r="BI156" i="7"/>
  <c r="B469" i="11" s="1"/>
  <c r="BJ156" i="7"/>
  <c r="B470" i="11" s="1"/>
  <c r="BK156" i="7"/>
  <c r="B471" i="11" s="1"/>
  <c r="BI137" i="7"/>
  <c r="B208" i="6" s="1"/>
  <c r="BJ137" i="7"/>
  <c r="B209" i="6" s="1"/>
  <c r="BK137" i="7"/>
  <c r="B210" i="6" s="1"/>
  <c r="O157" i="7"/>
  <c r="O158" i="7"/>
  <c r="O159" i="7"/>
  <c r="O160" i="7"/>
  <c r="M157" i="7"/>
  <c r="B188" i="12" s="1"/>
  <c r="M158" i="7"/>
  <c r="B403" i="12" s="1"/>
  <c r="M159" i="7"/>
  <c r="B446" i="12" s="1"/>
  <c r="M160" i="7"/>
  <c r="B489" i="12" s="1"/>
  <c r="E160" i="7"/>
  <c r="B151" i="12" s="1"/>
  <c r="E159" i="7"/>
  <c r="B112" i="12" s="1"/>
  <c r="E158" i="7"/>
  <c r="B73" i="12" s="1"/>
  <c r="E157" i="7"/>
  <c r="B34" i="12" s="1"/>
  <c r="D204" i="7"/>
  <c r="D203" i="7"/>
  <c r="D202" i="7"/>
  <c r="D201" i="7"/>
  <c r="D200" i="7"/>
  <c r="B70" i="18" s="1"/>
  <c r="D199" i="7"/>
  <c r="D198" i="7"/>
  <c r="D197" i="7"/>
  <c r="D196" i="7"/>
  <c r="D195" i="7"/>
  <c r="D194" i="7"/>
  <c r="D193" i="7"/>
  <c r="D192" i="7"/>
  <c r="B221" i="16" s="1"/>
  <c r="D191" i="7"/>
  <c r="B183" i="16" s="1"/>
  <c r="D190" i="7"/>
  <c r="D189" i="7"/>
  <c r="B107" i="16" s="1"/>
  <c r="D188" i="7"/>
  <c r="D187" i="7"/>
  <c r="D178" i="7"/>
  <c r="B221" i="14" s="1"/>
  <c r="D177" i="7"/>
  <c r="B183" i="14" s="1"/>
  <c r="D176" i="7"/>
  <c r="B145" i="14" s="1"/>
  <c r="D175" i="7"/>
  <c r="B107" i="14" s="1"/>
  <c r="D174" i="7"/>
  <c r="B70" i="14" s="1"/>
  <c r="D173" i="7"/>
  <c r="B33" i="14" s="1"/>
  <c r="D166" i="7"/>
  <c r="B221" i="13" s="1"/>
  <c r="D165" i="7"/>
  <c r="B183" i="13" s="1"/>
  <c r="D164" i="7"/>
  <c r="B145" i="13" s="1"/>
  <c r="D163" i="7"/>
  <c r="B107" i="13" s="1"/>
  <c r="D162" i="7"/>
  <c r="B70" i="13" s="1"/>
  <c r="D161" i="7"/>
  <c r="B33" i="13" s="1"/>
  <c r="D160" i="7"/>
  <c r="B150" i="12" s="1"/>
  <c r="D159" i="7"/>
  <c r="B111" i="12" s="1"/>
  <c r="D158" i="7"/>
  <c r="B72" i="12" s="1"/>
  <c r="D157" i="7"/>
  <c r="B33" i="12" s="1"/>
  <c r="D156" i="7"/>
  <c r="D155" i="7"/>
  <c r="D154" i="7"/>
  <c r="D153" i="7"/>
  <c r="D152" i="7"/>
  <c r="D151" i="7"/>
  <c r="D150" i="7"/>
  <c r="D149" i="7"/>
  <c r="D148" i="7"/>
  <c r="D147" i="7"/>
  <c r="D146" i="7"/>
  <c r="D145" i="7"/>
  <c r="D144" i="7"/>
  <c r="D143" i="7"/>
  <c r="D142" i="7"/>
  <c r="D141" i="7"/>
  <c r="D140" i="7"/>
  <c r="D139" i="7"/>
  <c r="D138" i="7"/>
  <c r="D137" i="7"/>
  <c r="B204" i="7"/>
  <c r="B203" i="7"/>
  <c r="B202" i="7"/>
  <c r="B201" i="7"/>
  <c r="B200" i="7"/>
  <c r="B199" i="7"/>
  <c r="B198" i="7"/>
  <c r="B220" i="17" s="1"/>
  <c r="B197" i="7"/>
  <c r="B196" i="7"/>
  <c r="B195" i="7"/>
  <c r="B106" i="17" s="1"/>
  <c r="B194" i="7"/>
  <c r="B193" i="7"/>
  <c r="B192" i="7"/>
  <c r="B220" i="16" s="1"/>
  <c r="B191" i="7"/>
  <c r="B182" i="16" s="1"/>
  <c r="B190" i="7"/>
  <c r="B189" i="7"/>
  <c r="B188" i="7"/>
  <c r="B187" i="7"/>
  <c r="B32" i="16" s="1"/>
  <c r="B178" i="7"/>
  <c r="B220" i="14" s="1"/>
  <c r="B177" i="7"/>
  <c r="B182" i="14" s="1"/>
  <c r="B176" i="7"/>
  <c r="B175" i="7"/>
  <c r="B106" i="14" s="1"/>
  <c r="B174" i="7"/>
  <c r="B69" i="14" s="1"/>
  <c r="B173" i="7"/>
  <c r="B166" i="7"/>
  <c r="B220" i="13" s="1"/>
  <c r="B165" i="7"/>
  <c r="B182" i="13" s="1"/>
  <c r="B164" i="7"/>
  <c r="B144" i="13" s="1"/>
  <c r="B163" i="7"/>
  <c r="B106" i="13" s="1"/>
  <c r="B162" i="7"/>
  <c r="B69" i="13" s="1"/>
  <c r="B161" i="7"/>
  <c r="B32" i="13" s="1"/>
  <c r="B160" i="7"/>
  <c r="B159" i="7"/>
  <c r="B110" i="12" s="1"/>
  <c r="B158" i="7"/>
  <c r="B157" i="7"/>
  <c r="B32" i="12" s="1"/>
  <c r="B156" i="7"/>
  <c r="B165" i="11" s="1"/>
  <c r="B155" i="7"/>
  <c r="B121" i="11" s="1"/>
  <c r="B154" i="7"/>
  <c r="B77" i="11" s="1"/>
  <c r="B153" i="7"/>
  <c r="B33" i="11" s="1"/>
  <c r="B152" i="7"/>
  <c r="B165" i="10" s="1"/>
  <c r="B151" i="7"/>
  <c r="B121" i="10" s="1"/>
  <c r="B150" i="7"/>
  <c r="B77" i="10" s="1"/>
  <c r="B149" i="7"/>
  <c r="B33" i="10" s="1"/>
  <c r="B148" i="7"/>
  <c r="B165" i="9" s="1"/>
  <c r="B147" i="7"/>
  <c r="B121" i="9" s="1"/>
  <c r="B146" i="7"/>
  <c r="B145" i="7"/>
  <c r="B33" i="9" s="1"/>
  <c r="B144" i="7"/>
  <c r="B140" i="8" s="1"/>
  <c r="B143" i="7"/>
  <c r="B142" i="7"/>
  <c r="B68" i="8" s="1"/>
  <c r="B141" i="7"/>
  <c r="B32" i="8" s="1"/>
  <c r="B140" i="7"/>
  <c r="B164" i="6" s="1"/>
  <c r="B139" i="7"/>
  <c r="B121" i="6" s="1"/>
  <c r="B138" i="7"/>
  <c r="B78" i="6" s="1"/>
  <c r="B137" i="7"/>
  <c r="B35" i="6" s="1"/>
  <c r="H687" i="13"/>
  <c r="D687" i="13"/>
  <c r="C687" i="13"/>
  <c r="A687" i="13"/>
  <c r="H686" i="13"/>
  <c r="D686" i="13"/>
  <c r="C686" i="13"/>
  <c r="A686" i="13"/>
  <c r="H685" i="13"/>
  <c r="D685" i="13"/>
  <c r="C685" i="13"/>
  <c r="A685" i="13"/>
  <c r="E653" i="13"/>
  <c r="D653" i="13"/>
  <c r="A653" i="13"/>
  <c r="E652" i="13"/>
  <c r="D652" i="13"/>
  <c r="A652" i="13"/>
  <c r="E651" i="13"/>
  <c r="D651" i="13"/>
  <c r="A651" i="13"/>
  <c r="E650" i="13"/>
  <c r="D650" i="13"/>
  <c r="A650" i="13"/>
  <c r="E649" i="13"/>
  <c r="D649" i="13"/>
  <c r="A649" i="13"/>
  <c r="E648" i="13"/>
  <c r="D648" i="13"/>
  <c r="A648" i="13"/>
  <c r="E647" i="13"/>
  <c r="D647" i="13"/>
  <c r="A647" i="13"/>
  <c r="E646" i="13"/>
  <c r="D646" i="13"/>
  <c r="A646" i="13"/>
  <c r="E645" i="13"/>
  <c r="D645" i="13"/>
  <c r="A645" i="13"/>
  <c r="H643" i="13"/>
  <c r="D643" i="13"/>
  <c r="C643" i="13"/>
  <c r="A643" i="13"/>
  <c r="H642" i="13"/>
  <c r="D642" i="13"/>
  <c r="C642" i="13"/>
  <c r="A642" i="13"/>
  <c r="C640" i="13"/>
  <c r="C639" i="13"/>
  <c r="B618" i="13"/>
  <c r="H639" i="13"/>
  <c r="H640" i="13"/>
  <c r="B617" i="13"/>
  <c r="B612" i="13"/>
  <c r="A639" i="13"/>
  <c r="A640" i="13"/>
  <c r="H610" i="13"/>
  <c r="D610" i="13"/>
  <c r="C610" i="13"/>
  <c r="A610" i="13"/>
  <c r="H609" i="13"/>
  <c r="D609" i="13"/>
  <c r="C609" i="13"/>
  <c r="A609" i="13"/>
  <c r="H608" i="13"/>
  <c r="D608" i="13"/>
  <c r="C608" i="13"/>
  <c r="A608" i="13"/>
  <c r="E576" i="13"/>
  <c r="D576" i="13"/>
  <c r="A576" i="13"/>
  <c r="E575" i="13"/>
  <c r="D575" i="13"/>
  <c r="A575" i="13"/>
  <c r="E574" i="13"/>
  <c r="D574" i="13"/>
  <c r="A574" i="13"/>
  <c r="E573" i="13"/>
  <c r="D573" i="13"/>
  <c r="A573" i="13"/>
  <c r="E572" i="13"/>
  <c r="D572" i="13"/>
  <c r="A572" i="13"/>
  <c r="E571" i="13"/>
  <c r="D571" i="13"/>
  <c r="A571" i="13"/>
  <c r="E570" i="13"/>
  <c r="D570" i="13"/>
  <c r="A570" i="13"/>
  <c r="E569" i="13"/>
  <c r="D569" i="13"/>
  <c r="A569" i="13"/>
  <c r="E568" i="13"/>
  <c r="D568" i="13"/>
  <c r="A568" i="13"/>
  <c r="H566" i="13"/>
  <c r="D566" i="13"/>
  <c r="C566" i="13"/>
  <c r="A566" i="13"/>
  <c r="H565" i="13"/>
  <c r="D565" i="13"/>
  <c r="C565" i="13"/>
  <c r="A565" i="13"/>
  <c r="C563" i="13"/>
  <c r="C562" i="13"/>
  <c r="B541" i="13"/>
  <c r="H562" i="13"/>
  <c r="H563" i="13"/>
  <c r="B540" i="13"/>
  <c r="B535" i="13"/>
  <c r="A562" i="13"/>
  <c r="A563" i="13"/>
  <c r="H533" i="13"/>
  <c r="D533" i="13"/>
  <c r="C533" i="13"/>
  <c r="A533" i="13"/>
  <c r="H532" i="13"/>
  <c r="D532" i="13"/>
  <c r="C532" i="13"/>
  <c r="A532" i="13"/>
  <c r="H531" i="13"/>
  <c r="D531" i="13"/>
  <c r="C531" i="13"/>
  <c r="A531" i="13"/>
  <c r="E499" i="13"/>
  <c r="D499" i="13"/>
  <c r="A499" i="13"/>
  <c r="E498" i="13"/>
  <c r="D498" i="13"/>
  <c r="A498" i="13"/>
  <c r="E497" i="13"/>
  <c r="D497" i="13"/>
  <c r="A497" i="13"/>
  <c r="E496" i="13"/>
  <c r="D496" i="13"/>
  <c r="A496" i="13"/>
  <c r="E495" i="13"/>
  <c r="D495" i="13"/>
  <c r="A495" i="13"/>
  <c r="E494" i="13"/>
  <c r="D494" i="13"/>
  <c r="A494" i="13"/>
  <c r="E493" i="13"/>
  <c r="D493" i="13"/>
  <c r="A493" i="13"/>
  <c r="E492" i="13"/>
  <c r="D492" i="13"/>
  <c r="A492" i="13"/>
  <c r="E491" i="13"/>
  <c r="D491" i="13"/>
  <c r="A491" i="13"/>
  <c r="H489" i="13"/>
  <c r="D489" i="13"/>
  <c r="C489" i="13"/>
  <c r="A489" i="13"/>
  <c r="H488" i="13"/>
  <c r="D488" i="13"/>
  <c r="C488" i="13"/>
  <c r="A488" i="13"/>
  <c r="C486" i="13"/>
  <c r="C485" i="13"/>
  <c r="B464" i="13"/>
  <c r="H485" i="13"/>
  <c r="H486" i="13"/>
  <c r="B463" i="13"/>
  <c r="B458" i="13"/>
  <c r="A485" i="13"/>
  <c r="A486" i="13"/>
  <c r="H456" i="13"/>
  <c r="D456" i="13"/>
  <c r="C456" i="13"/>
  <c r="A456" i="13"/>
  <c r="H455" i="13"/>
  <c r="D455" i="13"/>
  <c r="C455" i="13"/>
  <c r="A455" i="13"/>
  <c r="H454" i="13"/>
  <c r="D454" i="13"/>
  <c r="C454" i="13"/>
  <c r="A454" i="13"/>
  <c r="E422" i="13"/>
  <c r="D422" i="13"/>
  <c r="A422" i="13"/>
  <c r="E421" i="13"/>
  <c r="D421" i="13"/>
  <c r="A421" i="13"/>
  <c r="E420" i="13"/>
  <c r="D420" i="13"/>
  <c r="A420" i="13"/>
  <c r="E419" i="13"/>
  <c r="D419" i="13"/>
  <c r="A419" i="13"/>
  <c r="E418" i="13"/>
  <c r="D418" i="13"/>
  <c r="A418" i="13"/>
  <c r="E417" i="13"/>
  <c r="D417" i="13"/>
  <c r="A417" i="13"/>
  <c r="E416" i="13"/>
  <c r="D416" i="13"/>
  <c r="A416" i="13"/>
  <c r="E415" i="13"/>
  <c r="D415" i="13"/>
  <c r="A415" i="13"/>
  <c r="E414" i="13"/>
  <c r="D414" i="13"/>
  <c r="A414" i="13"/>
  <c r="H412" i="13"/>
  <c r="D412" i="13"/>
  <c r="C412" i="13"/>
  <c r="A412" i="13"/>
  <c r="H411" i="13"/>
  <c r="D411" i="13"/>
  <c r="C411" i="13"/>
  <c r="A411" i="13"/>
  <c r="C409" i="13"/>
  <c r="C408" i="13"/>
  <c r="B387" i="13"/>
  <c r="H408" i="13"/>
  <c r="H409" i="13"/>
  <c r="B386" i="13"/>
  <c r="B381" i="13"/>
  <c r="A408" i="13"/>
  <c r="A409" i="13"/>
  <c r="H379" i="13"/>
  <c r="D379" i="13"/>
  <c r="C379" i="13"/>
  <c r="A379" i="13"/>
  <c r="H378" i="13"/>
  <c r="D378" i="13"/>
  <c r="C378" i="13"/>
  <c r="A378" i="13"/>
  <c r="H377" i="13"/>
  <c r="D377" i="13"/>
  <c r="C377" i="13"/>
  <c r="A377" i="13"/>
  <c r="E345" i="13"/>
  <c r="D345" i="13"/>
  <c r="A345" i="13"/>
  <c r="E344" i="13"/>
  <c r="D344" i="13"/>
  <c r="A344" i="13"/>
  <c r="E343" i="13"/>
  <c r="D343" i="13"/>
  <c r="A343" i="13"/>
  <c r="E342" i="13"/>
  <c r="D342" i="13"/>
  <c r="A342" i="13"/>
  <c r="E341" i="13"/>
  <c r="D341" i="13"/>
  <c r="A341" i="13"/>
  <c r="E340" i="13"/>
  <c r="D340" i="13"/>
  <c r="A340" i="13"/>
  <c r="E339" i="13"/>
  <c r="D339" i="13"/>
  <c r="A339" i="13"/>
  <c r="E338" i="13"/>
  <c r="D338" i="13"/>
  <c r="A338" i="13"/>
  <c r="E337" i="13"/>
  <c r="D337" i="13"/>
  <c r="A337" i="13"/>
  <c r="H335" i="13"/>
  <c r="D335" i="13"/>
  <c r="C335" i="13"/>
  <c r="A335" i="13"/>
  <c r="H334" i="13"/>
  <c r="D334" i="13"/>
  <c r="C334" i="13"/>
  <c r="A334" i="13"/>
  <c r="C332" i="13"/>
  <c r="C331" i="13"/>
  <c r="B310" i="13"/>
  <c r="H331" i="13"/>
  <c r="H332" i="13"/>
  <c r="B309" i="13"/>
  <c r="B304" i="13"/>
  <c r="A331" i="13"/>
  <c r="A332" i="13"/>
  <c r="E268" i="13"/>
  <c r="E267" i="13"/>
  <c r="E266" i="13"/>
  <c r="E265" i="13"/>
  <c r="E264" i="13"/>
  <c r="E263" i="13"/>
  <c r="E262" i="13"/>
  <c r="E261" i="13"/>
  <c r="E260" i="13"/>
  <c r="H302" i="13"/>
  <c r="H301" i="13"/>
  <c r="H300" i="13"/>
  <c r="H258" i="13"/>
  <c r="H257" i="13"/>
  <c r="D302" i="13"/>
  <c r="D301" i="13"/>
  <c r="D300" i="13"/>
  <c r="D268" i="13"/>
  <c r="D267" i="13"/>
  <c r="D266" i="13"/>
  <c r="D265" i="13"/>
  <c r="D264" i="13"/>
  <c r="D263" i="13"/>
  <c r="D262" i="13"/>
  <c r="D261" i="13"/>
  <c r="D260" i="13"/>
  <c r="D258" i="13"/>
  <c r="C302" i="13"/>
  <c r="C301" i="13"/>
  <c r="C300" i="13"/>
  <c r="C258" i="13"/>
  <c r="A302" i="13"/>
  <c r="A301" i="13"/>
  <c r="A300" i="13"/>
  <c r="A268" i="13"/>
  <c r="A267" i="13"/>
  <c r="A266" i="13"/>
  <c r="A265" i="13"/>
  <c r="A264" i="13"/>
  <c r="A263" i="13"/>
  <c r="A262" i="13"/>
  <c r="A261" i="13"/>
  <c r="A260" i="13"/>
  <c r="A258" i="13"/>
  <c r="A257" i="13"/>
  <c r="C257" i="13"/>
  <c r="C255" i="13"/>
  <c r="C254" i="13"/>
  <c r="B233" i="13"/>
  <c r="H254" i="13"/>
  <c r="H255" i="13"/>
  <c r="B232" i="13"/>
  <c r="B227" i="13"/>
  <c r="A254" i="13"/>
  <c r="A255" i="13"/>
  <c r="H223" i="13"/>
  <c r="C223" i="13"/>
  <c r="A223" i="13"/>
  <c r="H221" i="13"/>
  <c r="C221" i="13"/>
  <c r="A221" i="13"/>
  <c r="H220" i="13"/>
  <c r="C220" i="13"/>
  <c r="A220" i="13"/>
  <c r="H219" i="13"/>
  <c r="D219" i="13"/>
  <c r="C219" i="13"/>
  <c r="B195" i="13"/>
  <c r="B194" i="13"/>
  <c r="B189" i="13"/>
  <c r="A219" i="13"/>
  <c r="H185" i="13"/>
  <c r="C185" i="13"/>
  <c r="A185" i="13"/>
  <c r="H183" i="13"/>
  <c r="C183" i="13"/>
  <c r="A183" i="13"/>
  <c r="H182" i="13"/>
  <c r="C182" i="13"/>
  <c r="A182" i="13"/>
  <c r="H181" i="13"/>
  <c r="D181" i="13"/>
  <c r="C181" i="13"/>
  <c r="B157" i="13"/>
  <c r="B156" i="13"/>
  <c r="B151" i="13"/>
  <c r="A181" i="13"/>
  <c r="H147" i="13"/>
  <c r="C147" i="13"/>
  <c r="A147" i="13"/>
  <c r="H145" i="13"/>
  <c r="C145" i="13"/>
  <c r="A145" i="13"/>
  <c r="H144" i="13"/>
  <c r="C144" i="13"/>
  <c r="A144" i="13"/>
  <c r="H143" i="13"/>
  <c r="D143" i="13"/>
  <c r="C143" i="13"/>
  <c r="B119" i="13"/>
  <c r="B118" i="13"/>
  <c r="B113" i="13"/>
  <c r="A143" i="13"/>
  <c r="H109" i="13"/>
  <c r="C109" i="13"/>
  <c r="A109" i="13"/>
  <c r="H107" i="13"/>
  <c r="C107" i="13"/>
  <c r="A107" i="13"/>
  <c r="H106" i="13"/>
  <c r="C106" i="13"/>
  <c r="A106" i="13"/>
  <c r="H105" i="13"/>
  <c r="D105" i="13"/>
  <c r="C105" i="13"/>
  <c r="B81" i="13"/>
  <c r="B80" i="13"/>
  <c r="B75" i="13"/>
  <c r="A105" i="13"/>
  <c r="H71" i="13"/>
  <c r="C71" i="13"/>
  <c r="A71" i="13"/>
  <c r="H70" i="13"/>
  <c r="C70" i="13"/>
  <c r="A70" i="13"/>
  <c r="H69" i="13"/>
  <c r="C69" i="13"/>
  <c r="A69" i="13"/>
  <c r="H34" i="13"/>
  <c r="H33" i="13"/>
  <c r="H32" i="13"/>
  <c r="A34" i="13"/>
  <c r="A33" i="13"/>
  <c r="A32" i="13"/>
  <c r="C34" i="13"/>
  <c r="C33" i="13"/>
  <c r="C32" i="13"/>
  <c r="H68" i="13"/>
  <c r="C68" i="13"/>
  <c r="B44" i="13"/>
  <c r="B43" i="13"/>
  <c r="B38" i="13"/>
  <c r="A68" i="13"/>
  <c r="H31" i="13"/>
  <c r="D31" i="13"/>
  <c r="C31" i="13"/>
  <c r="B7" i="13"/>
  <c r="B6" i="13"/>
  <c r="B1" i="13"/>
  <c r="A31" i="13"/>
  <c r="H489" i="12"/>
  <c r="D489" i="12"/>
  <c r="C489" i="12"/>
  <c r="A489" i="12"/>
  <c r="D487" i="12"/>
  <c r="C487" i="12"/>
  <c r="H446" i="12"/>
  <c r="D446" i="12"/>
  <c r="C446" i="12"/>
  <c r="A446" i="12"/>
  <c r="D444" i="12"/>
  <c r="C444" i="12"/>
  <c r="H403" i="12"/>
  <c r="D403" i="12"/>
  <c r="C403" i="12"/>
  <c r="A403" i="12"/>
  <c r="D401" i="12"/>
  <c r="C401" i="12"/>
  <c r="H360" i="12"/>
  <c r="D360" i="12"/>
  <c r="C360" i="12"/>
  <c r="A360" i="12"/>
  <c r="D358" i="12"/>
  <c r="C358" i="12"/>
  <c r="H317" i="12"/>
  <c r="D317" i="12"/>
  <c r="C317" i="12"/>
  <c r="A317" i="12"/>
  <c r="H315" i="12"/>
  <c r="D315" i="12"/>
  <c r="C315" i="12"/>
  <c r="A315" i="12"/>
  <c r="H274" i="12"/>
  <c r="D274" i="12"/>
  <c r="C274" i="12"/>
  <c r="A274" i="12"/>
  <c r="H272" i="12"/>
  <c r="D272" i="12"/>
  <c r="C272" i="12"/>
  <c r="A272" i="12"/>
  <c r="H231" i="12"/>
  <c r="D231" i="12"/>
  <c r="C231" i="12"/>
  <c r="A231" i="12"/>
  <c r="H229" i="12"/>
  <c r="D229" i="12"/>
  <c r="C229" i="12"/>
  <c r="A229" i="12"/>
  <c r="C188" i="12"/>
  <c r="C186" i="12"/>
  <c r="D188" i="12"/>
  <c r="D186" i="12"/>
  <c r="H188" i="12"/>
  <c r="H186" i="12"/>
  <c r="A188" i="12"/>
  <c r="A186" i="12"/>
  <c r="B163" i="12"/>
  <c r="H184" i="12"/>
  <c r="H185" i="12"/>
  <c r="D227" i="12"/>
  <c r="D270" i="12"/>
  <c r="D313" i="12"/>
  <c r="D356" i="12"/>
  <c r="D399" i="12"/>
  <c r="D442" i="12"/>
  <c r="D485" i="12"/>
  <c r="D184" i="12"/>
  <c r="H36" i="12"/>
  <c r="C36" i="12"/>
  <c r="A36" i="12"/>
  <c r="B139" i="11"/>
  <c r="B95" i="11"/>
  <c r="B51" i="11"/>
  <c r="B7" i="11"/>
  <c r="B139" i="10"/>
  <c r="B95" i="10"/>
  <c r="B51" i="10"/>
  <c r="B7" i="10"/>
  <c r="B443" i="9"/>
  <c r="H465" i="9"/>
  <c r="H466" i="9"/>
  <c r="B406" i="9"/>
  <c r="B369" i="9"/>
  <c r="H391" i="9"/>
  <c r="H392" i="9"/>
  <c r="B332" i="9"/>
  <c r="H354" i="9"/>
  <c r="H355" i="9"/>
  <c r="B295" i="9"/>
  <c r="B258" i="9"/>
  <c r="B221" i="9"/>
  <c r="H243" i="9"/>
  <c r="H244" i="9"/>
  <c r="B184" i="9"/>
  <c r="B139" i="9"/>
  <c r="B95" i="9"/>
  <c r="B51" i="9"/>
  <c r="B7" i="9"/>
  <c r="B115" i="8"/>
  <c r="B79" i="8"/>
  <c r="B43" i="8"/>
  <c r="B7" i="8"/>
  <c r="B138" i="6"/>
  <c r="H163" i="6"/>
  <c r="B95" i="6"/>
  <c r="H120" i="6" s="1"/>
  <c r="B52" i="6"/>
  <c r="H77" i="6"/>
  <c r="B9" i="6"/>
  <c r="H34" i="6"/>
  <c r="B124" i="12"/>
  <c r="B85" i="12"/>
  <c r="B46" i="12"/>
  <c r="B7" i="12"/>
  <c r="C486" i="12"/>
  <c r="C485" i="12"/>
  <c r="B464" i="12"/>
  <c r="H485" i="12"/>
  <c r="H486" i="12"/>
  <c r="B463" i="12"/>
  <c r="A485" i="12"/>
  <c r="C443" i="12"/>
  <c r="C442" i="12"/>
  <c r="B421" i="12"/>
  <c r="H442" i="12"/>
  <c r="H443" i="12"/>
  <c r="B420" i="12"/>
  <c r="C400" i="12"/>
  <c r="C399" i="12"/>
  <c r="B378" i="12"/>
  <c r="H399" i="12"/>
  <c r="H400" i="12"/>
  <c r="B377" i="12"/>
  <c r="C357" i="12"/>
  <c r="C356" i="12"/>
  <c r="B335" i="12"/>
  <c r="H356" i="12"/>
  <c r="H357" i="12"/>
  <c r="B334" i="12"/>
  <c r="A356" i="12"/>
  <c r="C314" i="12"/>
  <c r="C313" i="12"/>
  <c r="B292" i="12"/>
  <c r="H313" i="12"/>
  <c r="H314" i="12"/>
  <c r="B291" i="12"/>
  <c r="B286" i="12"/>
  <c r="A313" i="12"/>
  <c r="A314" i="12"/>
  <c r="C271" i="12"/>
  <c r="C270" i="12"/>
  <c r="B249" i="12"/>
  <c r="H270" i="12"/>
  <c r="H271" i="12"/>
  <c r="B248" i="12"/>
  <c r="B243" i="12"/>
  <c r="A270" i="12"/>
  <c r="A271" i="12"/>
  <c r="C228" i="12"/>
  <c r="C227" i="12"/>
  <c r="B206" i="12"/>
  <c r="H227" i="12"/>
  <c r="H228" i="12"/>
  <c r="B205" i="12"/>
  <c r="B200" i="12"/>
  <c r="A227" i="12"/>
  <c r="A228" i="12"/>
  <c r="C185" i="12"/>
  <c r="C184" i="12"/>
  <c r="B162" i="12"/>
  <c r="B157" i="12"/>
  <c r="A184" i="12"/>
  <c r="A185" i="12"/>
  <c r="H153" i="12"/>
  <c r="C153" i="12"/>
  <c r="A153" i="12"/>
  <c r="H151" i="12"/>
  <c r="C151" i="12"/>
  <c r="A151" i="12"/>
  <c r="H150" i="12"/>
  <c r="C150" i="12"/>
  <c r="A150" i="12"/>
  <c r="H149" i="12"/>
  <c r="C149" i="12"/>
  <c r="A149" i="12"/>
  <c r="H148" i="12"/>
  <c r="D148" i="12"/>
  <c r="C148" i="12"/>
  <c r="B123" i="12"/>
  <c r="B118" i="12"/>
  <c r="A148" i="12"/>
  <c r="H114" i="12"/>
  <c r="C114" i="12"/>
  <c r="A114" i="12"/>
  <c r="H112" i="12"/>
  <c r="C112" i="12"/>
  <c r="A112" i="12"/>
  <c r="H111" i="12"/>
  <c r="C111" i="12"/>
  <c r="A111" i="12"/>
  <c r="H110" i="12"/>
  <c r="C110" i="12"/>
  <c r="A110" i="12"/>
  <c r="H109" i="12"/>
  <c r="D109" i="12"/>
  <c r="C109" i="12"/>
  <c r="B84" i="12"/>
  <c r="B79" i="12"/>
  <c r="A109" i="12"/>
  <c r="H75" i="12"/>
  <c r="C75" i="12"/>
  <c r="A75" i="12"/>
  <c r="H73" i="12"/>
  <c r="C73" i="12"/>
  <c r="A73" i="12"/>
  <c r="H72" i="12"/>
  <c r="C72" i="12"/>
  <c r="A72" i="12"/>
  <c r="H71" i="12"/>
  <c r="C71" i="12"/>
  <c r="A71" i="12"/>
  <c r="H70" i="12"/>
  <c r="D70" i="12"/>
  <c r="C70" i="12"/>
  <c r="B45" i="12"/>
  <c r="B40" i="12"/>
  <c r="A70" i="12"/>
  <c r="H34" i="12"/>
  <c r="C34" i="12"/>
  <c r="A34" i="12"/>
  <c r="H33" i="12"/>
  <c r="C33" i="12"/>
  <c r="A33" i="12"/>
  <c r="H32" i="12"/>
  <c r="C32" i="12"/>
  <c r="A32" i="12"/>
  <c r="H31" i="12"/>
  <c r="D31" i="12"/>
  <c r="C31" i="12"/>
  <c r="B6" i="12"/>
  <c r="B1" i="12"/>
  <c r="A31" i="12"/>
  <c r="H471" i="11"/>
  <c r="D471" i="11"/>
  <c r="C471" i="11"/>
  <c r="A471" i="11"/>
  <c r="H470" i="11"/>
  <c r="D470" i="11"/>
  <c r="C470" i="11"/>
  <c r="A470" i="11"/>
  <c r="H469" i="11"/>
  <c r="D469" i="11"/>
  <c r="C469" i="11"/>
  <c r="A469" i="11"/>
  <c r="H468" i="11"/>
  <c r="D468" i="11"/>
  <c r="C468" i="11"/>
  <c r="A468" i="11"/>
  <c r="D467" i="11"/>
  <c r="C467" i="11"/>
  <c r="C465" i="11"/>
  <c r="C464" i="11"/>
  <c r="B442" i="11"/>
  <c r="H464" i="11"/>
  <c r="H465" i="11"/>
  <c r="B441" i="11"/>
  <c r="A464" i="11"/>
  <c r="H434" i="11"/>
  <c r="D434" i="11"/>
  <c r="C434" i="11"/>
  <c r="A434" i="11"/>
  <c r="H433" i="11"/>
  <c r="D433" i="11"/>
  <c r="C433" i="11"/>
  <c r="A433" i="11"/>
  <c r="H432" i="11"/>
  <c r="D432" i="11"/>
  <c r="C432" i="11"/>
  <c r="A432" i="11"/>
  <c r="H431" i="11"/>
  <c r="D431" i="11"/>
  <c r="C431" i="11"/>
  <c r="A431" i="11"/>
  <c r="D430" i="11"/>
  <c r="C430" i="11"/>
  <c r="C428" i="11"/>
  <c r="C427" i="11"/>
  <c r="B405" i="11"/>
  <c r="H427" i="11"/>
  <c r="H428" i="11"/>
  <c r="B404" i="11"/>
  <c r="H397" i="11"/>
  <c r="D397" i="11"/>
  <c r="C397" i="11"/>
  <c r="A397" i="11"/>
  <c r="H396" i="11"/>
  <c r="D396" i="11"/>
  <c r="C396" i="11"/>
  <c r="A396" i="11"/>
  <c r="H395" i="11"/>
  <c r="D395" i="11"/>
  <c r="C395" i="11"/>
  <c r="A395" i="11"/>
  <c r="H394" i="11"/>
  <c r="D394" i="11"/>
  <c r="C394" i="11"/>
  <c r="A394" i="11"/>
  <c r="D393" i="11"/>
  <c r="C393" i="11"/>
  <c r="C391" i="11"/>
  <c r="C390" i="11"/>
  <c r="B368" i="11"/>
  <c r="H390" i="11"/>
  <c r="H391" i="11"/>
  <c r="B367" i="11"/>
  <c r="A390" i="11"/>
  <c r="H360" i="11"/>
  <c r="A360" i="11"/>
  <c r="H359" i="11"/>
  <c r="A359" i="11"/>
  <c r="H358" i="11"/>
  <c r="A358" i="11"/>
  <c r="H357" i="11"/>
  <c r="D357" i="11"/>
  <c r="C357" i="11"/>
  <c r="A357" i="11"/>
  <c r="D356" i="11"/>
  <c r="C356" i="11"/>
  <c r="C354" i="11"/>
  <c r="C353" i="11"/>
  <c r="B331" i="11"/>
  <c r="H353" i="11"/>
  <c r="H354" i="11"/>
  <c r="B330" i="11"/>
  <c r="A353" i="11"/>
  <c r="H323" i="11"/>
  <c r="D323" i="11"/>
  <c r="C323" i="11"/>
  <c r="A323" i="11"/>
  <c r="H322" i="11"/>
  <c r="D322" i="11"/>
  <c r="C322" i="11"/>
  <c r="A322" i="11"/>
  <c r="H321" i="11"/>
  <c r="D321" i="11"/>
  <c r="C321" i="11"/>
  <c r="A321" i="11"/>
  <c r="H320" i="11"/>
  <c r="D320" i="11"/>
  <c r="C320" i="11"/>
  <c r="A320" i="11"/>
  <c r="H319" i="11"/>
  <c r="D319" i="11"/>
  <c r="C319" i="11"/>
  <c r="A319" i="11"/>
  <c r="C317" i="11"/>
  <c r="C316" i="11"/>
  <c r="B294" i="11"/>
  <c r="H316" i="11"/>
  <c r="H317" i="11"/>
  <c r="B293" i="11"/>
  <c r="B288" i="11"/>
  <c r="A316" i="11"/>
  <c r="A317" i="11"/>
  <c r="H286" i="11"/>
  <c r="D286" i="11"/>
  <c r="C286" i="11"/>
  <c r="A286" i="11"/>
  <c r="H285" i="11"/>
  <c r="D285" i="11"/>
  <c r="C285" i="11"/>
  <c r="A285" i="11"/>
  <c r="H284" i="11"/>
  <c r="D284" i="11"/>
  <c r="C284" i="11"/>
  <c r="A284" i="11"/>
  <c r="H283" i="11"/>
  <c r="D283" i="11"/>
  <c r="C283" i="11"/>
  <c r="A283" i="11"/>
  <c r="H282" i="11"/>
  <c r="D282" i="11"/>
  <c r="C282" i="11"/>
  <c r="A282" i="11"/>
  <c r="C280" i="11"/>
  <c r="C279" i="11"/>
  <c r="B257" i="11"/>
  <c r="H279" i="11"/>
  <c r="H280" i="11"/>
  <c r="B256" i="11"/>
  <c r="B251" i="11"/>
  <c r="A279" i="11"/>
  <c r="A280" i="11"/>
  <c r="H249" i="11"/>
  <c r="D249" i="11"/>
  <c r="C249" i="11"/>
  <c r="A249" i="11"/>
  <c r="H248" i="11"/>
  <c r="D248" i="11"/>
  <c r="C248" i="11"/>
  <c r="A248" i="11"/>
  <c r="H247" i="11"/>
  <c r="D247" i="11"/>
  <c r="C247" i="11"/>
  <c r="A247" i="11"/>
  <c r="H246" i="11"/>
  <c r="D246" i="11"/>
  <c r="C246" i="11"/>
  <c r="A246" i="11"/>
  <c r="H245" i="11"/>
  <c r="D245" i="11"/>
  <c r="C245" i="11"/>
  <c r="A245" i="11"/>
  <c r="C243" i="11"/>
  <c r="C242" i="11"/>
  <c r="B220" i="11"/>
  <c r="H242" i="11"/>
  <c r="H243" i="11"/>
  <c r="B219" i="11"/>
  <c r="B214" i="11"/>
  <c r="A242" i="11"/>
  <c r="A243" i="11"/>
  <c r="H212" i="11"/>
  <c r="A212" i="11"/>
  <c r="H211" i="11"/>
  <c r="A211" i="11"/>
  <c r="H210" i="11"/>
  <c r="D210" i="11"/>
  <c r="C210" i="11"/>
  <c r="A210" i="11"/>
  <c r="H209" i="11"/>
  <c r="D209" i="11"/>
  <c r="C209" i="11"/>
  <c r="A209" i="11"/>
  <c r="H208" i="11"/>
  <c r="D208" i="11"/>
  <c r="C208" i="11"/>
  <c r="A208" i="11"/>
  <c r="C206" i="11"/>
  <c r="C205" i="11"/>
  <c r="B183" i="11"/>
  <c r="H205" i="11"/>
  <c r="H206" i="11"/>
  <c r="B182" i="11"/>
  <c r="B177" i="11"/>
  <c r="A205" i="11"/>
  <c r="A206" i="11"/>
  <c r="H173" i="11"/>
  <c r="C173" i="11"/>
  <c r="A173" i="11"/>
  <c r="H172" i="11"/>
  <c r="C172" i="11"/>
  <c r="A172" i="11"/>
  <c r="H171" i="11"/>
  <c r="C171" i="11"/>
  <c r="A171" i="11"/>
  <c r="H170" i="11"/>
  <c r="C170" i="11"/>
  <c r="A170" i="11"/>
  <c r="H169" i="11"/>
  <c r="C169" i="11"/>
  <c r="A169" i="11"/>
  <c r="H168" i="11"/>
  <c r="C168" i="11"/>
  <c r="A168" i="11"/>
  <c r="H166" i="11"/>
  <c r="C166" i="11"/>
  <c r="A166" i="11"/>
  <c r="H165" i="11"/>
  <c r="C165" i="11"/>
  <c r="A165" i="11"/>
  <c r="H164" i="11"/>
  <c r="D164" i="11"/>
  <c r="C164" i="11"/>
  <c r="B138" i="11"/>
  <c r="B133" i="11"/>
  <c r="A164" i="11"/>
  <c r="H129" i="11"/>
  <c r="C129" i="11"/>
  <c r="A129" i="11"/>
  <c r="H128" i="11"/>
  <c r="C128" i="11"/>
  <c r="A128" i="11"/>
  <c r="H127" i="11"/>
  <c r="C127" i="11"/>
  <c r="A127" i="11"/>
  <c r="H126" i="11"/>
  <c r="C126" i="11"/>
  <c r="A126" i="11"/>
  <c r="H125" i="11"/>
  <c r="C125" i="11"/>
  <c r="A125" i="11"/>
  <c r="H124" i="11"/>
  <c r="C124" i="11"/>
  <c r="A124" i="11"/>
  <c r="H122" i="11"/>
  <c r="C122" i="11"/>
  <c r="A122" i="11"/>
  <c r="H121" i="11"/>
  <c r="C121" i="11"/>
  <c r="A121" i="11"/>
  <c r="H120" i="11"/>
  <c r="D120" i="11"/>
  <c r="C120" i="11"/>
  <c r="B94" i="11"/>
  <c r="B89" i="11"/>
  <c r="A120" i="11"/>
  <c r="H85" i="11"/>
  <c r="C85" i="11"/>
  <c r="A85" i="11"/>
  <c r="H84" i="11"/>
  <c r="C84" i="11"/>
  <c r="A84" i="11"/>
  <c r="H83" i="11"/>
  <c r="C83" i="11"/>
  <c r="A83" i="11"/>
  <c r="H82" i="11"/>
  <c r="C82" i="11"/>
  <c r="A82" i="11"/>
  <c r="H81" i="11"/>
  <c r="C81" i="11"/>
  <c r="A81" i="11"/>
  <c r="H80" i="11"/>
  <c r="C80" i="11"/>
  <c r="A80" i="11"/>
  <c r="H78" i="11"/>
  <c r="C78" i="11"/>
  <c r="A78" i="11"/>
  <c r="H77" i="11"/>
  <c r="C77" i="11"/>
  <c r="A77" i="11"/>
  <c r="H76" i="11"/>
  <c r="D76" i="11"/>
  <c r="C76" i="11"/>
  <c r="B50" i="11"/>
  <c r="B45" i="11"/>
  <c r="A76" i="11"/>
  <c r="H41" i="11"/>
  <c r="C41" i="11"/>
  <c r="A41" i="11"/>
  <c r="H40" i="11"/>
  <c r="C40" i="11"/>
  <c r="A40" i="11"/>
  <c r="H39" i="11"/>
  <c r="C39" i="11"/>
  <c r="A39" i="11"/>
  <c r="H38" i="11"/>
  <c r="C38" i="11"/>
  <c r="A38" i="11"/>
  <c r="H37" i="11"/>
  <c r="C37" i="11"/>
  <c r="A37" i="11"/>
  <c r="H36" i="11"/>
  <c r="C36" i="11"/>
  <c r="A36" i="11"/>
  <c r="H34" i="11"/>
  <c r="C34" i="11"/>
  <c r="A34" i="11"/>
  <c r="H33" i="11"/>
  <c r="C33" i="11"/>
  <c r="A33" i="11"/>
  <c r="H32" i="11"/>
  <c r="D32" i="11"/>
  <c r="C32" i="11"/>
  <c r="B6" i="11"/>
  <c r="B1" i="11"/>
  <c r="A32" i="11"/>
  <c r="H471" i="10"/>
  <c r="D471" i="10"/>
  <c r="C471" i="10"/>
  <c r="A471" i="10"/>
  <c r="H470" i="10"/>
  <c r="D470" i="10"/>
  <c r="C470" i="10"/>
  <c r="A470" i="10"/>
  <c r="H469" i="10"/>
  <c r="D469" i="10"/>
  <c r="C469" i="10"/>
  <c r="A469" i="10"/>
  <c r="H468" i="10"/>
  <c r="D468" i="10"/>
  <c r="C468" i="10"/>
  <c r="A468" i="10"/>
  <c r="D467" i="10"/>
  <c r="C467" i="10"/>
  <c r="C465" i="10"/>
  <c r="C464" i="10"/>
  <c r="B442" i="10"/>
  <c r="H464" i="10"/>
  <c r="H465" i="10"/>
  <c r="B441" i="10"/>
  <c r="A464" i="10"/>
  <c r="H434" i="10"/>
  <c r="D434" i="10"/>
  <c r="C434" i="10"/>
  <c r="A434" i="10"/>
  <c r="H433" i="10"/>
  <c r="D433" i="10"/>
  <c r="C433" i="10"/>
  <c r="A433" i="10"/>
  <c r="H432" i="10"/>
  <c r="D432" i="10"/>
  <c r="C432" i="10"/>
  <c r="A432" i="10"/>
  <c r="H431" i="10"/>
  <c r="D431" i="10"/>
  <c r="C431" i="10"/>
  <c r="A431" i="10"/>
  <c r="D430" i="10"/>
  <c r="C430" i="10"/>
  <c r="C428" i="10"/>
  <c r="C427" i="10"/>
  <c r="B405" i="10"/>
  <c r="H427" i="10"/>
  <c r="H428" i="10"/>
  <c r="B404" i="10"/>
  <c r="A427" i="10"/>
  <c r="H397" i="10"/>
  <c r="D397" i="10"/>
  <c r="C397" i="10"/>
  <c r="A397" i="10"/>
  <c r="H396" i="10"/>
  <c r="D396" i="10"/>
  <c r="C396" i="10"/>
  <c r="A396" i="10"/>
  <c r="H395" i="10"/>
  <c r="D395" i="10"/>
  <c r="C395" i="10"/>
  <c r="A395" i="10"/>
  <c r="H394" i="10"/>
  <c r="D394" i="10"/>
  <c r="C394" i="10"/>
  <c r="A394" i="10"/>
  <c r="D393" i="10"/>
  <c r="C393" i="10"/>
  <c r="C391" i="10"/>
  <c r="C390" i="10"/>
  <c r="B368" i="10"/>
  <c r="H390" i="10"/>
  <c r="H391" i="10"/>
  <c r="B367" i="10"/>
  <c r="A390" i="10"/>
  <c r="H360" i="10"/>
  <c r="A360" i="10"/>
  <c r="H359" i="10"/>
  <c r="A359" i="10"/>
  <c r="H358" i="10"/>
  <c r="D358" i="10"/>
  <c r="C358" i="10"/>
  <c r="A358" i="10"/>
  <c r="H357" i="10"/>
  <c r="D357" i="10"/>
  <c r="C357" i="10"/>
  <c r="A357" i="10"/>
  <c r="D356" i="10"/>
  <c r="C356" i="10"/>
  <c r="C354" i="10"/>
  <c r="C353" i="10"/>
  <c r="B331" i="10"/>
  <c r="H353" i="10"/>
  <c r="H354" i="10"/>
  <c r="B330" i="10"/>
  <c r="H323" i="10"/>
  <c r="D323" i="10"/>
  <c r="C323" i="10"/>
  <c r="A323" i="10"/>
  <c r="H322" i="10"/>
  <c r="D322" i="10"/>
  <c r="C322" i="10"/>
  <c r="A322" i="10"/>
  <c r="H321" i="10"/>
  <c r="D321" i="10"/>
  <c r="C321" i="10"/>
  <c r="A321" i="10"/>
  <c r="H320" i="10"/>
  <c r="D320" i="10"/>
  <c r="C320" i="10"/>
  <c r="A320" i="10"/>
  <c r="H319" i="10"/>
  <c r="D319" i="10"/>
  <c r="C319" i="10"/>
  <c r="A319" i="10"/>
  <c r="C317" i="10"/>
  <c r="C316" i="10"/>
  <c r="B294" i="10"/>
  <c r="H316" i="10"/>
  <c r="H317" i="10"/>
  <c r="B293" i="10"/>
  <c r="B288" i="10"/>
  <c r="A316" i="10"/>
  <c r="A317" i="10"/>
  <c r="H286" i="10"/>
  <c r="D286" i="10"/>
  <c r="C286" i="10"/>
  <c r="A286" i="10"/>
  <c r="H285" i="10"/>
  <c r="D285" i="10"/>
  <c r="C285" i="10"/>
  <c r="A285" i="10"/>
  <c r="H284" i="10"/>
  <c r="D284" i="10"/>
  <c r="C284" i="10"/>
  <c r="A284" i="10"/>
  <c r="H283" i="10"/>
  <c r="D283" i="10"/>
  <c r="C283" i="10"/>
  <c r="A283" i="10"/>
  <c r="H282" i="10"/>
  <c r="D282" i="10"/>
  <c r="C282" i="10"/>
  <c r="A282" i="10"/>
  <c r="C280" i="10"/>
  <c r="C279" i="10"/>
  <c r="B257" i="10"/>
  <c r="H279" i="10"/>
  <c r="H280" i="10"/>
  <c r="B256" i="10"/>
  <c r="B251" i="10"/>
  <c r="A279" i="10"/>
  <c r="A280" i="10"/>
  <c r="H249" i="10"/>
  <c r="D249" i="10"/>
  <c r="C249" i="10"/>
  <c r="A249" i="10"/>
  <c r="H248" i="10"/>
  <c r="D248" i="10"/>
  <c r="C248" i="10"/>
  <c r="A248" i="10"/>
  <c r="H247" i="10"/>
  <c r="D247" i="10"/>
  <c r="C247" i="10"/>
  <c r="A247" i="10"/>
  <c r="H246" i="10"/>
  <c r="D246" i="10"/>
  <c r="C246" i="10"/>
  <c r="A246" i="10"/>
  <c r="H245" i="10"/>
  <c r="D245" i="10"/>
  <c r="C245" i="10"/>
  <c r="A245" i="10"/>
  <c r="C243" i="10"/>
  <c r="C242" i="10"/>
  <c r="B220" i="10"/>
  <c r="H242" i="10"/>
  <c r="H243" i="10"/>
  <c r="B219" i="10"/>
  <c r="B214" i="10"/>
  <c r="A242" i="10"/>
  <c r="A243" i="10"/>
  <c r="H212" i="10"/>
  <c r="A212" i="10"/>
  <c r="H211" i="10"/>
  <c r="A211" i="10"/>
  <c r="H210" i="10"/>
  <c r="D210" i="10"/>
  <c r="C210" i="10"/>
  <c r="A210" i="10"/>
  <c r="H209" i="10"/>
  <c r="D209" i="10"/>
  <c r="C209" i="10"/>
  <c r="A209" i="10"/>
  <c r="H208" i="10"/>
  <c r="D208" i="10"/>
  <c r="C208" i="10"/>
  <c r="A208" i="10"/>
  <c r="C206" i="10"/>
  <c r="C205" i="10"/>
  <c r="B183" i="10"/>
  <c r="H205" i="10"/>
  <c r="H206" i="10"/>
  <c r="B182" i="10"/>
  <c r="B177" i="10"/>
  <c r="A205" i="10"/>
  <c r="A206" i="10"/>
  <c r="H173" i="10"/>
  <c r="C173" i="10"/>
  <c r="A173" i="10"/>
  <c r="H172" i="10"/>
  <c r="C172" i="10"/>
  <c r="A172" i="10"/>
  <c r="H171" i="10"/>
  <c r="C171" i="10"/>
  <c r="A171" i="10"/>
  <c r="H170" i="10"/>
  <c r="C170" i="10"/>
  <c r="A170" i="10"/>
  <c r="H169" i="10"/>
  <c r="C169" i="10"/>
  <c r="A169" i="10"/>
  <c r="H168" i="10"/>
  <c r="C168" i="10"/>
  <c r="A168" i="10"/>
  <c r="H166" i="10"/>
  <c r="C166" i="10"/>
  <c r="A166" i="10"/>
  <c r="H165" i="10"/>
  <c r="C165" i="10"/>
  <c r="A165" i="10"/>
  <c r="H164" i="10"/>
  <c r="D164" i="10"/>
  <c r="C164" i="10"/>
  <c r="B138" i="10"/>
  <c r="B133" i="10"/>
  <c r="A164" i="10"/>
  <c r="H129" i="10"/>
  <c r="C129" i="10"/>
  <c r="A129" i="10"/>
  <c r="H128" i="10"/>
  <c r="C128" i="10"/>
  <c r="A128" i="10"/>
  <c r="H127" i="10"/>
  <c r="C127" i="10"/>
  <c r="A127" i="10"/>
  <c r="H126" i="10"/>
  <c r="C126" i="10"/>
  <c r="A126" i="10"/>
  <c r="H125" i="10"/>
  <c r="C125" i="10"/>
  <c r="A125" i="10"/>
  <c r="H124" i="10"/>
  <c r="C124" i="10"/>
  <c r="A124" i="10"/>
  <c r="H122" i="10"/>
  <c r="C122" i="10"/>
  <c r="A122" i="10"/>
  <c r="H121" i="10"/>
  <c r="C121" i="10"/>
  <c r="A121" i="10"/>
  <c r="H120" i="10"/>
  <c r="D120" i="10"/>
  <c r="C120" i="10"/>
  <c r="B94" i="10"/>
  <c r="B89" i="10"/>
  <c r="A120" i="10"/>
  <c r="H85" i="10"/>
  <c r="C85" i="10"/>
  <c r="A85" i="10"/>
  <c r="H84" i="10"/>
  <c r="C84" i="10"/>
  <c r="A84" i="10"/>
  <c r="H83" i="10"/>
  <c r="C83" i="10"/>
  <c r="A83" i="10"/>
  <c r="H82" i="10"/>
  <c r="C82" i="10"/>
  <c r="A82" i="10"/>
  <c r="H81" i="10"/>
  <c r="C81" i="10"/>
  <c r="A81" i="10"/>
  <c r="H80" i="10"/>
  <c r="C80" i="10"/>
  <c r="A80" i="10"/>
  <c r="H78" i="10"/>
  <c r="C78" i="10"/>
  <c r="A78" i="10"/>
  <c r="H77" i="10"/>
  <c r="C77" i="10"/>
  <c r="A77" i="10"/>
  <c r="H76" i="10"/>
  <c r="D76" i="10"/>
  <c r="C76" i="10"/>
  <c r="B50" i="10"/>
  <c r="B45" i="10"/>
  <c r="A76" i="10"/>
  <c r="H41" i="10"/>
  <c r="C41" i="10"/>
  <c r="A41" i="10"/>
  <c r="H40" i="10"/>
  <c r="C40" i="10"/>
  <c r="A40" i="10"/>
  <c r="H39" i="10"/>
  <c r="C39" i="10"/>
  <c r="A39" i="10"/>
  <c r="H38" i="10"/>
  <c r="C38" i="10"/>
  <c r="A38" i="10"/>
  <c r="H37" i="10"/>
  <c r="C37" i="10"/>
  <c r="A37" i="10"/>
  <c r="H36" i="10"/>
  <c r="C36" i="10"/>
  <c r="A36" i="10"/>
  <c r="H34" i="10"/>
  <c r="C34" i="10"/>
  <c r="A34" i="10"/>
  <c r="H33" i="10"/>
  <c r="C33" i="10"/>
  <c r="A33" i="10"/>
  <c r="H32" i="10"/>
  <c r="D32" i="10"/>
  <c r="C32" i="10"/>
  <c r="B6" i="10"/>
  <c r="B1" i="10"/>
  <c r="A32" i="10"/>
  <c r="H469" i="9"/>
  <c r="D469" i="9"/>
  <c r="C469" i="9"/>
  <c r="A469" i="9"/>
  <c r="D468" i="9"/>
  <c r="C468" i="9"/>
  <c r="H432" i="9"/>
  <c r="D432" i="9"/>
  <c r="C432" i="9"/>
  <c r="A432" i="9"/>
  <c r="D431" i="9"/>
  <c r="C431" i="9"/>
  <c r="H395" i="9"/>
  <c r="D395" i="9"/>
  <c r="C395" i="9"/>
  <c r="A395" i="9"/>
  <c r="D394" i="9"/>
  <c r="C394" i="9"/>
  <c r="H358" i="9"/>
  <c r="D358" i="9"/>
  <c r="C358" i="9"/>
  <c r="A358" i="9"/>
  <c r="D357" i="9"/>
  <c r="C357" i="9"/>
  <c r="H321" i="9"/>
  <c r="D321" i="9"/>
  <c r="C321" i="9"/>
  <c r="A321" i="9"/>
  <c r="H320" i="9"/>
  <c r="D320" i="9"/>
  <c r="C320" i="9"/>
  <c r="A320" i="9"/>
  <c r="H284" i="9"/>
  <c r="D284" i="9"/>
  <c r="C284" i="9"/>
  <c r="A284" i="9"/>
  <c r="H283" i="9"/>
  <c r="D283" i="9"/>
  <c r="C283" i="9"/>
  <c r="A283" i="9"/>
  <c r="H247" i="9"/>
  <c r="D247" i="9"/>
  <c r="C247" i="9"/>
  <c r="A247" i="9"/>
  <c r="H246" i="9"/>
  <c r="D246" i="9"/>
  <c r="C246" i="9"/>
  <c r="A246" i="9"/>
  <c r="H280" i="8"/>
  <c r="D280" i="8"/>
  <c r="C280" i="8"/>
  <c r="A280" i="8"/>
  <c r="H245" i="8"/>
  <c r="D245" i="8"/>
  <c r="C245" i="8"/>
  <c r="A245" i="8"/>
  <c r="H210" i="8"/>
  <c r="D210" i="8"/>
  <c r="C210" i="8"/>
  <c r="A210" i="8"/>
  <c r="H317" i="6"/>
  <c r="D317" i="6"/>
  <c r="C317" i="6"/>
  <c r="A317" i="6"/>
  <c r="H316" i="6"/>
  <c r="D316" i="6"/>
  <c r="C316" i="6"/>
  <c r="A316" i="6"/>
  <c r="H280" i="6"/>
  <c r="D280" i="6"/>
  <c r="C280" i="6"/>
  <c r="A280" i="6"/>
  <c r="H279" i="6"/>
  <c r="D279" i="6"/>
  <c r="C279" i="6"/>
  <c r="A279" i="6"/>
  <c r="H243" i="6"/>
  <c r="D243" i="6"/>
  <c r="C243" i="6"/>
  <c r="A243" i="6"/>
  <c r="H242" i="6"/>
  <c r="D242" i="6"/>
  <c r="C242" i="6"/>
  <c r="A242" i="6"/>
  <c r="H472" i="9"/>
  <c r="D472" i="9"/>
  <c r="C472" i="9"/>
  <c r="A472" i="9"/>
  <c r="H471" i="9"/>
  <c r="D471" i="9"/>
  <c r="C471" i="9"/>
  <c r="A471" i="9"/>
  <c r="H470" i="9"/>
  <c r="D470" i="9"/>
  <c r="C470" i="9"/>
  <c r="A470" i="9"/>
  <c r="C466" i="9"/>
  <c r="C465" i="9"/>
  <c r="B442" i="9"/>
  <c r="A465" i="9"/>
  <c r="H435" i="9"/>
  <c r="D435" i="9"/>
  <c r="C435" i="9"/>
  <c r="A435" i="9"/>
  <c r="H434" i="9"/>
  <c r="D434" i="9"/>
  <c r="C434" i="9"/>
  <c r="A434" i="9"/>
  <c r="H433" i="9"/>
  <c r="D433" i="9"/>
  <c r="C433" i="9"/>
  <c r="A433" i="9"/>
  <c r="C429" i="9"/>
  <c r="C428" i="9"/>
  <c r="H428" i="9"/>
  <c r="H429" i="9"/>
  <c r="B405" i="9"/>
  <c r="A428" i="9"/>
  <c r="H398" i="9"/>
  <c r="D398" i="9"/>
  <c r="C398" i="9"/>
  <c r="A398" i="9"/>
  <c r="H397" i="9"/>
  <c r="D397" i="9"/>
  <c r="C397" i="9"/>
  <c r="A397" i="9"/>
  <c r="H396" i="9"/>
  <c r="D396" i="9"/>
  <c r="C396" i="9"/>
  <c r="A396" i="9"/>
  <c r="C392" i="9"/>
  <c r="C391" i="9"/>
  <c r="B368" i="9"/>
  <c r="H361" i="9"/>
  <c r="A361" i="9"/>
  <c r="H360" i="9"/>
  <c r="A360" i="9"/>
  <c r="H359" i="9"/>
  <c r="D359" i="9"/>
  <c r="C359" i="9"/>
  <c r="A359" i="9"/>
  <c r="C355" i="9"/>
  <c r="C354" i="9"/>
  <c r="B331" i="9"/>
  <c r="H173" i="9"/>
  <c r="C173" i="9"/>
  <c r="A173" i="9"/>
  <c r="H172" i="9"/>
  <c r="C172" i="9"/>
  <c r="A172" i="9"/>
  <c r="H171" i="9"/>
  <c r="C171" i="9"/>
  <c r="A171" i="9"/>
  <c r="H170" i="9"/>
  <c r="C170" i="9"/>
  <c r="A170" i="9"/>
  <c r="H169" i="9"/>
  <c r="C169" i="9"/>
  <c r="A169" i="9"/>
  <c r="H168" i="9"/>
  <c r="C168" i="9"/>
  <c r="A168" i="9"/>
  <c r="H166" i="9"/>
  <c r="C166" i="9"/>
  <c r="A166" i="9"/>
  <c r="H165" i="9"/>
  <c r="C165" i="9"/>
  <c r="A165" i="9"/>
  <c r="H164" i="9"/>
  <c r="D164" i="9"/>
  <c r="C164" i="9"/>
  <c r="B138" i="9"/>
  <c r="B133" i="9"/>
  <c r="A164" i="9"/>
  <c r="H129" i="9"/>
  <c r="C129" i="9"/>
  <c r="A129" i="9"/>
  <c r="H128" i="9"/>
  <c r="C128" i="9"/>
  <c r="A128" i="9"/>
  <c r="H127" i="9"/>
  <c r="C127" i="9"/>
  <c r="A127" i="9"/>
  <c r="H126" i="9"/>
  <c r="C126" i="9"/>
  <c r="A126" i="9"/>
  <c r="H125" i="9"/>
  <c r="C125" i="9"/>
  <c r="A125" i="9"/>
  <c r="H124" i="9"/>
  <c r="C124" i="9"/>
  <c r="A124" i="9"/>
  <c r="H122" i="9"/>
  <c r="C122" i="9"/>
  <c r="A122" i="9"/>
  <c r="H121" i="9"/>
  <c r="C121" i="9"/>
  <c r="A121" i="9"/>
  <c r="H120" i="9"/>
  <c r="D120" i="9"/>
  <c r="C120" i="9"/>
  <c r="B94" i="9"/>
  <c r="B89" i="9"/>
  <c r="A120" i="9"/>
  <c r="H85" i="9"/>
  <c r="C85" i="9"/>
  <c r="A85" i="9"/>
  <c r="H84" i="9"/>
  <c r="C84" i="9"/>
  <c r="A84" i="9"/>
  <c r="H83" i="9"/>
  <c r="C83" i="9"/>
  <c r="A83" i="9"/>
  <c r="H82" i="9"/>
  <c r="C82" i="9"/>
  <c r="A82" i="9"/>
  <c r="H81" i="9"/>
  <c r="C81" i="9"/>
  <c r="A81" i="9"/>
  <c r="H80" i="9"/>
  <c r="C80" i="9"/>
  <c r="A80" i="9"/>
  <c r="H78" i="9"/>
  <c r="C78" i="9"/>
  <c r="A78" i="9"/>
  <c r="H77" i="9"/>
  <c r="C77" i="9"/>
  <c r="A77" i="9"/>
  <c r="H76" i="9"/>
  <c r="D76" i="9"/>
  <c r="C76" i="9"/>
  <c r="B50" i="9"/>
  <c r="B45" i="9"/>
  <c r="A76" i="9"/>
  <c r="H36" i="9"/>
  <c r="H37" i="9"/>
  <c r="H38" i="9"/>
  <c r="H209" i="9"/>
  <c r="H210" i="9"/>
  <c r="H39" i="9"/>
  <c r="H40" i="9"/>
  <c r="H41" i="9"/>
  <c r="C36" i="9"/>
  <c r="C37" i="9"/>
  <c r="C38" i="9"/>
  <c r="C209" i="9"/>
  <c r="D209" i="9"/>
  <c r="C210" i="9"/>
  <c r="D210" i="9"/>
  <c r="C39" i="9"/>
  <c r="C40" i="9"/>
  <c r="C41" i="9"/>
  <c r="A36" i="9"/>
  <c r="A37" i="9"/>
  <c r="A38" i="9"/>
  <c r="A209" i="9"/>
  <c r="A210" i="9"/>
  <c r="A39" i="9"/>
  <c r="A40" i="9"/>
  <c r="A41" i="9"/>
  <c r="H324" i="9"/>
  <c r="D324" i="9"/>
  <c r="C324" i="9"/>
  <c r="A324" i="9"/>
  <c r="H323" i="9"/>
  <c r="D323" i="9"/>
  <c r="C323" i="9"/>
  <c r="A323" i="9"/>
  <c r="H322" i="9"/>
  <c r="D322" i="9"/>
  <c r="C322" i="9"/>
  <c r="A322" i="9"/>
  <c r="C318" i="9"/>
  <c r="C317" i="9"/>
  <c r="H317" i="9"/>
  <c r="H318" i="9"/>
  <c r="B294" i="9"/>
  <c r="B289" i="9"/>
  <c r="A317" i="9"/>
  <c r="A318" i="9"/>
  <c r="H287" i="9"/>
  <c r="D287" i="9"/>
  <c r="C287" i="9"/>
  <c r="A287" i="9"/>
  <c r="H286" i="9"/>
  <c r="D286" i="9"/>
  <c r="C286" i="9"/>
  <c r="A286" i="9"/>
  <c r="H285" i="9"/>
  <c r="D285" i="9"/>
  <c r="C285" i="9"/>
  <c r="A285" i="9"/>
  <c r="C281" i="9"/>
  <c r="C280" i="9"/>
  <c r="H280" i="9"/>
  <c r="H281" i="9"/>
  <c r="B257" i="9"/>
  <c r="B252" i="9"/>
  <c r="A280" i="9"/>
  <c r="A281" i="9"/>
  <c r="H250" i="9"/>
  <c r="D250" i="9"/>
  <c r="C250" i="9"/>
  <c r="A250" i="9"/>
  <c r="H249" i="9"/>
  <c r="D249" i="9"/>
  <c r="C249" i="9"/>
  <c r="A249" i="9"/>
  <c r="H248" i="9"/>
  <c r="D248" i="9"/>
  <c r="C248" i="9"/>
  <c r="A248" i="9"/>
  <c r="C244" i="9"/>
  <c r="C243" i="9"/>
  <c r="B220" i="9"/>
  <c r="B215" i="9"/>
  <c r="A243" i="9"/>
  <c r="A244" i="9"/>
  <c r="H213" i="9"/>
  <c r="A213" i="9"/>
  <c r="H212" i="9"/>
  <c r="A212" i="9"/>
  <c r="H211" i="9"/>
  <c r="D211" i="9"/>
  <c r="C211" i="9"/>
  <c r="A211" i="9"/>
  <c r="C207" i="9"/>
  <c r="C206" i="9"/>
  <c r="H206" i="9"/>
  <c r="H207" i="9"/>
  <c r="B183" i="9"/>
  <c r="B178" i="9"/>
  <c r="A206" i="9"/>
  <c r="A207" i="9"/>
  <c r="H34" i="9"/>
  <c r="C34" i="9"/>
  <c r="A34" i="9"/>
  <c r="H33" i="9"/>
  <c r="C33" i="9"/>
  <c r="A33" i="9"/>
  <c r="H32" i="9"/>
  <c r="D32" i="9"/>
  <c r="C32" i="9"/>
  <c r="B6" i="9"/>
  <c r="B1" i="9"/>
  <c r="A32" i="9"/>
  <c r="H283" i="8"/>
  <c r="D283" i="8"/>
  <c r="C283" i="8"/>
  <c r="A283" i="8"/>
  <c r="H282" i="8"/>
  <c r="D282" i="8"/>
  <c r="C282" i="8"/>
  <c r="A282" i="8"/>
  <c r="H281" i="8"/>
  <c r="D281" i="8"/>
  <c r="C281" i="8"/>
  <c r="A281" i="8"/>
  <c r="C278" i="8"/>
  <c r="C277" i="8"/>
  <c r="B256" i="8"/>
  <c r="H277" i="8"/>
  <c r="H278" i="8"/>
  <c r="B255" i="8"/>
  <c r="B250" i="8"/>
  <c r="A277" i="8"/>
  <c r="A278" i="8"/>
  <c r="H248" i="8"/>
  <c r="D248" i="8"/>
  <c r="C248" i="8"/>
  <c r="A248" i="8"/>
  <c r="H247" i="8"/>
  <c r="D247" i="8"/>
  <c r="C247" i="8"/>
  <c r="A247" i="8"/>
  <c r="H246" i="8"/>
  <c r="D246" i="8"/>
  <c r="C246" i="8"/>
  <c r="A246" i="8"/>
  <c r="C243" i="8"/>
  <c r="C242" i="8"/>
  <c r="B221" i="8"/>
  <c r="H242" i="8"/>
  <c r="H243" i="8"/>
  <c r="B220" i="8"/>
  <c r="B215" i="8"/>
  <c r="A242" i="8"/>
  <c r="A243" i="8"/>
  <c r="D212" i="8"/>
  <c r="D213" i="8"/>
  <c r="C212" i="8"/>
  <c r="C213" i="8"/>
  <c r="H213" i="8"/>
  <c r="A213" i="8"/>
  <c r="H212" i="8"/>
  <c r="A212" i="8"/>
  <c r="H211" i="8"/>
  <c r="D211" i="8"/>
  <c r="C211" i="8"/>
  <c r="A211" i="8"/>
  <c r="C208" i="8"/>
  <c r="C207" i="8"/>
  <c r="B186" i="8"/>
  <c r="H207" i="8"/>
  <c r="H208" i="8"/>
  <c r="B185" i="8"/>
  <c r="B180" i="8"/>
  <c r="A207" i="8"/>
  <c r="A208" i="8"/>
  <c r="H178" i="8"/>
  <c r="H177" i="8"/>
  <c r="A177" i="8"/>
  <c r="A178" i="8"/>
  <c r="H176" i="8"/>
  <c r="D176" i="8"/>
  <c r="C176" i="8"/>
  <c r="A176" i="8"/>
  <c r="C173" i="8"/>
  <c r="C172" i="8"/>
  <c r="B151" i="8"/>
  <c r="H172" i="8"/>
  <c r="H173" i="8"/>
  <c r="B150" i="8"/>
  <c r="B145" i="8"/>
  <c r="A172" i="8"/>
  <c r="A173" i="8"/>
  <c r="H140" i="8"/>
  <c r="C140" i="8"/>
  <c r="A140" i="8"/>
  <c r="H139" i="8"/>
  <c r="D139" i="8"/>
  <c r="C139" i="8"/>
  <c r="B114" i="8"/>
  <c r="B109" i="8"/>
  <c r="A139" i="8"/>
  <c r="H104" i="8"/>
  <c r="C104" i="8"/>
  <c r="A104" i="8"/>
  <c r="H103" i="8"/>
  <c r="D103" i="8"/>
  <c r="C103" i="8"/>
  <c r="B78" i="8"/>
  <c r="B73" i="8"/>
  <c r="A103" i="8"/>
  <c r="H68" i="8"/>
  <c r="C68" i="8"/>
  <c r="A68" i="8"/>
  <c r="H67" i="8"/>
  <c r="D67" i="8"/>
  <c r="C67" i="8"/>
  <c r="B42" i="8"/>
  <c r="B37" i="8"/>
  <c r="A67" i="8"/>
  <c r="H175" i="8"/>
  <c r="H32" i="8"/>
  <c r="A175" i="8"/>
  <c r="C175" i="8"/>
  <c r="D175" i="8"/>
  <c r="C32" i="8"/>
  <c r="A32" i="8"/>
  <c r="B1" i="8"/>
  <c r="A31" i="8"/>
  <c r="B6" i="8"/>
  <c r="H31" i="8"/>
  <c r="D31" i="8"/>
  <c r="C31" i="8"/>
  <c r="H321" i="6"/>
  <c r="D321" i="6"/>
  <c r="C321" i="6"/>
  <c r="A321" i="6"/>
  <c r="H320" i="6"/>
  <c r="D320" i="6"/>
  <c r="C320" i="6"/>
  <c r="A320" i="6"/>
  <c r="H319" i="6"/>
  <c r="D319" i="6"/>
  <c r="C319" i="6"/>
  <c r="A319" i="6"/>
  <c r="C315" i="6"/>
  <c r="C314" i="6"/>
  <c r="B292" i="6"/>
  <c r="H314" i="6"/>
  <c r="H315" i="6"/>
  <c r="B291" i="6"/>
  <c r="B286" i="6"/>
  <c r="A314" i="6"/>
  <c r="A315" i="6" s="1"/>
  <c r="H284" i="6"/>
  <c r="D284" i="6"/>
  <c r="C284" i="6"/>
  <c r="A284" i="6"/>
  <c r="H283" i="6"/>
  <c r="D283" i="6"/>
  <c r="C283" i="6"/>
  <c r="A283" i="6"/>
  <c r="H282" i="6"/>
  <c r="D282" i="6"/>
  <c r="C282" i="6"/>
  <c r="A282" i="6"/>
  <c r="C278" i="6"/>
  <c r="C277" i="6"/>
  <c r="B255" i="6"/>
  <c r="H277" i="6" s="1"/>
  <c r="H278" i="6"/>
  <c r="B254" i="6"/>
  <c r="B249" i="6"/>
  <c r="A277" i="6"/>
  <c r="A278" i="6" s="1"/>
  <c r="H247" i="6"/>
  <c r="D247" i="6"/>
  <c r="C247" i="6"/>
  <c r="A247" i="6"/>
  <c r="H246" i="6"/>
  <c r="D246" i="6"/>
  <c r="C246" i="6"/>
  <c r="A246" i="6"/>
  <c r="H245" i="6"/>
  <c r="D245" i="6"/>
  <c r="C245" i="6"/>
  <c r="A245" i="6"/>
  <c r="C241" i="6"/>
  <c r="C240" i="6"/>
  <c r="B218" i="6"/>
  <c r="H240" i="6" s="1"/>
  <c r="H241" i="6" s="1"/>
  <c r="B217" i="6"/>
  <c r="B212" i="6"/>
  <c r="A240" i="6"/>
  <c r="A241" i="6" s="1"/>
  <c r="H208" i="6"/>
  <c r="H209" i="6"/>
  <c r="H210" i="6"/>
  <c r="A208" i="6"/>
  <c r="C208" i="6"/>
  <c r="D208" i="6"/>
  <c r="A209" i="6"/>
  <c r="C209" i="6"/>
  <c r="D209" i="6"/>
  <c r="A210" i="6"/>
  <c r="C210" i="6"/>
  <c r="D210" i="6"/>
  <c r="C204" i="6"/>
  <c r="B181" i="6"/>
  <c r="H203" i="6"/>
  <c r="H204" i="6" s="1"/>
  <c r="B175" i="6"/>
  <c r="A203" i="6"/>
  <c r="A204" i="6" s="1"/>
  <c r="C203" i="6"/>
  <c r="B180" i="6"/>
  <c r="H171" i="6"/>
  <c r="D171" i="6"/>
  <c r="C171" i="6"/>
  <c r="A171" i="6"/>
  <c r="H170" i="6"/>
  <c r="D170" i="6"/>
  <c r="C170" i="6"/>
  <c r="A170" i="6"/>
  <c r="H169" i="6"/>
  <c r="D169" i="6"/>
  <c r="C169" i="6"/>
  <c r="A169" i="6"/>
  <c r="H168" i="6"/>
  <c r="D168" i="6"/>
  <c r="C168" i="6"/>
  <c r="A168" i="6"/>
  <c r="H167" i="6"/>
  <c r="D167" i="6"/>
  <c r="C167" i="6"/>
  <c r="A167" i="6"/>
  <c r="H165" i="6"/>
  <c r="D165" i="6"/>
  <c r="C165" i="6"/>
  <c r="A165" i="6"/>
  <c r="H164" i="6"/>
  <c r="D164" i="6"/>
  <c r="C164" i="6"/>
  <c r="A164" i="6"/>
  <c r="D163" i="6"/>
  <c r="C163" i="6"/>
  <c r="B137" i="6"/>
  <c r="B132" i="6"/>
  <c r="A163" i="6" s="1"/>
  <c r="H128" i="6"/>
  <c r="D128" i="6"/>
  <c r="C128" i="6"/>
  <c r="A128" i="6"/>
  <c r="H127" i="6"/>
  <c r="D127" i="6"/>
  <c r="C127" i="6"/>
  <c r="A127" i="6"/>
  <c r="H126" i="6"/>
  <c r="D126" i="6"/>
  <c r="C126" i="6"/>
  <c r="A126" i="6"/>
  <c r="H125" i="6"/>
  <c r="D125" i="6"/>
  <c r="C125" i="6"/>
  <c r="A125" i="6"/>
  <c r="H124" i="6"/>
  <c r="D124" i="6"/>
  <c r="C124" i="6"/>
  <c r="A124" i="6"/>
  <c r="H122" i="6"/>
  <c r="D122" i="6"/>
  <c r="C122" i="6"/>
  <c r="A122" i="6"/>
  <c r="H121" i="6"/>
  <c r="D121" i="6"/>
  <c r="C121" i="6"/>
  <c r="A121" i="6"/>
  <c r="D120" i="6"/>
  <c r="C120" i="6"/>
  <c r="B94" i="6"/>
  <c r="B89" i="6"/>
  <c r="A120" i="6"/>
  <c r="D78" i="6"/>
  <c r="C78" i="6"/>
  <c r="H85" i="6"/>
  <c r="D85" i="6"/>
  <c r="C85" i="6"/>
  <c r="A85" i="6"/>
  <c r="H83" i="6"/>
  <c r="D83" i="6"/>
  <c r="C83" i="6"/>
  <c r="A83" i="6"/>
  <c r="H82" i="6"/>
  <c r="D82" i="6"/>
  <c r="C82" i="6"/>
  <c r="A82" i="6"/>
  <c r="H81" i="6"/>
  <c r="D81" i="6"/>
  <c r="C81" i="6"/>
  <c r="A81" i="6"/>
  <c r="H79" i="6"/>
  <c r="D79" i="6"/>
  <c r="C79" i="6"/>
  <c r="A79" i="6"/>
  <c r="H78" i="6"/>
  <c r="A78" i="6"/>
  <c r="D77" i="6"/>
  <c r="C77" i="6"/>
  <c r="B51" i="6"/>
  <c r="B46" i="6"/>
  <c r="A77" i="6" s="1"/>
  <c r="H36" i="6"/>
  <c r="H38" i="6"/>
  <c r="H39" i="6"/>
  <c r="H40" i="6"/>
  <c r="H205" i="6"/>
  <c r="H206" i="6"/>
  <c r="H41" i="6"/>
  <c r="H42" i="6"/>
  <c r="D36" i="6"/>
  <c r="D38" i="6"/>
  <c r="D39" i="6"/>
  <c r="D40" i="6"/>
  <c r="D205" i="6"/>
  <c r="D206" i="6"/>
  <c r="D41" i="6"/>
  <c r="D42" i="6"/>
  <c r="C36" i="6"/>
  <c r="C38" i="6"/>
  <c r="C39" i="6"/>
  <c r="C40" i="6"/>
  <c r="C205" i="6"/>
  <c r="C206" i="6"/>
  <c r="C41" i="6"/>
  <c r="C42" i="6"/>
  <c r="A36" i="6"/>
  <c r="A38" i="6"/>
  <c r="A39" i="6"/>
  <c r="A40" i="6"/>
  <c r="A205" i="6"/>
  <c r="A206" i="6"/>
  <c r="A41" i="6"/>
  <c r="A42" i="6"/>
  <c r="H35" i="6"/>
  <c r="D35" i="6"/>
  <c r="C35" i="6"/>
  <c r="A35" i="6"/>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9" i="1"/>
  <c r="AO40" i="1"/>
  <c r="AO41" i="1"/>
  <c r="AO42" i="1"/>
  <c r="AO43" i="1"/>
  <c r="AO44" i="1"/>
  <c r="AO49" i="1"/>
  <c r="AO50" i="1"/>
  <c r="AO51" i="1"/>
  <c r="AO52" i="1"/>
  <c r="AO58" i="1"/>
  <c r="AO64" i="1"/>
  <c r="AO65" i="1"/>
  <c r="AO66" i="1"/>
  <c r="AO68" i="1"/>
  <c r="AO69" i="1"/>
  <c r="AO70" i="1"/>
  <c r="AO71" i="1"/>
  <c r="AO72" i="1"/>
  <c r="AO73" i="1"/>
  <c r="AO74" i="1"/>
  <c r="AO75" i="1"/>
  <c r="AO76" i="1"/>
  <c r="AO77" i="1"/>
  <c r="AO78" i="1"/>
  <c r="AO79" i="1"/>
  <c r="AO80" i="1"/>
  <c r="AO81" i="1"/>
  <c r="AO82" i="1"/>
  <c r="AO83" i="1"/>
  <c r="AO84" i="1"/>
  <c r="AO85" i="1"/>
  <c r="AO86" i="1"/>
  <c r="AO3" i="1"/>
  <c r="B3" i="6"/>
  <c r="A34" i="6" s="1"/>
  <c r="A17" i="1"/>
  <c r="B8" i="6"/>
  <c r="A4" i="1"/>
  <c r="A5" i="1"/>
  <c r="A6" i="1"/>
  <c r="A7" i="1"/>
  <c r="A8" i="1"/>
  <c r="A9" i="1"/>
  <c r="A10" i="1"/>
  <c r="A11" i="1"/>
  <c r="A12" i="1"/>
  <c r="A13" i="1"/>
  <c r="A14" i="1"/>
  <c r="A15" i="1"/>
  <c r="A16" i="1"/>
  <c r="A18" i="1"/>
  <c r="A19" i="1"/>
  <c r="A20" i="1"/>
  <c r="A21" i="1"/>
  <c r="A22" i="1"/>
  <c r="A23" i="1"/>
  <c r="A24" i="1"/>
  <c r="A25" i="1"/>
  <c r="A26" i="1"/>
  <c r="A27" i="1"/>
  <c r="A28" i="1"/>
  <c r="A29" i="1"/>
  <c r="A30" i="1"/>
  <c r="A31" i="1"/>
  <c r="A32" i="1"/>
  <c r="A39" i="1"/>
  <c r="A40" i="1"/>
  <c r="A41" i="1"/>
  <c r="A42" i="1"/>
  <c r="A43" i="1"/>
  <c r="A44" i="1"/>
  <c r="A49" i="1"/>
  <c r="A50" i="1"/>
  <c r="A51" i="1"/>
  <c r="A52" i="1"/>
  <c r="A53" i="1"/>
  <c r="B396" i="16" s="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3" i="1"/>
  <c r="B19" i="6" s="1"/>
  <c r="AK22" i="1"/>
  <c r="AK21" i="1"/>
  <c r="AK20" i="1"/>
  <c r="AK19" i="1"/>
  <c r="AK18" i="1"/>
  <c r="AK17" i="1"/>
  <c r="AK16" i="1"/>
  <c r="AK15" i="1"/>
  <c r="AK14" i="1"/>
  <c r="AK13" i="1"/>
  <c r="AK12" i="1"/>
  <c r="AK11" i="1"/>
  <c r="AK6" i="1"/>
  <c r="AK5" i="1"/>
  <c r="AK4" i="1"/>
  <c r="AK3" i="1"/>
  <c r="AK53" i="1"/>
  <c r="AK54" i="1"/>
  <c r="AK55" i="1"/>
  <c r="AK56" i="1"/>
  <c r="AK57" i="1"/>
  <c r="AK58" i="1"/>
  <c r="AK59" i="1"/>
  <c r="AK60" i="1"/>
  <c r="AK61" i="1"/>
  <c r="AK62" i="1"/>
  <c r="AK63" i="1"/>
  <c r="AK64" i="1"/>
  <c r="AK65" i="1"/>
  <c r="AK66" i="1"/>
  <c r="AK67" i="1"/>
  <c r="AK68" i="1"/>
  <c r="AK69" i="1"/>
  <c r="AK70" i="1"/>
  <c r="AK49" i="1"/>
  <c r="AK50" i="1"/>
  <c r="AK51" i="1"/>
  <c r="AK52" i="1"/>
  <c r="AK28" i="1"/>
  <c r="AK29" i="1"/>
  <c r="AK30" i="1"/>
  <c r="AK31" i="1"/>
  <c r="AK32" i="1"/>
  <c r="AK27" i="1"/>
  <c r="AK40" i="1"/>
  <c r="AK41" i="1"/>
  <c r="AK42" i="1"/>
  <c r="AK43" i="1"/>
  <c r="AK44" i="1"/>
  <c r="AK39" i="1"/>
  <c r="AK8" i="1"/>
  <c r="AK9" i="1"/>
  <c r="AK10" i="1"/>
  <c r="AK7" i="1"/>
  <c r="AK72" i="1"/>
  <c r="AK73" i="1"/>
  <c r="AK74" i="1"/>
  <c r="AK75" i="1"/>
  <c r="AK76" i="1"/>
  <c r="AK77" i="1"/>
  <c r="AK78" i="1"/>
  <c r="AK79" i="1"/>
  <c r="AK80" i="1"/>
  <c r="AK81" i="1"/>
  <c r="AK82" i="1"/>
  <c r="AK83" i="1"/>
  <c r="AK84" i="1"/>
  <c r="AK85" i="1"/>
  <c r="AK86" i="1"/>
  <c r="AK71" i="1"/>
  <c r="AL24" i="1"/>
  <c r="AL25" i="1"/>
  <c r="AL26" i="1"/>
  <c r="AL23" i="1"/>
  <c r="D34" i="6"/>
  <c r="C34" i="6"/>
  <c r="Z4" i="1"/>
  <c r="Z5" i="1"/>
  <c r="AS5" i="1" s="1"/>
  <c r="Z6" i="1"/>
  <c r="AS6" i="1" s="1"/>
  <c r="Z7" i="1"/>
  <c r="Z8" i="1"/>
  <c r="Z9" i="1"/>
  <c r="Z10" i="1"/>
  <c r="Z11" i="1"/>
  <c r="Z12" i="1"/>
  <c r="AS12" i="1" s="1"/>
  <c r="Z13" i="1"/>
  <c r="AS13" i="1" s="1"/>
  <c r="Z14" i="1"/>
  <c r="AS14" i="1" s="1"/>
  <c r="Z15" i="1"/>
  <c r="AS15" i="1" s="1"/>
  <c r="Z16" i="1"/>
  <c r="AS16" i="1" s="1"/>
  <c r="Z17" i="1"/>
  <c r="AS17" i="1" s="1"/>
  <c r="Z18" i="1"/>
  <c r="AS18" i="1" s="1"/>
  <c r="Z19" i="1"/>
  <c r="AS19" i="1" s="1"/>
  <c r="Z20" i="1"/>
  <c r="AS20" i="1" s="1"/>
  <c r="Z21" i="1"/>
  <c r="AS21" i="1" s="1"/>
  <c r="Z22" i="1"/>
  <c r="AS22" i="1" s="1"/>
  <c r="Z23" i="1"/>
  <c r="Z24" i="1"/>
  <c r="Z25" i="1"/>
  <c r="AS25" i="1" s="1"/>
  <c r="Z26" i="1"/>
  <c r="Z27" i="1"/>
  <c r="Z28" i="1"/>
  <c r="Z29" i="1"/>
  <c r="Z30" i="1"/>
  <c r="Z31" i="1"/>
  <c r="Z32" i="1"/>
  <c r="Z39" i="1"/>
  <c r="Z40" i="1"/>
  <c r="Z41" i="1"/>
  <c r="Z42" i="1"/>
  <c r="Z43" i="1"/>
  <c r="Z44" i="1"/>
  <c r="Z53" i="1"/>
  <c r="Z54" i="1"/>
  <c r="Z55" i="1"/>
  <c r="Z56" i="1"/>
  <c r="Z57" i="1"/>
  <c r="Z58" i="1"/>
  <c r="Z59" i="1"/>
  <c r="Z60" i="1"/>
  <c r="Z61" i="1"/>
  <c r="Z62" i="1"/>
  <c r="Z63" i="1"/>
  <c r="Z64" i="1"/>
  <c r="Z65" i="1"/>
  <c r="Z66" i="1"/>
  <c r="Z67" i="1"/>
  <c r="Z68" i="1"/>
  <c r="Z69" i="1"/>
  <c r="Z70" i="1"/>
  <c r="Z71" i="1"/>
  <c r="AS71" i="1" s="1"/>
  <c r="Z72" i="1"/>
  <c r="AS72" i="1" s="1"/>
  <c r="Z73" i="1"/>
  <c r="Z74" i="1"/>
  <c r="AS74" i="1" s="1"/>
  <c r="Z75" i="1"/>
  <c r="AS75" i="1" s="1"/>
  <c r="Z76" i="1"/>
  <c r="Z77" i="1"/>
  <c r="Z78" i="1"/>
  <c r="AS78" i="1" s="1"/>
  <c r="Z79" i="1"/>
  <c r="AS79" i="1" s="1"/>
  <c r="Z80" i="1"/>
  <c r="AS80" i="1" s="1"/>
  <c r="Z81" i="1"/>
  <c r="Z82" i="1"/>
  <c r="Z83" i="1"/>
  <c r="AS83" i="1" s="1"/>
  <c r="Z84" i="1"/>
  <c r="Z85" i="1"/>
  <c r="Z86" i="1"/>
  <c r="Z3" i="1"/>
  <c r="AS3" i="1" s="1"/>
  <c r="AR7" i="1"/>
  <c r="AR8" i="1"/>
  <c r="AR9" i="1"/>
  <c r="AR10" i="1"/>
  <c r="AR27" i="1"/>
  <c r="AR28" i="1"/>
  <c r="AR29" i="1"/>
  <c r="AR30" i="1"/>
  <c r="AR31" i="1"/>
  <c r="AR32" i="1"/>
  <c r="AR39" i="1"/>
  <c r="AR40" i="1"/>
  <c r="AR41" i="1"/>
  <c r="AR42" i="1"/>
  <c r="AR43" i="1"/>
  <c r="AR44" i="1"/>
  <c r="AS49" i="1"/>
  <c r="AR53" i="1"/>
  <c r="AR54" i="1"/>
  <c r="AR55" i="1"/>
  <c r="AR56" i="1"/>
  <c r="AR57" i="1"/>
  <c r="AR58" i="1"/>
  <c r="AR59" i="1"/>
  <c r="AR60" i="1"/>
  <c r="AR61" i="1"/>
  <c r="AR62" i="1"/>
  <c r="AR63" i="1"/>
  <c r="AR64" i="1"/>
  <c r="AR65" i="1"/>
  <c r="AR66" i="1"/>
  <c r="AR67" i="1"/>
  <c r="AR68" i="1"/>
  <c r="AR69" i="1"/>
  <c r="AR70" i="1"/>
  <c r="AN49" i="1"/>
  <c r="U52" i="1"/>
  <c r="AN52" i="1" s="1"/>
  <c r="AN53" i="1"/>
  <c r="AN57" i="1"/>
  <c r="AN60" i="1"/>
  <c r="AN71" i="1"/>
  <c r="AN85" i="1"/>
  <c r="U39" i="1"/>
  <c r="AN39" i="1" s="1"/>
  <c r="U41" i="1"/>
  <c r="AN41" i="1" s="1"/>
  <c r="U29" i="1"/>
  <c r="U32" i="1"/>
  <c r="AN32" i="1" s="1"/>
  <c r="C5" i="2"/>
  <c r="C4" i="2"/>
  <c r="C3" i="2"/>
  <c r="AF71" i="1"/>
  <c r="AF72" i="1"/>
  <c r="AF73" i="1"/>
  <c r="AF74" i="1"/>
  <c r="AF75" i="1"/>
  <c r="AF76" i="1"/>
  <c r="AF77" i="1"/>
  <c r="AF78" i="1"/>
  <c r="AF79" i="1"/>
  <c r="AF80" i="1"/>
  <c r="AF81" i="1"/>
  <c r="AF82" i="1"/>
  <c r="AF83" i="1"/>
  <c r="AF84" i="1"/>
  <c r="AF85" i="1"/>
  <c r="AF86" i="1"/>
  <c r="AH62" i="1"/>
  <c r="AH32" i="1"/>
  <c r="AC27" i="1"/>
  <c r="AP27" i="1" s="1"/>
  <c r="AC28" i="1"/>
  <c r="AP28" i="1" s="1"/>
  <c r="AC29" i="1"/>
  <c r="AP29" i="1" s="1"/>
  <c r="AC30" i="1"/>
  <c r="AP30" i="1" s="1"/>
  <c r="AC31" i="1"/>
  <c r="AP31" i="1" s="1"/>
  <c r="AC32" i="1"/>
  <c r="AP32" i="1" s="1"/>
  <c r="AC39" i="1"/>
  <c r="AP39" i="1" s="1"/>
  <c r="AC40" i="1"/>
  <c r="AP40" i="1" s="1"/>
  <c r="AC41" i="1"/>
  <c r="AP41" i="1" s="1"/>
  <c r="AC42" i="1"/>
  <c r="AP42" i="1" s="1"/>
  <c r="AC43" i="1"/>
  <c r="AP43" i="1" s="1"/>
  <c r="AC44" i="1"/>
  <c r="AP44" i="1" s="1"/>
  <c r="AC53" i="1"/>
  <c r="AC54" i="1"/>
  <c r="AP54" i="1" s="1"/>
  <c r="AC55" i="1"/>
  <c r="AP55" i="1" s="1"/>
  <c r="AC56" i="1"/>
  <c r="AP56" i="1" s="1"/>
  <c r="AC57" i="1"/>
  <c r="AP57" i="1" s="1"/>
  <c r="AC58" i="1"/>
  <c r="AP58" i="1" s="1"/>
  <c r="AC59" i="1"/>
  <c r="AP59" i="1" s="1"/>
  <c r="AC60" i="1"/>
  <c r="AP60" i="1" s="1"/>
  <c r="AC61" i="1"/>
  <c r="AC62" i="1"/>
  <c r="AP62" i="1" s="1"/>
  <c r="AC63" i="1"/>
  <c r="AP63" i="1" s="1"/>
  <c r="AC64" i="1"/>
  <c r="AP64" i="1" s="1"/>
  <c r="AC65" i="1"/>
  <c r="AP65" i="1" s="1"/>
  <c r="AC66" i="1"/>
  <c r="AP66" i="1" s="1"/>
  <c r="AC67" i="1"/>
  <c r="AP67" i="1" s="1"/>
  <c r="AC68" i="1"/>
  <c r="AC69" i="1"/>
  <c r="AP69" i="1" s="1"/>
  <c r="AC70" i="1"/>
  <c r="AP70" i="1" s="1"/>
  <c r="AA86" i="1"/>
  <c r="AB86" i="1" s="1"/>
  <c r="AC86" i="1" s="1"/>
  <c r="AA85" i="1"/>
  <c r="AB85" i="1" s="1"/>
  <c r="AA84" i="1"/>
  <c r="AB84" i="1" s="1"/>
  <c r="AC84" i="1" s="1"/>
  <c r="AA83" i="1"/>
  <c r="AB83" i="1" s="1"/>
  <c r="AA82" i="1"/>
  <c r="AB82" i="1" s="1"/>
  <c r="AC82" i="1" s="1"/>
  <c r="AA81" i="1"/>
  <c r="AB81" i="1" s="1"/>
  <c r="AA80" i="1"/>
  <c r="AB80" i="1" s="1"/>
  <c r="AC80" i="1" s="1"/>
  <c r="AP80" i="1" s="1"/>
  <c r="AA79" i="1"/>
  <c r="AB79" i="1" s="1"/>
  <c r="AA78" i="1"/>
  <c r="AB78" i="1" s="1"/>
  <c r="AC78" i="1" s="1"/>
  <c r="AA77" i="1"/>
  <c r="AB77" i="1" s="1"/>
  <c r="AA76" i="1"/>
  <c r="AB76" i="1" s="1"/>
  <c r="AA75" i="1"/>
  <c r="AB75" i="1" s="1"/>
  <c r="AA74" i="1"/>
  <c r="AB74" i="1" s="1"/>
  <c r="AC74" i="1" s="1"/>
  <c r="AA73" i="1"/>
  <c r="AB73" i="1" s="1"/>
  <c r="AA72" i="1"/>
  <c r="AB72" i="1" s="1"/>
  <c r="AA71" i="1"/>
  <c r="AB71" i="1" s="1"/>
  <c r="AA52" i="1"/>
  <c r="AB52" i="1" s="1"/>
  <c r="AC52" i="1" s="1"/>
  <c r="AA51" i="1"/>
  <c r="AB51" i="1" s="1"/>
  <c r="AC51" i="1" s="1"/>
  <c r="AA50" i="1"/>
  <c r="AB50" i="1" s="1"/>
  <c r="AC50" i="1" s="1"/>
  <c r="AP50" i="1" s="1"/>
  <c r="AA49" i="1"/>
  <c r="AB49" i="1" s="1"/>
  <c r="AC49" i="1" s="1"/>
  <c r="AP49" i="1" s="1"/>
  <c r="AA26" i="1"/>
  <c r="AC26" i="1" s="1"/>
  <c r="AP26" i="1" s="1"/>
  <c r="AA25" i="1"/>
  <c r="AC25" i="1" s="1"/>
  <c r="AA24" i="1"/>
  <c r="AC24" i="1" s="1"/>
  <c r="AA23" i="1"/>
  <c r="AC23" i="1" s="1"/>
  <c r="AA22" i="1"/>
  <c r="AB22" i="1" s="1"/>
  <c r="AA21" i="1"/>
  <c r="AB21" i="1" s="1"/>
  <c r="AC21" i="1" s="1"/>
  <c r="AA20" i="1"/>
  <c r="AB20" i="1" s="1"/>
  <c r="AC20" i="1" s="1"/>
  <c r="AP20" i="1" s="1"/>
  <c r="AA19" i="1"/>
  <c r="AB19" i="1" s="1"/>
  <c r="AA18" i="1"/>
  <c r="AB18" i="1" s="1"/>
  <c r="AA17" i="1"/>
  <c r="AB17" i="1" s="1"/>
  <c r="AA16" i="1"/>
  <c r="AB16" i="1" s="1"/>
  <c r="AC16" i="1" s="1"/>
  <c r="AA15" i="1"/>
  <c r="AB15" i="1" s="1"/>
  <c r="AA14" i="1"/>
  <c r="AB14" i="1" s="1"/>
  <c r="AC14" i="1" s="1"/>
  <c r="AA13" i="1"/>
  <c r="AB13" i="1" s="1"/>
  <c r="AC13" i="1" s="1"/>
  <c r="AA12" i="1"/>
  <c r="AB12" i="1" s="1"/>
  <c r="AA11" i="1"/>
  <c r="AB11" i="1" s="1"/>
  <c r="AC11" i="1" s="1"/>
  <c r="AA10" i="1"/>
  <c r="AB10" i="1" s="1"/>
  <c r="AC10" i="1" s="1"/>
  <c r="AA9" i="1"/>
  <c r="AB9" i="1" s="1"/>
  <c r="AC9" i="1" s="1"/>
  <c r="AA8" i="1"/>
  <c r="AB8" i="1" s="1"/>
  <c r="AC8" i="1" s="1"/>
  <c r="AA7" i="1"/>
  <c r="AB7" i="1" s="1"/>
  <c r="AC7" i="1" s="1"/>
  <c r="AA6" i="1"/>
  <c r="AB6" i="1" s="1"/>
  <c r="AA5" i="1"/>
  <c r="AB5" i="1" s="1"/>
  <c r="AA4" i="1"/>
  <c r="AB4" i="1" s="1"/>
  <c r="AA3" i="1"/>
  <c r="U4" i="1"/>
  <c r="AN4" i="1" s="1"/>
  <c r="U5" i="1"/>
  <c r="AN5" i="1" s="1"/>
  <c r="U6" i="1"/>
  <c r="AN6" i="1" s="1"/>
  <c r="U7" i="1"/>
  <c r="AN7" i="1" s="1"/>
  <c r="U8" i="1"/>
  <c r="AN8" i="1" s="1"/>
  <c r="U9" i="1"/>
  <c r="AN9" i="1" s="1"/>
  <c r="U10" i="1"/>
  <c r="AN10" i="1" s="1"/>
  <c r="U11" i="1"/>
  <c r="U12" i="1"/>
  <c r="AN12" i="1" s="1"/>
  <c r="U13" i="1"/>
  <c r="AN13" i="1" s="1"/>
  <c r="U14" i="1"/>
  <c r="AN14" i="1" s="1"/>
  <c r="U15" i="1"/>
  <c r="U16" i="1"/>
  <c r="AN16" i="1" s="1"/>
  <c r="U17" i="1"/>
  <c r="AN17" i="1" s="1"/>
  <c r="U18" i="1"/>
  <c r="AN18" i="1" s="1"/>
  <c r="U19" i="1"/>
  <c r="AN19" i="1" s="1"/>
  <c r="U20" i="1"/>
  <c r="AN20" i="1" s="1"/>
  <c r="U21" i="1"/>
  <c r="AN21" i="1" s="1"/>
  <c r="U22" i="1"/>
  <c r="AN22" i="1" s="1"/>
  <c r="U23" i="1"/>
  <c r="AN23" i="1" s="1"/>
  <c r="U24" i="1"/>
  <c r="AN24" i="1" s="1"/>
  <c r="U25" i="1"/>
  <c r="AN25" i="1" s="1"/>
  <c r="U26" i="1"/>
  <c r="AN26" i="1" s="1"/>
  <c r="U28" i="1"/>
  <c r="AN28" i="1" s="1"/>
  <c r="U30" i="1"/>
  <c r="AN30" i="1" s="1"/>
  <c r="U31" i="1"/>
  <c r="AN31" i="1" s="1"/>
  <c r="U40" i="1"/>
  <c r="AN40" i="1" s="1"/>
  <c r="U42" i="1"/>
  <c r="AN42" i="1"/>
  <c r="U43" i="1"/>
  <c r="U44" i="1"/>
  <c r="AN44" i="1" s="1"/>
  <c r="U50" i="1"/>
  <c r="U51" i="1"/>
  <c r="AN51" i="1" s="1"/>
  <c r="AN54" i="1"/>
  <c r="AN58" i="1"/>
  <c r="AN62" i="1"/>
  <c r="AN72" i="1"/>
  <c r="AN74" i="1"/>
  <c r="AN78" i="1"/>
  <c r="AN79" i="1"/>
  <c r="AN82" i="1"/>
  <c r="AN86" i="1"/>
  <c r="U3" i="1"/>
  <c r="AN3" i="1" s="1"/>
  <c r="L74" i="1"/>
  <c r="L73" i="1"/>
  <c r="L72" i="1"/>
  <c r="L71" i="1"/>
  <c r="AN81" i="1"/>
  <c r="L4" i="1"/>
  <c r="L5" i="1"/>
  <c r="L6" i="1"/>
  <c r="L7" i="1"/>
  <c r="L8" i="1"/>
  <c r="L9" i="1"/>
  <c r="L10" i="1"/>
  <c r="L11" i="1"/>
  <c r="L12" i="1"/>
  <c r="L13" i="1"/>
  <c r="L14" i="1"/>
  <c r="L15" i="1"/>
  <c r="L16" i="1"/>
  <c r="L17" i="1"/>
  <c r="L18" i="1"/>
  <c r="L19" i="1"/>
  <c r="L20" i="1"/>
  <c r="L21" i="1"/>
  <c r="L22" i="1"/>
  <c r="L23" i="1"/>
  <c r="AK23" i="1" s="1"/>
  <c r="L24" i="1"/>
  <c r="AK24" i="1" s="1"/>
  <c r="L25" i="1"/>
  <c r="AK25" i="1" s="1"/>
  <c r="L26" i="1"/>
  <c r="AK26" i="1" s="1"/>
  <c r="L27" i="1"/>
  <c r="L28" i="1"/>
  <c r="L29" i="1"/>
  <c r="L30" i="1"/>
  <c r="L31" i="1"/>
  <c r="L32" i="1"/>
  <c r="L39" i="1"/>
  <c r="L40" i="1"/>
  <c r="L41" i="1"/>
  <c r="L42" i="1"/>
  <c r="L43" i="1"/>
  <c r="L44" i="1"/>
  <c r="L49" i="1"/>
  <c r="L50" i="1"/>
  <c r="L51" i="1"/>
  <c r="L52" i="1"/>
  <c r="L53" i="1"/>
  <c r="L54" i="1"/>
  <c r="L55" i="1"/>
  <c r="L56" i="1"/>
  <c r="L57" i="1"/>
  <c r="L58" i="1"/>
  <c r="L59" i="1"/>
  <c r="L60" i="1"/>
  <c r="L61" i="1"/>
  <c r="L62" i="1"/>
  <c r="L63" i="1"/>
  <c r="L64" i="1"/>
  <c r="L65" i="1"/>
  <c r="L66" i="1"/>
  <c r="L67" i="1"/>
  <c r="L68" i="1"/>
  <c r="L69" i="1"/>
  <c r="L70" i="1"/>
  <c r="L75" i="1"/>
  <c r="L76" i="1"/>
  <c r="L77" i="1"/>
  <c r="L78" i="1"/>
  <c r="L79" i="1"/>
  <c r="L80" i="1"/>
  <c r="L81" i="1"/>
  <c r="L82" i="1"/>
  <c r="L83" i="1"/>
  <c r="L84" i="1"/>
  <c r="L85" i="1"/>
  <c r="L86" i="1"/>
  <c r="L3" i="1"/>
  <c r="U27" i="1"/>
  <c r="AN27" i="1" s="1"/>
  <c r="AN73" i="1"/>
  <c r="AN64" i="1"/>
  <c r="AG30" i="1"/>
  <c r="K214" i="7"/>
  <c r="K206" i="7"/>
  <c r="K198" i="7"/>
  <c r="K190" i="7"/>
  <c r="B489" i="16" s="1"/>
  <c r="K154" i="7"/>
  <c r="K146" i="7"/>
  <c r="K138" i="7"/>
  <c r="K205" i="7"/>
  <c r="K177" i="7"/>
  <c r="B567" i="14" s="1"/>
  <c r="K163" i="7"/>
  <c r="AG55" i="1"/>
  <c r="K145" i="7"/>
  <c r="K204" i="7"/>
  <c r="K196" i="7"/>
  <c r="K188" i="7"/>
  <c r="B335" i="16" s="1"/>
  <c r="K176" i="7"/>
  <c r="B490" i="14" s="1"/>
  <c r="K152" i="7"/>
  <c r="K203" i="7"/>
  <c r="K195" i="7"/>
  <c r="K187" i="7"/>
  <c r="K161" i="7"/>
  <c r="AG62" i="1"/>
  <c r="K151" i="7"/>
  <c r="K143" i="7"/>
  <c r="K202" i="7"/>
  <c r="K174" i="7"/>
  <c r="B336" i="14" s="1"/>
  <c r="K160" i="7"/>
  <c r="K150" i="7"/>
  <c r="K142" i="7"/>
  <c r="K209" i="7"/>
  <c r="K185" i="7"/>
  <c r="K159" i="7"/>
  <c r="K137" i="7"/>
  <c r="K141" i="7"/>
  <c r="K200" i="7"/>
  <c r="B336" i="18" s="1"/>
  <c r="K192" i="7"/>
  <c r="K184" i="7"/>
  <c r="K166" i="7"/>
  <c r="K215" i="7"/>
  <c r="K207" i="7"/>
  <c r="K199" i="7"/>
  <c r="K191" i="7"/>
  <c r="B566" i="16" s="1"/>
  <c r="K165" i="7"/>
  <c r="AH30" i="1"/>
  <c r="AH55" i="1"/>
  <c r="AH43" i="1"/>
  <c r="B199" i="6"/>
  <c r="B17" i="6"/>
  <c r="B189" i="6"/>
  <c r="B15" i="6"/>
  <c r="B27" i="6"/>
  <c r="AT60" i="1"/>
  <c r="AG59" i="1"/>
  <c r="AN11" i="1"/>
  <c r="AU55" i="1"/>
  <c r="AU42" i="1"/>
  <c r="AU31" i="1"/>
  <c r="AT59" i="1"/>
  <c r="AT66" i="1"/>
  <c r="AU66" i="1"/>
  <c r="AS77" i="1"/>
  <c r="AT56" i="1"/>
  <c r="AU56" i="1"/>
  <c r="AT65" i="1"/>
  <c r="AU65" i="1"/>
  <c r="AU53" i="1"/>
  <c r="AT53" i="1"/>
  <c r="AT55" i="1"/>
  <c r="AT57" i="1"/>
  <c r="AU57" i="1"/>
  <c r="AT54" i="1"/>
  <c r="AS51" i="1"/>
  <c r="AU58" i="1"/>
  <c r="AT58" i="1"/>
  <c r="C189" i="7"/>
  <c r="V55" i="1"/>
  <c r="AO55" i="1" s="1"/>
  <c r="AN61" i="1"/>
  <c r="AN67" i="1"/>
  <c r="AO67" i="1"/>
  <c r="AX64" i="1"/>
  <c r="BF64" i="1"/>
  <c r="BN64" i="1"/>
  <c r="BV64" i="1"/>
  <c r="CD64" i="1"/>
  <c r="AY64" i="1"/>
  <c r="BG64" i="1"/>
  <c r="BO64" i="1"/>
  <c r="BW64" i="1"/>
  <c r="CE64" i="1"/>
  <c r="AZ64" i="1"/>
  <c r="BH64" i="1"/>
  <c r="BP64" i="1"/>
  <c r="BX64" i="1"/>
  <c r="CF64" i="1"/>
  <c r="BA64" i="1"/>
  <c r="BI64" i="1"/>
  <c r="BQ64" i="1"/>
  <c r="BY64" i="1"/>
  <c r="CG64" i="1"/>
  <c r="BC64" i="1"/>
  <c r="BK64" i="1"/>
  <c r="BS64" i="1"/>
  <c r="CA64" i="1"/>
  <c r="BE64" i="1"/>
  <c r="CB64" i="1"/>
  <c r="BJ64" i="1"/>
  <c r="CC64" i="1"/>
  <c r="BL64" i="1"/>
  <c r="CH64" i="1"/>
  <c r="BM64" i="1"/>
  <c r="AV64" i="1"/>
  <c r="BR64" i="1"/>
  <c r="AW64" i="1"/>
  <c r="BT64" i="1"/>
  <c r="BB64" i="1"/>
  <c r="BU64" i="1"/>
  <c r="BD64" i="1"/>
  <c r="BZ64" i="1"/>
  <c r="AT64" i="1"/>
  <c r="AU64" i="1"/>
  <c r="AW63" i="1"/>
  <c r="BE63" i="1"/>
  <c r="BM63" i="1"/>
  <c r="BU63" i="1"/>
  <c r="CC63" i="1"/>
  <c r="AX63" i="1"/>
  <c r="BF63" i="1"/>
  <c r="BN63" i="1"/>
  <c r="BV63" i="1"/>
  <c r="CD63" i="1"/>
  <c r="AY63" i="1"/>
  <c r="BG63" i="1"/>
  <c r="BO63" i="1"/>
  <c r="BW63" i="1"/>
  <c r="CE63" i="1"/>
  <c r="AZ63" i="1"/>
  <c r="BH63" i="1"/>
  <c r="BP63" i="1"/>
  <c r="BX63" i="1"/>
  <c r="CF63" i="1"/>
  <c r="BB63" i="1"/>
  <c r="BJ63" i="1"/>
  <c r="BR63" i="1"/>
  <c r="BZ63" i="1"/>
  <c r="CH63" i="1"/>
  <c r="BC63" i="1"/>
  <c r="BY63" i="1"/>
  <c r="BD63" i="1"/>
  <c r="CA63" i="1"/>
  <c r="BI63" i="1"/>
  <c r="CB63" i="1"/>
  <c r="BK63" i="1"/>
  <c r="CG63" i="1"/>
  <c r="BL63" i="1"/>
  <c r="BQ63" i="1"/>
  <c r="AV63" i="1"/>
  <c r="BS63" i="1"/>
  <c r="BA63" i="1"/>
  <c r="BT63" i="1"/>
  <c r="AX57" i="1"/>
  <c r="BF57" i="1"/>
  <c r="BN57" i="1"/>
  <c r="BV57" i="1"/>
  <c r="CD57" i="1"/>
  <c r="AY57" i="1"/>
  <c r="BG57" i="1"/>
  <c r="BO57" i="1"/>
  <c r="BW57" i="1"/>
  <c r="CE57" i="1"/>
  <c r="BA57" i="1"/>
  <c r="BI57" i="1"/>
  <c r="BQ57" i="1"/>
  <c r="BY57" i="1"/>
  <c r="CG57" i="1"/>
  <c r="BB57" i="1"/>
  <c r="BJ57" i="1"/>
  <c r="BR57" i="1"/>
  <c r="BZ57" i="1"/>
  <c r="CH57" i="1"/>
  <c r="BC57" i="1"/>
  <c r="BK57" i="1"/>
  <c r="BS57" i="1"/>
  <c r="CA57" i="1"/>
  <c r="AV57" i="1"/>
  <c r="BD57" i="1"/>
  <c r="BL57" i="1"/>
  <c r="BT57" i="1"/>
  <c r="CB57" i="1"/>
  <c r="AW57" i="1"/>
  <c r="BE57" i="1"/>
  <c r="BM57" i="1"/>
  <c r="BU57" i="1"/>
  <c r="CC57" i="1"/>
  <c r="AZ57" i="1"/>
  <c r="BH57" i="1"/>
  <c r="BP57" i="1"/>
  <c r="BX57" i="1"/>
  <c r="CF57" i="1"/>
  <c r="BC54" i="1"/>
  <c r="BK54" i="1"/>
  <c r="BS54" i="1"/>
  <c r="CA54" i="1"/>
  <c r="AV54" i="1"/>
  <c r="BD54" i="1"/>
  <c r="BL54" i="1"/>
  <c r="BT54" i="1"/>
  <c r="CB54" i="1"/>
  <c r="AX54" i="1"/>
  <c r="BF54" i="1"/>
  <c r="BN54" i="1"/>
  <c r="BV54" i="1"/>
  <c r="CD54" i="1"/>
  <c r="AY54" i="1"/>
  <c r="BG54" i="1"/>
  <c r="BO54" i="1"/>
  <c r="BW54" i="1"/>
  <c r="CE54" i="1"/>
  <c r="AZ54" i="1"/>
  <c r="BH54" i="1"/>
  <c r="BP54" i="1"/>
  <c r="BX54" i="1"/>
  <c r="CF54" i="1"/>
  <c r="BA54" i="1"/>
  <c r="BI54" i="1"/>
  <c r="BQ54" i="1"/>
  <c r="BY54" i="1"/>
  <c r="CG54" i="1"/>
  <c r="BB54" i="1"/>
  <c r="BJ54" i="1"/>
  <c r="BR54" i="1"/>
  <c r="BZ54" i="1"/>
  <c r="CH54" i="1"/>
  <c r="AW54" i="1"/>
  <c r="BE54" i="1"/>
  <c r="BM54" i="1"/>
  <c r="BU54" i="1"/>
  <c r="CC54" i="1"/>
  <c r="AY58" i="1"/>
  <c r="BG58" i="1"/>
  <c r="BO58" i="1"/>
  <c r="BW58" i="1"/>
  <c r="CE58" i="1"/>
  <c r="AZ58" i="1"/>
  <c r="BH58" i="1"/>
  <c r="BP58" i="1"/>
  <c r="BX58" i="1"/>
  <c r="CF58" i="1"/>
  <c r="BB58" i="1"/>
  <c r="BJ58" i="1"/>
  <c r="BR58" i="1"/>
  <c r="BZ58" i="1"/>
  <c r="CH58" i="1"/>
  <c r="BC58" i="1"/>
  <c r="BK58" i="1"/>
  <c r="BS58" i="1"/>
  <c r="CA58" i="1"/>
  <c r="AV58" i="1"/>
  <c r="BD58" i="1"/>
  <c r="BL58" i="1"/>
  <c r="BT58" i="1"/>
  <c r="CB58" i="1"/>
  <c r="AW58" i="1"/>
  <c r="BE58" i="1"/>
  <c r="BM58" i="1"/>
  <c r="BU58" i="1"/>
  <c r="CC58" i="1"/>
  <c r="AX58" i="1"/>
  <c r="BF58" i="1"/>
  <c r="BN58" i="1"/>
  <c r="BV58" i="1"/>
  <c r="CD58" i="1"/>
  <c r="BI58" i="1"/>
  <c r="BQ58" i="1"/>
  <c r="BY58" i="1"/>
  <c r="CG58" i="1"/>
  <c r="BA58" i="1"/>
  <c r="BB65" i="1"/>
  <c r="BJ65" i="1"/>
  <c r="BR65" i="1"/>
  <c r="BZ65" i="1"/>
  <c r="CH65" i="1"/>
  <c r="BC65" i="1"/>
  <c r="BK65" i="1"/>
  <c r="BS65" i="1"/>
  <c r="CA65" i="1"/>
  <c r="AV65" i="1"/>
  <c r="BD65" i="1"/>
  <c r="BL65" i="1"/>
  <c r="BT65" i="1"/>
  <c r="CB65" i="1"/>
  <c r="AW65" i="1"/>
  <c r="BE65" i="1"/>
  <c r="BM65" i="1"/>
  <c r="BU65" i="1"/>
  <c r="CC65" i="1"/>
  <c r="AX65" i="1"/>
  <c r="BF65" i="1"/>
  <c r="BN65" i="1"/>
  <c r="BV65" i="1"/>
  <c r="CD65" i="1"/>
  <c r="AY65" i="1"/>
  <c r="BG65" i="1"/>
  <c r="BO65" i="1"/>
  <c r="BW65" i="1"/>
  <c r="CE65" i="1"/>
  <c r="BA65" i="1"/>
  <c r="BI65" i="1"/>
  <c r="BQ65" i="1"/>
  <c r="BY65" i="1"/>
  <c r="CG65" i="1"/>
  <c r="AZ65" i="1"/>
  <c r="BH65" i="1"/>
  <c r="BP65" i="1"/>
  <c r="BX65" i="1"/>
  <c r="CF65" i="1"/>
  <c r="AP86" i="1"/>
  <c r="BB53" i="1"/>
  <c r="BC53" i="1"/>
  <c r="BD53" i="1"/>
  <c r="BF53" i="1"/>
  <c r="BN53" i="1"/>
  <c r="BV53" i="1"/>
  <c r="CD53" i="1"/>
  <c r="BG53" i="1"/>
  <c r="BO53" i="1"/>
  <c r="BW53" i="1"/>
  <c r="CE53" i="1"/>
  <c r="AW53" i="1"/>
  <c r="BH53" i="1"/>
  <c r="BP53" i="1"/>
  <c r="BX53" i="1"/>
  <c r="CF53" i="1"/>
  <c r="BE53" i="1"/>
  <c r="AX53" i="1"/>
  <c r="BI53" i="1"/>
  <c r="BQ53" i="1"/>
  <c r="BY53" i="1"/>
  <c r="CG53" i="1"/>
  <c r="BM53" i="1"/>
  <c r="AY53" i="1"/>
  <c r="BJ53" i="1"/>
  <c r="BR53" i="1"/>
  <c r="BZ53" i="1"/>
  <c r="CH53" i="1"/>
  <c r="BU53" i="1"/>
  <c r="AZ53" i="1"/>
  <c r="BK53" i="1"/>
  <c r="BS53" i="1"/>
  <c r="CA53" i="1"/>
  <c r="AV53" i="1"/>
  <c r="BA53" i="1"/>
  <c r="BL53" i="1"/>
  <c r="BT53" i="1"/>
  <c r="CB53" i="1"/>
  <c r="CC53" i="1"/>
  <c r="AC6" i="1"/>
  <c r="AP6" i="1" s="1"/>
  <c r="AC15" i="1"/>
  <c r="P15" i="1" s="1"/>
  <c r="AP78" i="1"/>
  <c r="BA42" i="1"/>
  <c r="BI42" i="1"/>
  <c r="BQ42" i="1"/>
  <c r="BY42" i="1"/>
  <c r="CG42" i="1"/>
  <c r="BB42" i="1"/>
  <c r="BJ42" i="1"/>
  <c r="BR42" i="1"/>
  <c r="BZ42" i="1"/>
  <c r="CH42" i="1"/>
  <c r="BC42" i="1"/>
  <c r="BK42" i="1"/>
  <c r="BS42" i="1"/>
  <c r="CA42" i="1"/>
  <c r="AZ42" i="1"/>
  <c r="AV42" i="1"/>
  <c r="BD42" i="1"/>
  <c r="BL42" i="1"/>
  <c r="BT42" i="1"/>
  <c r="CB42" i="1"/>
  <c r="BP42" i="1"/>
  <c r="AW42" i="1"/>
  <c r="BE42" i="1"/>
  <c r="BM42" i="1"/>
  <c r="BU42" i="1"/>
  <c r="CC42" i="1"/>
  <c r="BX42" i="1"/>
  <c r="AX42" i="1"/>
  <c r="BF42" i="1"/>
  <c r="BN42" i="1"/>
  <c r="BV42" i="1"/>
  <c r="CD42" i="1"/>
  <c r="BH42" i="1"/>
  <c r="AY42" i="1"/>
  <c r="BG42" i="1"/>
  <c r="BO42" i="1"/>
  <c r="BW42" i="1"/>
  <c r="CE42" i="1"/>
  <c r="CF42" i="1"/>
  <c r="AZ32" i="1"/>
  <c r="BH32" i="1"/>
  <c r="BP32" i="1"/>
  <c r="BX32" i="1"/>
  <c r="CF32" i="1"/>
  <c r="BJ32" i="1"/>
  <c r="BR32" i="1"/>
  <c r="BZ32" i="1"/>
  <c r="CH32" i="1"/>
  <c r="BC32" i="1"/>
  <c r="BS32" i="1"/>
  <c r="CA32" i="1"/>
  <c r="AV32" i="1"/>
  <c r="BD32" i="1"/>
  <c r="BL32" i="1"/>
  <c r="BT32" i="1"/>
  <c r="CB32" i="1"/>
  <c r="AW32" i="1"/>
  <c r="BE32" i="1"/>
  <c r="BM32" i="1"/>
  <c r="BU32" i="1"/>
  <c r="CC32" i="1"/>
  <c r="AX32" i="1"/>
  <c r="BF32" i="1"/>
  <c r="BN32" i="1"/>
  <c r="BV32" i="1"/>
  <c r="CD32" i="1"/>
  <c r="AY32" i="1"/>
  <c r="CE32" i="1"/>
  <c r="BA32" i="1"/>
  <c r="CG32" i="1"/>
  <c r="BG32" i="1"/>
  <c r="BW32" i="1"/>
  <c r="BI32" i="1"/>
  <c r="BO32" i="1"/>
  <c r="BQ32" i="1"/>
  <c r="BY32" i="1"/>
  <c r="AV28" i="1"/>
  <c r="BD28" i="1"/>
  <c r="BL28" i="1"/>
  <c r="BT28" i="1"/>
  <c r="CB28" i="1"/>
  <c r="BE28" i="1"/>
  <c r="BU28" i="1"/>
  <c r="AW28" i="1"/>
  <c r="BM28" i="1"/>
  <c r="CC28" i="1"/>
  <c r="AX28" i="1"/>
  <c r="BF28" i="1"/>
  <c r="BN28" i="1"/>
  <c r="BV28" i="1"/>
  <c r="CD28" i="1"/>
  <c r="AY28" i="1"/>
  <c r="BG28" i="1"/>
  <c r="BO28" i="1"/>
  <c r="BW28" i="1"/>
  <c r="CE28" i="1"/>
  <c r="AZ28" i="1"/>
  <c r="BH28" i="1"/>
  <c r="BP28" i="1"/>
  <c r="BX28" i="1"/>
  <c r="CF28" i="1"/>
  <c r="BA28" i="1"/>
  <c r="BI28" i="1"/>
  <c r="BQ28" i="1"/>
  <c r="BY28" i="1"/>
  <c r="CG28" i="1"/>
  <c r="BB28" i="1"/>
  <c r="BJ28" i="1"/>
  <c r="BR28" i="1"/>
  <c r="BZ28" i="1"/>
  <c r="CH28" i="1"/>
  <c r="BC28" i="1"/>
  <c r="BK28" i="1"/>
  <c r="CA28" i="1"/>
  <c r="BS28" i="1"/>
  <c r="AU59" i="1"/>
  <c r="AY59" i="1"/>
  <c r="BG59" i="1"/>
  <c r="BB59" i="1"/>
  <c r="BK59" i="1"/>
  <c r="BS59" i="1"/>
  <c r="CA59" i="1"/>
  <c r="AV59" i="1"/>
  <c r="BC59" i="1"/>
  <c r="BL59" i="1"/>
  <c r="BT59" i="1"/>
  <c r="CB59" i="1"/>
  <c r="BE59" i="1"/>
  <c r="BN59" i="1"/>
  <c r="BV59" i="1"/>
  <c r="CD59" i="1"/>
  <c r="AW59" i="1"/>
  <c r="BF59" i="1"/>
  <c r="BO59" i="1"/>
  <c r="BW59" i="1"/>
  <c r="CE59" i="1"/>
  <c r="AX59" i="1"/>
  <c r="BH59" i="1"/>
  <c r="BP59" i="1"/>
  <c r="BX59" i="1"/>
  <c r="CF59" i="1"/>
  <c r="AZ59" i="1"/>
  <c r="BI59" i="1"/>
  <c r="BQ59" i="1"/>
  <c r="BY59" i="1"/>
  <c r="CG59" i="1"/>
  <c r="BA59" i="1"/>
  <c r="BJ59" i="1"/>
  <c r="BR59" i="1"/>
  <c r="BZ59" i="1"/>
  <c r="CH59" i="1"/>
  <c r="BM59" i="1"/>
  <c r="BU59" i="1"/>
  <c r="CC59" i="1"/>
  <c r="BD59" i="1"/>
  <c r="AZ41" i="1"/>
  <c r="BH41" i="1"/>
  <c r="BP41" i="1"/>
  <c r="BX41" i="1"/>
  <c r="CF41" i="1"/>
  <c r="BA41" i="1"/>
  <c r="BI41" i="1"/>
  <c r="BQ41" i="1"/>
  <c r="BY41" i="1"/>
  <c r="CG41" i="1"/>
  <c r="BB41" i="1"/>
  <c r="BJ41" i="1"/>
  <c r="BR41" i="1"/>
  <c r="BZ41" i="1"/>
  <c r="CH41" i="1"/>
  <c r="AY41" i="1"/>
  <c r="BC41" i="1"/>
  <c r="BK41" i="1"/>
  <c r="BS41" i="1"/>
  <c r="CA41" i="1"/>
  <c r="BO41" i="1"/>
  <c r="AV41" i="1"/>
  <c r="BD41" i="1"/>
  <c r="BL41" i="1"/>
  <c r="BT41" i="1"/>
  <c r="CB41" i="1"/>
  <c r="BW41" i="1"/>
  <c r="AW41" i="1"/>
  <c r="BE41" i="1"/>
  <c r="BM41" i="1"/>
  <c r="BU41" i="1"/>
  <c r="CC41" i="1"/>
  <c r="BG41" i="1"/>
  <c r="AX41" i="1"/>
  <c r="BF41" i="1"/>
  <c r="BN41" i="1"/>
  <c r="BV41" i="1"/>
  <c r="CD41" i="1"/>
  <c r="CE41" i="1"/>
  <c r="AY31" i="1"/>
  <c r="BG31" i="1"/>
  <c r="BO31" i="1"/>
  <c r="BW31" i="1"/>
  <c r="CE31" i="1"/>
  <c r="AZ31" i="1"/>
  <c r="BP31" i="1"/>
  <c r="BH31" i="1"/>
  <c r="BA31" i="1"/>
  <c r="BI31" i="1"/>
  <c r="BQ31" i="1"/>
  <c r="BY31" i="1"/>
  <c r="CG31" i="1"/>
  <c r="BB31" i="1"/>
  <c r="BJ31" i="1"/>
  <c r="BR31" i="1"/>
  <c r="BZ31" i="1"/>
  <c r="CH31" i="1"/>
  <c r="BC31" i="1"/>
  <c r="BK31" i="1"/>
  <c r="BS31" i="1"/>
  <c r="CA31" i="1"/>
  <c r="AV31" i="1"/>
  <c r="BD31" i="1"/>
  <c r="BL31" i="1"/>
  <c r="BT31" i="1"/>
  <c r="CB31" i="1"/>
  <c r="AW31" i="1"/>
  <c r="BE31" i="1"/>
  <c r="BM31" i="1"/>
  <c r="BU31" i="1"/>
  <c r="CC31" i="1"/>
  <c r="AX31" i="1"/>
  <c r="BF31" i="1"/>
  <c r="BN31" i="1"/>
  <c r="CD31" i="1"/>
  <c r="BV31" i="1"/>
  <c r="BX31" i="1"/>
  <c r="CF31" i="1"/>
  <c r="BB27" i="1"/>
  <c r="BJ27" i="1"/>
  <c r="BR27" i="1"/>
  <c r="BZ27" i="1"/>
  <c r="CH27" i="1"/>
  <c r="BD27" i="1"/>
  <c r="BL27" i="1"/>
  <c r="BT27" i="1"/>
  <c r="CB27" i="1"/>
  <c r="AW27" i="1"/>
  <c r="BE27" i="1"/>
  <c r="BM27" i="1"/>
  <c r="BU27" i="1"/>
  <c r="CC27" i="1"/>
  <c r="BN27" i="1"/>
  <c r="BV27" i="1"/>
  <c r="AX27" i="1"/>
  <c r="BF27" i="1"/>
  <c r="CD27" i="1"/>
  <c r="AY27" i="1"/>
  <c r="BG27" i="1"/>
  <c r="BO27" i="1"/>
  <c r="BW27" i="1"/>
  <c r="CE27" i="1"/>
  <c r="AZ27" i="1"/>
  <c r="BH27" i="1"/>
  <c r="BP27" i="1"/>
  <c r="BX27" i="1"/>
  <c r="CF27" i="1"/>
  <c r="CA27" i="1"/>
  <c r="BA27" i="1"/>
  <c r="CG27" i="1"/>
  <c r="BC27" i="1"/>
  <c r="AV27" i="1"/>
  <c r="BI27" i="1"/>
  <c r="BK27" i="1"/>
  <c r="BS27" i="1"/>
  <c r="BY27" i="1"/>
  <c r="BQ27" i="1"/>
  <c r="P40" i="1"/>
  <c r="AV55" i="1"/>
  <c r="BD55" i="1"/>
  <c r="BL55" i="1"/>
  <c r="BT55" i="1"/>
  <c r="CB55" i="1"/>
  <c r="AW55" i="1"/>
  <c r="BE55" i="1"/>
  <c r="BM55" i="1"/>
  <c r="BU55" i="1"/>
  <c r="CC55" i="1"/>
  <c r="AY55" i="1"/>
  <c r="BG55" i="1"/>
  <c r="BO55" i="1"/>
  <c r="BW55" i="1"/>
  <c r="CE55" i="1"/>
  <c r="AZ55" i="1"/>
  <c r="BH55" i="1"/>
  <c r="BP55" i="1"/>
  <c r="BX55" i="1"/>
  <c r="CF55" i="1"/>
  <c r="BA55" i="1"/>
  <c r="BI55" i="1"/>
  <c r="BQ55" i="1"/>
  <c r="BY55" i="1"/>
  <c r="CG55" i="1"/>
  <c r="BB55" i="1"/>
  <c r="BJ55" i="1"/>
  <c r="BR55" i="1"/>
  <c r="BZ55" i="1"/>
  <c r="CH55" i="1"/>
  <c r="BC55" i="1"/>
  <c r="BK55" i="1"/>
  <c r="BS55" i="1"/>
  <c r="CA55" i="1"/>
  <c r="AX55" i="1"/>
  <c r="BF55" i="1"/>
  <c r="BN55" i="1"/>
  <c r="BV55" i="1"/>
  <c r="CD55" i="1"/>
  <c r="AW56" i="1"/>
  <c r="BE56" i="1"/>
  <c r="BM56" i="1"/>
  <c r="BU56" i="1"/>
  <c r="CC56" i="1"/>
  <c r="AX56" i="1"/>
  <c r="BF56" i="1"/>
  <c r="BN56" i="1"/>
  <c r="BV56" i="1"/>
  <c r="CD56" i="1"/>
  <c r="AZ56" i="1"/>
  <c r="BH56" i="1"/>
  <c r="BP56" i="1"/>
  <c r="BX56" i="1"/>
  <c r="CF56" i="1"/>
  <c r="BA56" i="1"/>
  <c r="BI56" i="1"/>
  <c r="BQ56" i="1"/>
  <c r="BY56" i="1"/>
  <c r="CG56" i="1"/>
  <c r="BB56" i="1"/>
  <c r="BJ56" i="1"/>
  <c r="BR56" i="1"/>
  <c r="BZ56" i="1"/>
  <c r="CH56" i="1"/>
  <c r="BC56" i="1"/>
  <c r="BK56" i="1"/>
  <c r="BS56" i="1"/>
  <c r="CA56" i="1"/>
  <c r="AV56" i="1"/>
  <c r="BD56" i="1"/>
  <c r="BL56" i="1"/>
  <c r="BT56" i="1"/>
  <c r="CB56" i="1"/>
  <c r="BW56" i="1"/>
  <c r="CE56" i="1"/>
  <c r="AY56" i="1"/>
  <c r="BG56" i="1"/>
  <c r="BO56" i="1"/>
  <c r="AU60" i="1"/>
  <c r="BB60" i="1"/>
  <c r="BJ60" i="1"/>
  <c r="BR60" i="1"/>
  <c r="BZ60" i="1"/>
  <c r="CH60" i="1"/>
  <c r="BC60" i="1"/>
  <c r="BK60" i="1"/>
  <c r="BS60" i="1"/>
  <c r="CA60" i="1"/>
  <c r="AV60" i="1"/>
  <c r="BD60" i="1"/>
  <c r="BL60" i="1"/>
  <c r="BT60" i="1"/>
  <c r="CB60" i="1"/>
  <c r="AW60" i="1"/>
  <c r="BE60" i="1"/>
  <c r="BM60" i="1"/>
  <c r="BU60" i="1"/>
  <c r="CC60" i="1"/>
  <c r="AX60" i="1"/>
  <c r="BF60" i="1"/>
  <c r="BN60" i="1"/>
  <c r="BV60" i="1"/>
  <c r="CD60" i="1"/>
  <c r="AY60" i="1"/>
  <c r="BG60" i="1"/>
  <c r="BO60" i="1"/>
  <c r="BW60" i="1"/>
  <c r="CE60" i="1"/>
  <c r="BA60" i="1"/>
  <c r="BI60" i="1"/>
  <c r="BQ60" i="1"/>
  <c r="BY60" i="1"/>
  <c r="CG60" i="1"/>
  <c r="BX60" i="1"/>
  <c r="CF60" i="1"/>
  <c r="AZ60" i="1"/>
  <c r="BH60" i="1"/>
  <c r="BP60" i="1"/>
  <c r="AS85" i="1"/>
  <c r="BC44" i="1"/>
  <c r="BK44" i="1"/>
  <c r="BS44" i="1"/>
  <c r="CA44" i="1"/>
  <c r="AV44" i="1"/>
  <c r="BD44" i="1"/>
  <c r="BL44" i="1"/>
  <c r="BT44" i="1"/>
  <c r="CB44" i="1"/>
  <c r="AW44" i="1"/>
  <c r="BE44" i="1"/>
  <c r="BM44" i="1"/>
  <c r="BU44" i="1"/>
  <c r="CC44" i="1"/>
  <c r="AX44" i="1"/>
  <c r="BF44" i="1"/>
  <c r="BN44" i="1"/>
  <c r="BV44" i="1"/>
  <c r="CD44" i="1"/>
  <c r="AY44" i="1"/>
  <c r="BG44" i="1"/>
  <c r="BO44" i="1"/>
  <c r="BW44" i="1"/>
  <c r="CE44" i="1"/>
  <c r="AZ44" i="1"/>
  <c r="BH44" i="1"/>
  <c r="BP44" i="1"/>
  <c r="BX44" i="1"/>
  <c r="CF44" i="1"/>
  <c r="BA44" i="1"/>
  <c r="BI44" i="1"/>
  <c r="BQ44" i="1"/>
  <c r="BY44" i="1"/>
  <c r="CG44" i="1"/>
  <c r="BR44" i="1"/>
  <c r="BZ44" i="1"/>
  <c r="CH44" i="1"/>
  <c r="BB44" i="1"/>
  <c r="BJ44" i="1"/>
  <c r="AY40" i="1"/>
  <c r="BG40" i="1"/>
  <c r="BO40" i="1"/>
  <c r="BW40" i="1"/>
  <c r="CE40" i="1"/>
  <c r="AZ40" i="1"/>
  <c r="BH40" i="1"/>
  <c r="BP40" i="1"/>
  <c r="BX40" i="1"/>
  <c r="CF40" i="1"/>
  <c r="BA40" i="1"/>
  <c r="BI40" i="1"/>
  <c r="BQ40" i="1"/>
  <c r="BY40" i="1"/>
  <c r="CG40" i="1"/>
  <c r="BF40" i="1"/>
  <c r="BB40" i="1"/>
  <c r="BJ40" i="1"/>
  <c r="BR40" i="1"/>
  <c r="BZ40" i="1"/>
  <c r="CH40" i="1"/>
  <c r="BN40" i="1"/>
  <c r="BC40" i="1"/>
  <c r="BK40" i="1"/>
  <c r="BS40" i="1"/>
  <c r="CA40" i="1"/>
  <c r="BV40" i="1"/>
  <c r="AV40" i="1"/>
  <c r="BD40" i="1"/>
  <c r="BL40" i="1"/>
  <c r="BT40" i="1"/>
  <c r="CB40" i="1"/>
  <c r="AX40" i="1"/>
  <c r="AW40" i="1"/>
  <c r="BE40" i="1"/>
  <c r="BM40" i="1"/>
  <c r="BU40" i="1"/>
  <c r="CC40" i="1"/>
  <c r="CD40" i="1"/>
  <c r="AX30" i="1"/>
  <c r="BF30" i="1"/>
  <c r="BN30" i="1"/>
  <c r="BV30" i="1"/>
  <c r="CD30" i="1"/>
  <c r="BG30" i="1"/>
  <c r="BW30" i="1"/>
  <c r="AY30" i="1"/>
  <c r="BO30" i="1"/>
  <c r="CE30" i="1"/>
  <c r="AZ30" i="1"/>
  <c r="BH30" i="1"/>
  <c r="BP30" i="1"/>
  <c r="BX30" i="1"/>
  <c r="CF30" i="1"/>
  <c r="BA30" i="1"/>
  <c r="BI30" i="1"/>
  <c r="BQ30" i="1"/>
  <c r="BY30" i="1"/>
  <c r="CG30" i="1"/>
  <c r="BB30" i="1"/>
  <c r="BJ30" i="1"/>
  <c r="BR30" i="1"/>
  <c r="BZ30" i="1"/>
  <c r="CH30" i="1"/>
  <c r="BC30" i="1"/>
  <c r="BK30" i="1"/>
  <c r="BS30" i="1"/>
  <c r="CA30" i="1"/>
  <c r="AV30" i="1"/>
  <c r="BD30" i="1"/>
  <c r="BL30" i="1"/>
  <c r="BT30" i="1"/>
  <c r="CB30" i="1"/>
  <c r="CC30" i="1"/>
  <c r="BM30" i="1"/>
  <c r="AW30" i="1"/>
  <c r="BE30" i="1"/>
  <c r="BU30" i="1"/>
  <c r="AU43" i="1"/>
  <c r="BB43" i="1"/>
  <c r="BJ43" i="1"/>
  <c r="BR43" i="1"/>
  <c r="BZ43" i="1"/>
  <c r="CH43" i="1"/>
  <c r="BC43" i="1"/>
  <c r="BK43" i="1"/>
  <c r="BS43" i="1"/>
  <c r="CA43" i="1"/>
  <c r="AV43" i="1"/>
  <c r="BD43" i="1"/>
  <c r="BL43" i="1"/>
  <c r="BT43" i="1"/>
  <c r="CB43" i="1"/>
  <c r="AW43" i="1"/>
  <c r="BE43" i="1"/>
  <c r="BM43" i="1"/>
  <c r="BU43" i="1"/>
  <c r="CC43" i="1"/>
  <c r="AX43" i="1"/>
  <c r="BF43" i="1"/>
  <c r="BN43" i="1"/>
  <c r="BV43" i="1"/>
  <c r="CD43" i="1"/>
  <c r="AY43" i="1"/>
  <c r="BG43" i="1"/>
  <c r="BO43" i="1"/>
  <c r="BW43" i="1"/>
  <c r="CE43" i="1"/>
  <c r="AZ43" i="1"/>
  <c r="BH43" i="1"/>
  <c r="BP43" i="1"/>
  <c r="BX43" i="1"/>
  <c r="CF43" i="1"/>
  <c r="BA43" i="1"/>
  <c r="BI43" i="1"/>
  <c r="BQ43" i="1"/>
  <c r="BY43" i="1"/>
  <c r="CG43" i="1"/>
  <c r="AT39" i="1"/>
  <c r="AX39" i="1"/>
  <c r="BF39" i="1"/>
  <c r="BN39" i="1"/>
  <c r="BV39" i="1"/>
  <c r="CD39" i="1"/>
  <c r="AY39" i="1"/>
  <c r="BG39" i="1"/>
  <c r="BO39" i="1"/>
  <c r="BW39" i="1"/>
  <c r="CE39" i="1"/>
  <c r="AZ39" i="1"/>
  <c r="BH39" i="1"/>
  <c r="BP39" i="1"/>
  <c r="BX39" i="1"/>
  <c r="CF39" i="1"/>
  <c r="BE39" i="1"/>
  <c r="BA39" i="1"/>
  <c r="BI39" i="1"/>
  <c r="BQ39" i="1"/>
  <c r="BY39" i="1"/>
  <c r="CG39" i="1"/>
  <c r="BM39" i="1"/>
  <c r="BB39" i="1"/>
  <c r="BJ39" i="1"/>
  <c r="BR39" i="1"/>
  <c r="BZ39" i="1"/>
  <c r="CH39" i="1"/>
  <c r="BU39" i="1"/>
  <c r="BC39" i="1"/>
  <c r="BK39" i="1"/>
  <c r="BS39" i="1"/>
  <c r="CA39" i="1"/>
  <c r="AW39" i="1"/>
  <c r="AV39" i="1"/>
  <c r="BD39" i="1"/>
  <c r="BL39" i="1"/>
  <c r="BT39" i="1"/>
  <c r="CB39" i="1"/>
  <c r="CC39" i="1"/>
  <c r="AU29" i="1"/>
  <c r="AW29" i="1"/>
  <c r="BE29" i="1"/>
  <c r="BM29" i="1"/>
  <c r="BU29" i="1"/>
  <c r="CC29" i="1"/>
  <c r="AX29" i="1"/>
  <c r="BN29" i="1"/>
  <c r="CD29" i="1"/>
  <c r="BF29" i="1"/>
  <c r="BV29" i="1"/>
  <c r="AY29" i="1"/>
  <c r="BG29" i="1"/>
  <c r="BO29" i="1"/>
  <c r="BW29" i="1"/>
  <c r="CE29" i="1"/>
  <c r="AZ29" i="1"/>
  <c r="BH29" i="1"/>
  <c r="BP29" i="1"/>
  <c r="BX29" i="1"/>
  <c r="CF29" i="1"/>
  <c r="BA29" i="1"/>
  <c r="BI29" i="1"/>
  <c r="BQ29" i="1"/>
  <c r="BY29" i="1"/>
  <c r="CG29" i="1"/>
  <c r="BB29" i="1"/>
  <c r="BJ29" i="1"/>
  <c r="BR29" i="1"/>
  <c r="BZ29" i="1"/>
  <c r="CH29" i="1"/>
  <c r="BC29" i="1"/>
  <c r="BK29" i="1"/>
  <c r="BS29" i="1"/>
  <c r="CA29" i="1"/>
  <c r="BD29" i="1"/>
  <c r="BL29" i="1"/>
  <c r="BT29" i="1"/>
  <c r="CB29" i="1"/>
  <c r="AV29" i="1"/>
  <c r="AV66" i="1"/>
  <c r="BD66" i="1"/>
  <c r="BL66" i="1"/>
  <c r="BT66" i="1"/>
  <c r="CB66" i="1"/>
  <c r="AW66" i="1"/>
  <c r="BE66" i="1"/>
  <c r="BM66" i="1"/>
  <c r="BU66" i="1"/>
  <c r="CC66" i="1"/>
  <c r="AX66" i="1"/>
  <c r="BF66" i="1"/>
  <c r="BN66" i="1"/>
  <c r="BV66" i="1"/>
  <c r="CD66" i="1"/>
  <c r="AY66" i="1"/>
  <c r="BG66" i="1"/>
  <c r="BO66" i="1"/>
  <c r="BW66" i="1"/>
  <c r="CE66" i="1"/>
  <c r="AZ66" i="1"/>
  <c r="BH66" i="1"/>
  <c r="BP66" i="1"/>
  <c r="BX66" i="1"/>
  <c r="CF66" i="1"/>
  <c r="BA66" i="1"/>
  <c r="BI66" i="1"/>
  <c r="BQ66" i="1"/>
  <c r="BY66" i="1"/>
  <c r="CG66" i="1"/>
  <c r="BC66" i="1"/>
  <c r="BK66" i="1"/>
  <c r="BS66" i="1"/>
  <c r="CA66" i="1"/>
  <c r="BB66" i="1"/>
  <c r="BJ66" i="1"/>
  <c r="BR66" i="1"/>
  <c r="BZ66" i="1"/>
  <c r="CH66" i="1"/>
  <c r="AN15" i="1"/>
  <c r="B304" i="6"/>
  <c r="B302" i="6"/>
  <c r="P86" i="1"/>
  <c r="B233" i="9"/>
  <c r="AS11" i="1"/>
  <c r="B390" i="15"/>
  <c r="B307" i="10"/>
  <c r="P78" i="1"/>
  <c r="B21" i="13"/>
  <c r="AH27" i="1"/>
  <c r="P27" i="1" s="1"/>
  <c r="K156" i="7"/>
  <c r="K173" i="7"/>
  <c r="K218" i="7"/>
  <c r="K211" i="7"/>
  <c r="AG44" i="1"/>
  <c r="K155" i="7"/>
  <c r="K157" i="7"/>
  <c r="B58" i="13"/>
  <c r="P32" i="1"/>
  <c r="B652" i="13"/>
  <c r="P30" i="1"/>
  <c r="K183" i="7"/>
  <c r="K158" i="7"/>
  <c r="K149" i="7"/>
  <c r="K217" i="7"/>
  <c r="K210" i="7"/>
  <c r="K175" i="7"/>
  <c r="K162" i="7"/>
  <c r="K153" i="7"/>
  <c r="K213" i="7"/>
  <c r="K178" i="7"/>
  <c r="B644" i="14" s="1"/>
  <c r="AG70" i="1"/>
  <c r="AG40" i="1"/>
  <c r="AS40" i="1" s="1"/>
  <c r="AG39" i="1"/>
  <c r="AS39" i="1" s="1"/>
  <c r="AG60" i="1"/>
  <c r="AH70" i="1"/>
  <c r="AG69" i="1"/>
  <c r="AG31" i="1"/>
  <c r="B170" i="13" s="1"/>
  <c r="AG58" i="1"/>
  <c r="AT42" i="1"/>
  <c r="AG32" i="1"/>
  <c r="AS32" i="1" s="1"/>
  <c r="K140" i="7"/>
  <c r="K208" i="7"/>
  <c r="K193" i="7"/>
  <c r="K186" i="7"/>
  <c r="AG29" i="1"/>
  <c r="AS29" i="1" s="1"/>
  <c r="K219" i="7"/>
  <c r="K212" i="7"/>
  <c r="K189" i="7"/>
  <c r="K139" i="7"/>
  <c r="AG28" i="1"/>
  <c r="AG67" i="1"/>
  <c r="K148" i="7"/>
  <c r="K216" i="7"/>
  <c r="K201" i="7"/>
  <c r="K194" i="7"/>
  <c r="AG43" i="1"/>
  <c r="K144" i="7"/>
  <c r="K220" i="7"/>
  <c r="K197" i="7"/>
  <c r="K164" i="7"/>
  <c r="K147" i="7"/>
  <c r="AG41" i="1"/>
  <c r="AG27" i="1"/>
  <c r="AU44" i="1"/>
  <c r="AU40" i="1"/>
  <c r="P51" i="1"/>
  <c r="AG61" i="1"/>
  <c r="AS61" i="1" s="1"/>
  <c r="AH39" i="1"/>
  <c r="AH61" i="1"/>
  <c r="AG57" i="1"/>
  <c r="AH69" i="1"/>
  <c r="P65" i="1"/>
  <c r="Q65" i="1" s="1"/>
  <c r="AL65" i="1" s="1"/>
  <c r="AH63" i="1"/>
  <c r="AG53" i="1"/>
  <c r="AS53" i="1" s="1"/>
  <c r="P62" i="1"/>
  <c r="P60" i="1"/>
  <c r="AG63" i="1"/>
  <c r="AG65" i="1"/>
  <c r="P55" i="1"/>
  <c r="Q55" i="1" s="1"/>
  <c r="AL55" i="1" s="1"/>
  <c r="P42" i="1"/>
  <c r="B473" i="14" s="1"/>
  <c r="Q40" i="1"/>
  <c r="AL40" i="1" s="1"/>
  <c r="AG42" i="1"/>
  <c r="AS42" i="1" s="1"/>
  <c r="AH31" i="1"/>
  <c r="P31" i="1" s="1"/>
  <c r="P28" i="1"/>
  <c r="AT63" i="1"/>
  <c r="AU63" i="1"/>
  <c r="AT31" i="1"/>
  <c r="B568" i="13" s="1"/>
  <c r="B577" i="13"/>
  <c r="B605" i="13"/>
  <c r="AU27" i="1"/>
  <c r="AT27" i="1"/>
  <c r="B579" i="13"/>
  <c r="B263" i="13"/>
  <c r="AS30" i="1"/>
  <c r="AT30" i="1"/>
  <c r="AU30" i="1"/>
  <c r="AT29" i="1"/>
  <c r="B414" i="13" s="1"/>
  <c r="B293" i="14"/>
  <c r="B291" i="14"/>
  <c r="B279" i="14"/>
  <c r="AT43" i="1"/>
  <c r="AU39" i="1"/>
  <c r="AT44" i="1"/>
  <c r="AT40" i="1"/>
  <c r="AV62" i="1"/>
  <c r="BD62" i="1"/>
  <c r="BL62" i="1"/>
  <c r="BT62" i="1"/>
  <c r="CB62" i="1"/>
  <c r="AW62" i="1"/>
  <c r="BE62" i="1"/>
  <c r="BM62" i="1"/>
  <c r="BU62" i="1"/>
  <c r="CC62" i="1"/>
  <c r="AX62" i="1"/>
  <c r="BF62" i="1"/>
  <c r="BN62" i="1"/>
  <c r="BV62" i="1"/>
  <c r="CD62" i="1"/>
  <c r="AY62" i="1"/>
  <c r="BG62" i="1"/>
  <c r="BO62" i="1"/>
  <c r="BW62" i="1"/>
  <c r="CE62" i="1"/>
  <c r="BA62" i="1"/>
  <c r="BI62" i="1"/>
  <c r="BQ62" i="1"/>
  <c r="BY62" i="1"/>
  <c r="CG62" i="1"/>
  <c r="AZ62" i="1"/>
  <c r="BS62" i="1"/>
  <c r="BB62" i="1"/>
  <c r="BX62" i="1"/>
  <c r="BC62" i="1"/>
  <c r="BZ62" i="1"/>
  <c r="BH62" i="1"/>
  <c r="CA62" i="1"/>
  <c r="BJ62" i="1"/>
  <c r="CF62" i="1"/>
  <c r="BK62" i="1"/>
  <c r="CH62" i="1"/>
  <c r="BP62" i="1"/>
  <c r="BR62" i="1"/>
  <c r="AT62" i="1"/>
  <c r="AU62" i="1"/>
  <c r="AS62" i="1"/>
  <c r="AW67" i="1"/>
  <c r="BE67" i="1"/>
  <c r="BM67" i="1"/>
  <c r="BU67" i="1"/>
  <c r="CC67" i="1"/>
  <c r="AX67" i="1"/>
  <c r="BF67" i="1"/>
  <c r="BN67" i="1"/>
  <c r="BV67" i="1"/>
  <c r="CD67" i="1"/>
  <c r="AY67" i="1"/>
  <c r="BG67" i="1"/>
  <c r="BO67" i="1"/>
  <c r="BW67" i="1"/>
  <c r="CE67" i="1"/>
  <c r="AZ67" i="1"/>
  <c r="BH67" i="1"/>
  <c r="BP67" i="1"/>
  <c r="BX67" i="1"/>
  <c r="CF67" i="1"/>
  <c r="BA67" i="1"/>
  <c r="BI67" i="1"/>
  <c r="BQ67" i="1"/>
  <c r="BY67" i="1"/>
  <c r="CG67" i="1"/>
  <c r="BB67" i="1"/>
  <c r="BJ67" i="1"/>
  <c r="BR67" i="1"/>
  <c r="BZ67" i="1"/>
  <c r="CH67" i="1"/>
  <c r="AV67" i="1"/>
  <c r="BD67" i="1"/>
  <c r="BL67" i="1"/>
  <c r="BT67" i="1"/>
  <c r="CB67" i="1"/>
  <c r="CA67" i="1"/>
  <c r="BC67" i="1"/>
  <c r="BK67" i="1"/>
  <c r="BS67" i="1"/>
  <c r="AU67" i="1"/>
  <c r="AT67" i="1"/>
  <c r="B268" i="11"/>
  <c r="AP21" i="1"/>
  <c r="B416" i="11"/>
  <c r="B106" i="11"/>
  <c r="P21" i="1"/>
  <c r="B414" i="11" s="1"/>
  <c r="AS86" i="1"/>
  <c r="AS50" i="1"/>
  <c r="B68" i="15" s="1"/>
  <c r="B403" i="15"/>
  <c r="B251" i="15"/>
  <c r="AP15" i="1"/>
  <c r="B194" i="10"/>
  <c r="B342" i="10"/>
  <c r="B18" i="10"/>
  <c r="B306" i="9"/>
  <c r="B150" i="9"/>
  <c r="B454" i="9"/>
  <c r="AP14" i="1"/>
  <c r="P14" i="1"/>
  <c r="B304" i="9" s="1"/>
  <c r="B16" i="10"/>
  <c r="B43" i="10" s="1"/>
  <c r="B192" i="10"/>
  <c r="B400" i="14"/>
  <c r="AS84" i="1"/>
  <c r="AP16" i="1"/>
  <c r="P16" i="1"/>
  <c r="B377" i="10" s="1"/>
  <c r="B62" i="10"/>
  <c r="B379" i="10"/>
  <c r="B231" i="10"/>
  <c r="B149" i="6"/>
  <c r="AS76" i="1"/>
  <c r="AS73" i="1"/>
  <c r="BC61" i="1"/>
  <c r="BK61" i="1"/>
  <c r="BS61" i="1"/>
  <c r="CA61" i="1"/>
  <c r="AV61" i="1"/>
  <c r="BD61" i="1"/>
  <c r="BL61" i="1"/>
  <c r="BT61" i="1"/>
  <c r="CB61" i="1"/>
  <c r="AW61" i="1"/>
  <c r="BE61" i="1"/>
  <c r="BM61" i="1"/>
  <c r="BU61" i="1"/>
  <c r="CC61" i="1"/>
  <c r="AX61" i="1"/>
  <c r="BF61" i="1"/>
  <c r="BN61" i="1"/>
  <c r="BV61" i="1"/>
  <c r="CD61" i="1"/>
  <c r="AY61" i="1"/>
  <c r="AZ61" i="1"/>
  <c r="BH61" i="1"/>
  <c r="BP61" i="1"/>
  <c r="BX61" i="1"/>
  <c r="CF61" i="1"/>
  <c r="BQ61" i="1"/>
  <c r="BR61" i="1"/>
  <c r="BA61" i="1"/>
  <c r="BW61" i="1"/>
  <c r="BB61" i="1"/>
  <c r="BY61" i="1"/>
  <c r="BG61" i="1"/>
  <c r="BZ61" i="1"/>
  <c r="BI61" i="1"/>
  <c r="CE61" i="1"/>
  <c r="BJ61" i="1"/>
  <c r="CG61" i="1"/>
  <c r="BO61" i="1"/>
  <c r="CH61" i="1"/>
  <c r="AU61" i="1"/>
  <c r="AT61" i="1"/>
  <c r="B34" i="13"/>
  <c r="Q78" i="1"/>
  <c r="AL78" i="1" s="1"/>
  <c r="P70" i="1"/>
  <c r="Q70" i="1" s="1"/>
  <c r="AL70" i="1" s="1"/>
  <c r="P39" i="1"/>
  <c r="Q39" i="1" s="1"/>
  <c r="AL39" i="1" s="1"/>
  <c r="B256" i="14" s="1"/>
  <c r="AS27" i="1"/>
  <c r="B22" i="13" s="1"/>
  <c r="B631" i="14"/>
  <c r="B208" i="14"/>
  <c r="AS28" i="1"/>
  <c r="B59" i="13" s="1"/>
  <c r="B631" i="13"/>
  <c r="AS58" i="1"/>
  <c r="B128" i="13"/>
  <c r="B148" i="13" s="1"/>
  <c r="B554" i="13"/>
  <c r="AS60" i="1"/>
  <c r="AS65" i="1"/>
  <c r="B132" i="14"/>
  <c r="B477" i="14"/>
  <c r="Q28" i="1"/>
  <c r="AL28" i="1" s="1"/>
  <c r="B333" i="13" s="1"/>
  <c r="B128" i="14"/>
  <c r="B148" i="14" s="1"/>
  <c r="B67" i="10"/>
  <c r="AS81" i="1"/>
  <c r="AS82" i="1"/>
  <c r="AY69" i="1"/>
  <c r="BG69" i="1"/>
  <c r="BO69" i="1"/>
  <c r="BW69" i="1"/>
  <c r="CE69" i="1"/>
  <c r="AZ69" i="1"/>
  <c r="BH69" i="1"/>
  <c r="BP69" i="1"/>
  <c r="BX69" i="1"/>
  <c r="CF69" i="1"/>
  <c r="BA69" i="1"/>
  <c r="BI69" i="1"/>
  <c r="BQ69" i="1"/>
  <c r="BY69" i="1"/>
  <c r="CG69" i="1"/>
  <c r="BB69" i="1"/>
  <c r="BJ69" i="1"/>
  <c r="BR69" i="1"/>
  <c r="BZ69" i="1"/>
  <c r="CH69" i="1"/>
  <c r="BC69" i="1"/>
  <c r="BK69" i="1"/>
  <c r="BS69" i="1"/>
  <c r="CA69" i="1"/>
  <c r="AV69" i="1"/>
  <c r="BD69" i="1"/>
  <c r="BL69" i="1"/>
  <c r="BT69" i="1"/>
  <c r="CB69" i="1"/>
  <c r="AX69" i="1"/>
  <c r="BF69" i="1"/>
  <c r="BN69" i="1"/>
  <c r="BV69" i="1"/>
  <c r="CD69" i="1"/>
  <c r="BM69" i="1"/>
  <c r="BU69" i="1"/>
  <c r="CC69" i="1"/>
  <c r="AW69" i="1"/>
  <c r="BE69" i="1"/>
  <c r="AT69" i="1"/>
  <c r="AU69" i="1"/>
  <c r="AU68" i="1"/>
  <c r="AX68" i="1"/>
  <c r="BF68" i="1"/>
  <c r="BN68" i="1"/>
  <c r="BV68" i="1"/>
  <c r="CD68" i="1"/>
  <c r="AY68" i="1"/>
  <c r="BG68" i="1"/>
  <c r="BO68" i="1"/>
  <c r="BW68" i="1"/>
  <c r="CE68" i="1"/>
  <c r="AZ68" i="1"/>
  <c r="BH68" i="1"/>
  <c r="BP68" i="1"/>
  <c r="BX68" i="1"/>
  <c r="CF68" i="1"/>
  <c r="BA68" i="1"/>
  <c r="BI68" i="1"/>
  <c r="BQ68" i="1"/>
  <c r="BY68" i="1"/>
  <c r="CG68" i="1"/>
  <c r="BB68" i="1"/>
  <c r="BJ68" i="1"/>
  <c r="BR68" i="1"/>
  <c r="BZ68" i="1"/>
  <c r="CH68" i="1"/>
  <c r="BC68" i="1"/>
  <c r="BK68" i="1"/>
  <c r="BS68" i="1"/>
  <c r="CA68" i="1"/>
  <c r="AW68" i="1"/>
  <c r="BE68" i="1"/>
  <c r="BM68" i="1"/>
  <c r="BU68" i="1"/>
  <c r="CC68" i="1"/>
  <c r="AV68" i="1"/>
  <c r="BD68" i="1"/>
  <c r="BL68" i="1"/>
  <c r="BT68" i="1"/>
  <c r="CB68" i="1"/>
  <c r="AT68" i="1"/>
  <c r="AZ70" i="1"/>
  <c r="BH70" i="1"/>
  <c r="BP70" i="1"/>
  <c r="BX70" i="1"/>
  <c r="CF70" i="1"/>
  <c r="BA70" i="1"/>
  <c r="BI70" i="1"/>
  <c r="BQ70" i="1"/>
  <c r="BY70" i="1"/>
  <c r="CG70" i="1"/>
  <c r="BB70" i="1"/>
  <c r="BJ70" i="1"/>
  <c r="BR70" i="1"/>
  <c r="BZ70" i="1"/>
  <c r="CH70" i="1"/>
  <c r="BC70" i="1"/>
  <c r="BK70" i="1"/>
  <c r="BS70" i="1"/>
  <c r="CA70" i="1"/>
  <c r="AV70" i="1"/>
  <c r="BD70" i="1"/>
  <c r="BL70" i="1"/>
  <c r="BT70" i="1"/>
  <c r="CB70" i="1"/>
  <c r="AW70" i="1"/>
  <c r="BE70" i="1"/>
  <c r="BM70" i="1"/>
  <c r="BU70" i="1"/>
  <c r="CC70" i="1"/>
  <c r="AY70" i="1"/>
  <c r="BG70" i="1"/>
  <c r="BO70" i="1"/>
  <c r="BW70" i="1"/>
  <c r="CE70" i="1"/>
  <c r="AX70" i="1"/>
  <c r="BF70" i="1"/>
  <c r="BN70" i="1"/>
  <c r="BV70" i="1"/>
  <c r="CD70" i="1"/>
  <c r="AU70" i="1"/>
  <c r="AT70" i="1"/>
  <c r="B242" i="14"/>
  <c r="B506" i="14"/>
  <c r="B506" i="28"/>
  <c r="B266" i="11"/>
  <c r="AG56" i="1"/>
  <c r="AH56" i="1"/>
  <c r="P56" i="1" s="1"/>
  <c r="AH44" i="1"/>
  <c r="P44" i="1" s="1"/>
  <c r="AT32" i="1"/>
  <c r="B645" i="13"/>
  <c r="AU32" i="1"/>
  <c r="B646" i="13" s="1"/>
  <c r="BB32" i="1"/>
  <c r="B653" i="13" s="1"/>
  <c r="BK32" i="1"/>
  <c r="B662" i="13" s="1"/>
  <c r="B325" i="13"/>
  <c r="B323" i="13"/>
  <c r="Q15" i="1"/>
  <c r="AL15" i="1" s="1"/>
  <c r="B207" i="10" s="1"/>
  <c r="AS43" i="1"/>
  <c r="B400" i="13"/>
  <c r="Q21" i="1"/>
  <c r="AL21" i="1" s="1"/>
  <c r="B241" i="15"/>
  <c r="AS41" i="1"/>
  <c r="Q60" i="1"/>
  <c r="AL60" i="1" s="1"/>
  <c r="Q86" i="1"/>
  <c r="AL86" i="1" s="1"/>
  <c r="B104" i="11"/>
  <c r="B131" i="11" s="1"/>
  <c r="B246" i="13"/>
  <c r="B127" i="6"/>
  <c r="B610" i="13"/>
  <c r="B346" i="10"/>
  <c r="B99" i="6"/>
  <c r="B188" i="10"/>
  <c r="B249" i="13"/>
  <c r="B152" i="15"/>
  <c r="B548" i="13"/>
  <c r="B39" i="15"/>
  <c r="B67" i="11"/>
  <c r="B262" i="11"/>
  <c r="B81" i="15"/>
  <c r="B300" i="9"/>
  <c r="B235" i="8"/>
  <c r="B238" i="13"/>
  <c r="B242" i="15"/>
  <c r="B125" i="14"/>
  <c r="B61" i="9"/>
  <c r="B299" i="10"/>
  <c r="B357" i="15"/>
  <c r="B301" i="14"/>
  <c r="B169" i="13"/>
  <c r="B35" i="15"/>
  <c r="B293" i="15"/>
  <c r="B349" i="12"/>
  <c r="B628" i="14"/>
  <c r="B448" i="9"/>
  <c r="B547" i="13"/>
  <c r="B342" i="12"/>
  <c r="B302" i="13"/>
  <c r="B199" i="13"/>
  <c r="B379" i="16"/>
  <c r="B100" i="6"/>
  <c r="B305" i="6"/>
  <c r="B223" i="6"/>
  <c r="B382" i="11"/>
  <c r="B60" i="6"/>
  <c r="B79" i="6"/>
  <c r="B301" i="9"/>
  <c r="B373" i="11"/>
  <c r="B12" i="13"/>
  <c r="B310" i="6"/>
  <c r="B460" i="10"/>
  <c r="B66" i="10"/>
  <c r="B60" i="13"/>
  <c r="B225" i="11"/>
  <c r="B133" i="13"/>
  <c r="B105" i="11"/>
  <c r="B420" i="10"/>
  <c r="B180" i="12"/>
  <c r="B153" i="11"/>
  <c r="B194" i="9"/>
  <c r="B268" i="8"/>
  <c r="B314" i="13"/>
  <c r="B332" i="13" s="1"/>
  <c r="B345" i="10"/>
  <c r="B100" i="12"/>
  <c r="B101" i="11"/>
  <c r="B22" i="10"/>
  <c r="B17" i="8"/>
  <c r="B339" i="12"/>
  <c r="B460" i="11"/>
  <c r="B122" i="10"/>
  <c r="B156" i="9"/>
  <c r="B306" i="15"/>
  <c r="B66" i="6"/>
  <c r="B62" i="6"/>
  <c r="B69" i="6"/>
  <c r="B458" i="9"/>
  <c r="B236" i="6"/>
  <c r="B320" i="13"/>
  <c r="B269" i="6"/>
  <c r="B263" i="6"/>
  <c r="B322" i="13"/>
  <c r="B438" i="12"/>
  <c r="B49" i="14"/>
  <c r="B423" i="11"/>
  <c r="B468" i="13"/>
  <c r="B486" i="13" s="1"/>
  <c r="B392" i="13"/>
  <c r="B98" i="12"/>
  <c r="B92" i="12"/>
  <c r="B145" i="11"/>
  <c r="B448" i="11"/>
  <c r="B236" i="9"/>
  <c r="B168" i="8"/>
  <c r="B318" i="13"/>
  <c r="B52" i="13"/>
  <c r="B86" i="8"/>
  <c r="B54" i="12"/>
  <c r="B300" i="11"/>
  <c r="B264" i="10"/>
  <c r="B146" i="9"/>
  <c r="B22" i="8"/>
  <c r="B481" i="12"/>
  <c r="B122" i="11"/>
  <c r="B451" i="9"/>
  <c r="B17" i="9"/>
  <c r="B56" i="8"/>
  <c r="B469" i="16"/>
  <c r="B65" i="6"/>
  <c r="B109" i="6"/>
  <c r="B262" i="6"/>
  <c r="B226" i="6"/>
  <c r="B228" i="6"/>
  <c r="B112" i="6"/>
  <c r="B53" i="8"/>
  <c r="B125" i="13"/>
  <c r="B156" i="11"/>
  <c r="B327" i="13"/>
  <c r="B299" i="12"/>
  <c r="B321" i="13"/>
  <c r="B166" i="10"/>
  <c r="B21" i="12"/>
  <c r="B299" i="11"/>
  <c r="B225" i="9"/>
  <c r="B244" i="9" s="1"/>
  <c r="B166" i="8"/>
  <c r="B326" i="13"/>
  <c r="B15" i="8"/>
  <c r="B433" i="12"/>
  <c r="B308" i="12"/>
  <c r="B110" i="11"/>
  <c r="B61" i="10"/>
  <c r="B59" i="6"/>
  <c r="B230" i="6"/>
  <c r="B24" i="10"/>
  <c r="B64" i="6"/>
  <c r="B107" i="6"/>
  <c r="B56" i="6"/>
  <c r="B222" i="6"/>
  <c r="B241" i="6" s="1"/>
  <c r="B57" i="6"/>
  <c r="B298" i="6"/>
  <c r="B450" i="11"/>
  <c r="B264" i="8"/>
  <c r="B60" i="8"/>
  <c r="B179" i="12"/>
  <c r="B198" i="8"/>
  <c r="B121" i="8"/>
  <c r="B126" i="9"/>
  <c r="B384" i="9"/>
  <c r="B256" i="12"/>
  <c r="B375" i="11"/>
  <c r="B225" i="10"/>
  <c r="B170" i="9"/>
  <c r="B194" i="8"/>
  <c r="B299" i="6"/>
  <c r="B412" i="9"/>
  <c r="B109" i="10"/>
  <c r="B47" i="8"/>
  <c r="B401" i="13"/>
  <c r="B78" i="10"/>
  <c r="B262" i="8"/>
  <c r="B268" i="6"/>
  <c r="B151" i="6"/>
  <c r="B233" i="6"/>
  <c r="B48" i="8"/>
  <c r="B159" i="8"/>
  <c r="B126" i="10"/>
  <c r="B126" i="6"/>
  <c r="B113" i="11"/>
  <c r="B531" i="13"/>
  <c r="B100" i="11"/>
  <c r="B84" i="10"/>
  <c r="B393" i="10"/>
  <c r="B83" i="6"/>
  <c r="B259" i="6"/>
  <c r="B278" i="6" s="1"/>
  <c r="B95" i="13"/>
  <c r="B147" i="10"/>
  <c r="B240" i="15"/>
  <c r="B456" i="13"/>
  <c r="B53" i="12"/>
  <c r="B38" i="10"/>
  <c r="B245" i="13"/>
  <c r="B198" i="9"/>
  <c r="B60" i="12"/>
  <c r="B15" i="10"/>
  <c r="B228" i="9"/>
  <c r="B130" i="13"/>
  <c r="B401" i="12"/>
  <c r="B393" i="11"/>
  <c r="B105" i="9"/>
  <c r="B309" i="6"/>
  <c r="B219" i="12"/>
  <c r="B13" i="9"/>
  <c r="B316" i="13"/>
  <c r="B21" i="8"/>
  <c r="B452" i="10"/>
  <c r="B271" i="10"/>
  <c r="B51" i="8"/>
  <c r="B201" i="11"/>
  <c r="B102" i="9"/>
  <c r="B58" i="12"/>
  <c r="B237" i="9"/>
  <c r="B58" i="14"/>
  <c r="B154" i="9"/>
  <c r="B455" i="13"/>
  <c r="B132" i="13"/>
  <c r="B454" i="13"/>
  <c r="B416" i="9"/>
  <c r="B632" i="13"/>
  <c r="B474" i="13"/>
  <c r="B352" i="12"/>
  <c r="B265" i="6"/>
  <c r="B55" i="10"/>
  <c r="B266" i="9"/>
  <c r="B11" i="10"/>
  <c r="B224" i="10"/>
  <c r="B243" i="10" s="1"/>
  <c r="B122" i="9"/>
  <c r="B131" i="13"/>
  <c r="B34" i="10"/>
  <c r="B110" i="9"/>
  <c r="B301" i="11"/>
  <c r="B308" i="6"/>
  <c r="B228" i="10"/>
  <c r="B298" i="11"/>
  <c r="B317" i="11" s="1"/>
  <c r="B21" i="10"/>
  <c r="B97" i="13"/>
  <c r="B153" i="6"/>
  <c r="B234" i="11"/>
  <c r="B469" i="13"/>
  <c r="B24" i="13"/>
  <c r="B144" i="11"/>
  <c r="B336" i="9"/>
  <c r="B355" i="9" s="1"/>
  <c r="B128" i="9"/>
  <c r="B83" i="8"/>
  <c r="B374" i="11"/>
  <c r="B157" i="9"/>
  <c r="B316" i="6"/>
  <c r="B461" i="9"/>
  <c r="B91" i="13"/>
  <c r="B152" i="6"/>
  <c r="B317" i="13"/>
  <c r="B480" i="13"/>
  <c r="B399" i="13"/>
  <c r="B470" i="14"/>
  <c r="B296" i="12"/>
  <c r="B392" i="12"/>
  <c r="B385" i="9"/>
  <c r="B474" i="12"/>
  <c r="B105" i="6"/>
  <c r="B147" i="11"/>
  <c r="B267" i="11"/>
  <c r="B238" i="8"/>
  <c r="B103" i="6"/>
  <c r="B351" i="12"/>
  <c r="B300" i="13"/>
  <c r="B239" i="13"/>
  <c r="B232" i="6"/>
  <c r="B145" i="9"/>
  <c r="B189" i="9"/>
  <c r="B419" i="11"/>
  <c r="B198" i="11"/>
  <c r="B302" i="10"/>
  <c r="B100" i="9"/>
  <c r="B57" i="10"/>
  <c r="B123" i="8"/>
  <c r="B51" i="13"/>
  <c r="B345" i="12"/>
  <c r="B457" i="9"/>
  <c r="B58" i="8"/>
  <c r="B149" i="11"/>
  <c r="B453" i="9"/>
  <c r="B50" i="8"/>
  <c r="B142" i="6"/>
  <c r="B101" i="10"/>
  <c r="B92" i="13"/>
  <c r="B25" i="10"/>
  <c r="B59" i="8"/>
  <c r="B157" i="8"/>
  <c r="B102" i="11"/>
  <c r="B49" i="8"/>
  <c r="B153" i="9"/>
  <c r="B88" i="13"/>
  <c r="B260" i="6"/>
  <c r="B80" i="6"/>
  <c r="B35" i="9"/>
  <c r="B626" i="16"/>
  <c r="B467" i="10"/>
  <c r="B412" i="11"/>
  <c r="B57" i="8"/>
  <c r="B419" i="10"/>
  <c r="B150" i="6"/>
  <c r="B156" i="8"/>
  <c r="B225" i="6"/>
  <c r="B110" i="10"/>
  <c r="B128" i="10"/>
  <c r="B87" i="14"/>
  <c r="B271" i="8"/>
  <c r="B533" i="13"/>
  <c r="B304" i="12"/>
  <c r="B460" i="9"/>
  <c r="B129" i="13"/>
  <c r="B103" i="11"/>
  <c r="B226" i="9"/>
  <c r="B475" i="13"/>
  <c r="B435" i="12"/>
  <c r="B308" i="11"/>
  <c r="B238" i="9"/>
  <c r="B93" i="13"/>
  <c r="B187" i="11"/>
  <c r="B206" i="11" s="1"/>
  <c r="B411" i="11"/>
  <c r="B155" i="9"/>
  <c r="B11" i="13"/>
  <c r="B480" i="16"/>
  <c r="B79" i="11"/>
  <c r="B176" i="12"/>
  <c r="B143" i="9"/>
  <c r="B55" i="14"/>
  <c r="B202" i="9"/>
  <c r="B50" i="13"/>
  <c r="B82" i="9"/>
  <c r="B430" i="11"/>
  <c r="B300" i="6"/>
  <c r="B377" i="13"/>
  <c r="B96" i="12"/>
  <c r="B450" i="10"/>
  <c r="B165" i="6"/>
  <c r="B154" i="6"/>
  <c r="B304" i="11"/>
  <c r="B304" i="10"/>
  <c r="B211" i="16"/>
  <c r="B469" i="14"/>
  <c r="B471" i="14"/>
  <c r="B167" i="8"/>
  <c r="B128" i="12"/>
  <c r="B166" i="9"/>
  <c r="B136" i="13"/>
  <c r="B372" i="11"/>
  <c r="B391" i="11" s="1"/>
  <c r="B397" i="13"/>
  <c r="B12" i="10"/>
  <c r="B98" i="13"/>
  <c r="B300" i="12"/>
  <c r="B235" i="10"/>
  <c r="B260" i="8"/>
  <c r="B278" i="8" s="1"/>
  <c r="B135" i="13"/>
  <c r="B114" i="12"/>
  <c r="B115" i="12" s="1"/>
  <c r="B262" i="10"/>
  <c r="B158" i="8"/>
  <c r="B92" i="8"/>
  <c r="B226" i="10"/>
  <c r="B459" i="11"/>
  <c r="B476" i="13"/>
  <c r="B472" i="16"/>
  <c r="B273" i="8"/>
  <c r="B193" i="10"/>
  <c r="B34" i="9"/>
  <c r="B149" i="10"/>
  <c r="B25" i="9"/>
  <c r="B492" i="14"/>
  <c r="B171" i="12"/>
  <c r="B209" i="14"/>
  <c r="B446" i="11"/>
  <c r="B465" i="11" s="1"/>
  <c r="B276" i="9"/>
  <c r="B245" i="10"/>
  <c r="B350" i="9"/>
  <c r="B319" i="11"/>
  <c r="B339" i="11"/>
  <c r="B58" i="6"/>
  <c r="B197" i="11"/>
  <c r="B395" i="13"/>
  <c r="B68" i="10"/>
  <c r="B63" i="12"/>
  <c r="B127" i="13"/>
  <c r="B129" i="8"/>
  <c r="B264" i="9"/>
  <c r="B54" i="13"/>
  <c r="B99" i="11"/>
  <c r="B17" i="13"/>
  <c r="B264" i="12"/>
  <c r="B95" i="8"/>
  <c r="B481" i="13"/>
  <c r="B214" i="12"/>
  <c r="B124" i="13"/>
  <c r="B224" i="11"/>
  <c r="B243" i="11" s="1"/>
  <c r="B39" i="9"/>
  <c r="B67" i="9"/>
  <c r="B275" i="9"/>
  <c r="B70" i="6"/>
  <c r="B386" i="11"/>
  <c r="B105" i="10"/>
  <c r="B254" i="12"/>
  <c r="B280" i="12" s="1"/>
  <c r="B228" i="11"/>
  <c r="B91" i="16"/>
  <c r="B173" i="17"/>
  <c r="B472" i="14"/>
  <c r="B127" i="14"/>
  <c r="B322" i="16"/>
  <c r="B123" i="14"/>
  <c r="B273" i="15"/>
  <c r="B203" i="15"/>
  <c r="B162" i="14"/>
  <c r="B213" i="15"/>
  <c r="B230" i="15"/>
  <c r="B205" i="15"/>
  <c r="B125" i="17"/>
  <c r="B93" i="14"/>
  <c r="B205" i="14"/>
  <c r="B52" i="14"/>
  <c r="B257" i="12"/>
  <c r="B403" i="13"/>
  <c r="B268" i="9"/>
  <c r="B154" i="11"/>
  <c r="B11" i="9"/>
  <c r="B123" i="13"/>
  <c r="B75" i="12"/>
  <c r="B76" i="12" s="1"/>
  <c r="B149" i="9"/>
  <c r="B310" i="10"/>
  <c r="B472" i="12"/>
  <c r="B348" i="12"/>
  <c r="B306" i="6"/>
  <c r="B134" i="12"/>
  <c r="B89" i="13"/>
  <c r="B146" i="6"/>
  <c r="B477" i="12"/>
  <c r="B188" i="11"/>
  <c r="B411" i="9"/>
  <c r="B224" i="6"/>
  <c r="B320" i="9"/>
  <c r="B422" i="11"/>
  <c r="B261" i="6"/>
  <c r="B245" i="11"/>
  <c r="B266" i="12"/>
  <c r="B128" i="11"/>
  <c r="B93" i="16"/>
  <c r="B531" i="14"/>
  <c r="B229" i="15"/>
  <c r="B248" i="15" s="1"/>
  <c r="B407" i="15"/>
  <c r="B84" i="15"/>
  <c r="B331" i="15"/>
  <c r="B194" i="15"/>
  <c r="B89" i="14"/>
  <c r="B192" i="15"/>
  <c r="B383" i="15"/>
  <c r="B197" i="15"/>
  <c r="B95" i="14"/>
  <c r="B625" i="17"/>
  <c r="B54" i="14"/>
  <c r="B92" i="14"/>
  <c r="B267" i="6"/>
  <c r="B112" i="9"/>
  <c r="B223" i="12"/>
  <c r="B235" i="9"/>
  <c r="B385" i="11"/>
  <c r="B99" i="9"/>
  <c r="B170" i="11"/>
  <c r="B21" i="9"/>
  <c r="B170" i="10"/>
  <c r="B108" i="6"/>
  <c r="B67" i="6"/>
  <c r="B272" i="6"/>
  <c r="B153" i="12"/>
  <c r="B154" i="12" s="1"/>
  <c r="B447" i="11"/>
  <c r="B19" i="12"/>
  <c r="B14" i="9"/>
  <c r="B449" i="11"/>
  <c r="B155" i="8"/>
  <c r="B173" i="8" s="1"/>
  <c r="B161" i="8"/>
  <c r="B409" i="10"/>
  <c r="B428" i="10" s="1"/>
  <c r="B188" i="9"/>
  <c r="B207" i="9" s="1"/>
  <c r="B23" i="13"/>
  <c r="B140" i="12"/>
  <c r="B69" i="10"/>
  <c r="B123" i="11"/>
  <c r="B431" i="9"/>
  <c r="B171" i="13"/>
  <c r="B110" i="6"/>
  <c r="B387" i="9"/>
  <c r="B15" i="12"/>
  <c r="B259" i="12"/>
  <c r="B319" i="10"/>
  <c r="B125" i="8"/>
  <c r="B340" i="12"/>
  <c r="B359" i="12" s="1"/>
  <c r="B361" i="12" s="1"/>
  <c r="B555" i="16"/>
  <c r="B164" i="17"/>
  <c r="B532" i="14"/>
  <c r="B33" i="15"/>
  <c r="B320" i="18"/>
  <c r="B624" i="13"/>
  <c r="B387" i="15"/>
  <c r="B330" i="15"/>
  <c r="B307" i="15"/>
  <c r="B61" i="13"/>
  <c r="B22" i="9"/>
  <c r="B312" i="11"/>
  <c r="B315" i="13"/>
  <c r="B265" i="9"/>
  <c r="B283" i="10"/>
  <c r="B394" i="13"/>
  <c r="B113" i="9"/>
  <c r="B79" i="10"/>
  <c r="B12" i="9"/>
  <c r="B12" i="11"/>
  <c r="B15" i="9"/>
  <c r="B266" i="8"/>
  <c r="B470" i="13"/>
  <c r="B185" i="14"/>
  <c r="B474" i="16"/>
  <c r="B56" i="13"/>
  <c r="B569" i="13"/>
  <c r="B66" i="9"/>
  <c r="B346" i="11"/>
  <c r="B203" i="8"/>
  <c r="B157" i="11"/>
  <c r="B127" i="8"/>
  <c r="B376" i="11"/>
  <c r="B244" i="16"/>
  <c r="B549" i="16"/>
  <c r="B202" i="17"/>
  <c r="B18" i="15"/>
  <c r="B480" i="14"/>
  <c r="B476" i="14"/>
  <c r="B204" i="15"/>
  <c r="B165" i="14"/>
  <c r="B327" i="16"/>
  <c r="B175" i="15"/>
  <c r="B391" i="15"/>
  <c r="B80" i="15"/>
  <c r="B147" i="9"/>
  <c r="B237" i="10"/>
  <c r="B378" i="13"/>
  <c r="B472" i="13"/>
  <c r="B164" i="8"/>
  <c r="B468" i="12"/>
  <c r="B11" i="11"/>
  <c r="B434" i="12"/>
  <c r="B126" i="13"/>
  <c r="B272" i="10"/>
  <c r="B90" i="12"/>
  <c r="B338" i="11"/>
  <c r="B50" i="17"/>
  <c r="B552" i="17"/>
  <c r="B165" i="13"/>
  <c r="B162" i="13"/>
  <c r="B21" i="18"/>
  <c r="B217" i="15"/>
  <c r="B244" i="13"/>
  <c r="B227" i="9"/>
  <c r="B269" i="8"/>
  <c r="B398" i="13"/>
  <c r="B478" i="13"/>
  <c r="B49" i="13"/>
  <c r="B146" i="11"/>
  <c r="B452" i="11"/>
  <c r="B126" i="11"/>
  <c r="B13" i="10"/>
  <c r="B163" i="8"/>
  <c r="B65" i="11"/>
  <c r="B235" i="6"/>
  <c r="B457" i="11"/>
  <c r="B548" i="17"/>
  <c r="B475" i="14"/>
  <c r="B471" i="17"/>
  <c r="B394" i="15"/>
  <c r="B270" i="15"/>
  <c r="B634" i="17"/>
  <c r="B207" i="14"/>
  <c r="B193" i="15"/>
  <c r="B54" i="18"/>
  <c r="B91" i="14"/>
  <c r="B56" i="16"/>
  <c r="B202" i="14"/>
  <c r="B318" i="14"/>
  <c r="B237" i="17"/>
  <c r="B255" i="17" s="1"/>
  <c r="B61" i="14"/>
  <c r="B237" i="16"/>
  <c r="B255" i="16" s="1"/>
  <c r="B24" i="14"/>
  <c r="B200" i="14"/>
  <c r="B324" i="14"/>
  <c r="B269" i="15"/>
  <c r="B102" i="10"/>
  <c r="B301" i="10"/>
  <c r="B238" i="11"/>
  <c r="B213" i="12"/>
  <c r="B315" i="12"/>
  <c r="B109" i="9"/>
  <c r="B55" i="13"/>
  <c r="B447" i="10"/>
  <c r="B391" i="13"/>
  <c r="B409" i="13" s="1"/>
  <c r="B97" i="17"/>
  <c r="B414" i="9"/>
  <c r="B100" i="10"/>
  <c r="B56" i="10"/>
  <c r="B231" i="9"/>
  <c r="B261" i="10"/>
  <c r="B280" i="10" s="1"/>
  <c r="B253" i="12"/>
  <c r="B272" i="12"/>
  <c r="B481" i="14"/>
  <c r="B191" i="15"/>
  <c r="B210" i="15" s="1"/>
  <c r="B201" i="15"/>
  <c r="B147" i="15"/>
  <c r="B686" i="17"/>
  <c r="B163" i="14"/>
  <c r="B384" i="15"/>
  <c r="B315" i="15"/>
  <c r="B315" i="16"/>
  <c r="B202" i="13"/>
  <c r="B56" i="14"/>
  <c r="B50" i="16"/>
  <c r="B98" i="14"/>
  <c r="B136" i="16"/>
  <c r="B136" i="14"/>
  <c r="B429" i="15"/>
  <c r="B203" i="13"/>
  <c r="B13" i="14"/>
  <c r="B203" i="14"/>
  <c r="B552" i="14"/>
  <c r="B378" i="14"/>
  <c r="B215" i="15"/>
  <c r="B113" i="10"/>
  <c r="B82" i="10"/>
  <c r="B311" i="11"/>
  <c r="B378" i="11"/>
  <c r="B136" i="12"/>
  <c r="B101" i="6"/>
  <c r="B302" i="12"/>
  <c r="B349" i="10"/>
  <c r="B275" i="10"/>
  <c r="B263" i="11"/>
  <c r="B423" i="9"/>
  <c r="B239" i="9"/>
  <c r="B201" i="9"/>
  <c r="B165" i="8"/>
  <c r="B141" i="8"/>
  <c r="B210" i="12"/>
  <c r="B468" i="14"/>
  <c r="B486" i="14" s="1"/>
  <c r="B385" i="15"/>
  <c r="B316" i="15"/>
  <c r="B281" i="15"/>
  <c r="B318" i="16"/>
  <c r="B164" i="14"/>
  <c r="B329" i="15"/>
  <c r="B169" i="16"/>
  <c r="B202" i="15"/>
  <c r="B457" i="15"/>
  <c r="B476" i="15" s="1"/>
  <c r="B56" i="18"/>
  <c r="B51" i="18"/>
  <c r="B546" i="17"/>
  <c r="B206" i="14"/>
  <c r="B392" i="15"/>
  <c r="B553" i="17"/>
  <c r="B244" i="14"/>
  <c r="B19" i="14"/>
  <c r="B629" i="14"/>
  <c r="B545" i="14"/>
  <c r="B563" i="14" s="1"/>
  <c r="B320" i="14"/>
  <c r="B608" i="13"/>
  <c r="B397" i="14"/>
  <c r="B277" i="15"/>
  <c r="B274" i="10"/>
  <c r="B413" i="11"/>
  <c r="B383" i="11"/>
  <c r="B141" i="12"/>
  <c r="B102" i="6"/>
  <c r="B478" i="12"/>
  <c r="B263" i="9"/>
  <c r="B447" i="9"/>
  <c r="B466" i="9" s="1"/>
  <c r="B308" i="10"/>
  <c r="B388" i="12"/>
  <c r="B306" i="12"/>
  <c r="B14" i="8"/>
  <c r="B11" i="8"/>
  <c r="B55" i="8"/>
  <c r="B422" i="9"/>
  <c r="B216" i="12"/>
  <c r="B545" i="16"/>
  <c r="B563" i="16" s="1"/>
  <c r="B167" i="14"/>
  <c r="B311" i="15"/>
  <c r="B23" i="18"/>
  <c r="B21" i="15"/>
  <c r="B382" i="15"/>
  <c r="B314" i="16"/>
  <c r="B332" i="16" s="1"/>
  <c r="B406" i="15"/>
  <c r="B395" i="15"/>
  <c r="B49" i="16"/>
  <c r="B250" i="14"/>
  <c r="B206" i="13"/>
  <c r="B14" i="14"/>
  <c r="B377" i="14"/>
  <c r="B455" i="16"/>
  <c r="B267" i="15"/>
  <c r="B286" i="15" s="1"/>
  <c r="B267" i="10"/>
  <c r="B226" i="11"/>
  <c r="B62" i="12"/>
  <c r="B130" i="8"/>
  <c r="B279" i="6"/>
  <c r="B168" i="12"/>
  <c r="B192" i="12" s="1"/>
  <c r="B192" i="9"/>
  <c r="B300" i="10"/>
  <c r="B283" i="9"/>
  <c r="B555" i="13"/>
  <c r="B477" i="13"/>
  <c r="B428" i="12"/>
  <c r="B376" i="10"/>
  <c r="B137" i="12"/>
  <c r="B238" i="16"/>
  <c r="B355" i="15"/>
  <c r="B171" i="14"/>
  <c r="B169" i="14"/>
  <c r="B377" i="16"/>
  <c r="B305" i="15"/>
  <c r="B324" i="15" s="1"/>
  <c r="B309" i="15"/>
  <c r="B327" i="14"/>
  <c r="B103" i="15"/>
  <c r="B88" i="14"/>
  <c r="B199" i="14"/>
  <c r="B85" i="17"/>
  <c r="B97" i="14"/>
  <c r="B127" i="16"/>
  <c r="B240" i="14"/>
  <c r="B394" i="14"/>
  <c r="B317" i="14"/>
  <c r="B316" i="14"/>
  <c r="B302" i="16"/>
  <c r="B191" i="10"/>
  <c r="B424" i="9"/>
  <c r="B59" i="10"/>
  <c r="B309" i="11"/>
  <c r="B177" i="12"/>
  <c r="B120" i="8"/>
  <c r="B199" i="9"/>
  <c r="B260" i="12"/>
  <c r="B474" i="14"/>
  <c r="B216" i="15"/>
  <c r="B23" i="14"/>
  <c r="B201" i="14"/>
  <c r="B321" i="14"/>
  <c r="B302" i="11"/>
  <c r="B169" i="6"/>
  <c r="B102" i="15"/>
  <c r="B69" i="15"/>
  <c r="B13" i="8"/>
  <c r="B24" i="12"/>
  <c r="B368" i="15"/>
  <c r="B148" i="6"/>
  <c r="B93" i="12"/>
  <c r="B23" i="8"/>
  <c r="B409" i="11"/>
  <c r="B428" i="11" s="1"/>
  <c r="B433" i="15"/>
  <c r="B59" i="9"/>
  <c r="B62" i="15"/>
  <c r="B59" i="15"/>
  <c r="B310" i="9"/>
  <c r="B299" i="9"/>
  <c r="B318" i="9" s="1"/>
  <c r="B191" i="9"/>
  <c r="B111" i="15"/>
  <c r="B231" i="15"/>
  <c r="B232" i="15"/>
  <c r="B112" i="10"/>
  <c r="B205" i="13"/>
  <c r="B109" i="11"/>
  <c r="B94" i="8"/>
  <c r="B249" i="14"/>
  <c r="B403" i="14"/>
  <c r="B552" i="13"/>
  <c r="B243" i="13"/>
  <c r="B264" i="11"/>
  <c r="B445" i="15"/>
  <c r="B468" i="9"/>
  <c r="B344" i="15"/>
  <c r="B629" i="13"/>
  <c r="B340" i="9"/>
  <c r="B413" i="10"/>
  <c r="B170" i="12"/>
  <c r="B343" i="12"/>
  <c r="B243" i="14"/>
  <c r="B241" i="13"/>
  <c r="B56" i="9"/>
  <c r="B297" i="6"/>
  <c r="B532" i="13"/>
  <c r="B144" i="9"/>
  <c r="B165" i="16"/>
  <c r="B58" i="17"/>
  <c r="B421" i="19"/>
  <c r="B314" i="17"/>
  <c r="B332" i="17" s="1"/>
  <c r="B227" i="11"/>
  <c r="B143" i="11"/>
  <c r="B89" i="16"/>
  <c r="B170" i="15"/>
  <c r="B17" i="16"/>
  <c r="B551" i="14"/>
  <c r="B61" i="18"/>
  <c r="B85" i="14"/>
  <c r="B302" i="18"/>
  <c r="B238" i="14"/>
  <c r="B211" i="14"/>
  <c r="B635" i="13"/>
  <c r="B280" i="15"/>
  <c r="B237" i="11"/>
  <c r="B97" i="12"/>
  <c r="B339" i="10"/>
  <c r="B25" i="15"/>
  <c r="B622" i="14"/>
  <c r="B640" i="14" s="1"/>
  <c r="B198" i="10"/>
  <c r="B391" i="14"/>
  <c r="B409" i="14" s="1"/>
  <c r="B272" i="9"/>
  <c r="B309" i="12"/>
  <c r="B157" i="10"/>
  <c r="B145" i="10"/>
  <c r="B353" i="15"/>
  <c r="B35" i="11"/>
  <c r="B17" i="11"/>
  <c r="B343" i="15"/>
  <c r="B362" i="15" s="1"/>
  <c r="B624" i="14"/>
  <c r="B239" i="14"/>
  <c r="B463" i="15"/>
  <c r="B558" i="13"/>
  <c r="B201" i="8"/>
  <c r="B85" i="13"/>
  <c r="B420" i="9"/>
  <c r="B349" i="11"/>
  <c r="B168" i="14"/>
  <c r="B211" i="13"/>
  <c r="B122" i="8"/>
  <c r="B144" i="10"/>
  <c r="B41" i="15"/>
  <c r="B487" i="12"/>
  <c r="B415" i="10"/>
  <c r="B432" i="12"/>
  <c r="B225" i="8"/>
  <c r="B243" i="8" s="1"/>
  <c r="B404" i="14"/>
  <c r="B547" i="14"/>
  <c r="B56" i="11"/>
  <c r="B68" i="11"/>
  <c r="B243" i="15"/>
  <c r="B399" i="14"/>
  <c r="B422" i="10"/>
  <c r="B15" i="11"/>
  <c r="B61" i="11"/>
  <c r="B546" i="13"/>
  <c r="B167" i="12"/>
  <c r="B222" i="12"/>
  <c r="B383" i="10"/>
  <c r="B549" i="13"/>
  <c r="B234" i="8"/>
  <c r="B385" i="10"/>
  <c r="B307" i="6"/>
  <c r="B301" i="13"/>
  <c r="B533" i="14"/>
  <c r="B297" i="12"/>
  <c r="B316" i="12" s="1"/>
  <c r="B318" i="12" s="1"/>
  <c r="B15" i="17"/>
  <c r="B391" i="17"/>
  <c r="B409" i="17" s="1"/>
  <c r="B13" i="18"/>
  <c r="B38" i="9"/>
  <c r="B558" i="18"/>
  <c r="B405" i="15"/>
  <c r="B18" i="14"/>
  <c r="B201" i="13"/>
  <c r="B49" i="18"/>
  <c r="B395" i="14"/>
  <c r="B410" i="9"/>
  <c r="B429" i="9" s="1"/>
  <c r="B385" i="12"/>
  <c r="B551" i="13"/>
  <c r="B58" i="15"/>
  <c r="B192" i="8"/>
  <c r="B123" i="15"/>
  <c r="B101" i="15"/>
  <c r="B268" i="15"/>
  <c r="B265" i="12"/>
  <c r="B175" i="12"/>
  <c r="B375" i="9"/>
  <c r="B425" i="12"/>
  <c r="B282" i="11"/>
  <c r="B383" i="9"/>
  <c r="B201" i="10"/>
  <c r="B146" i="15"/>
  <c r="B70" i="15"/>
  <c r="B199" i="11"/>
  <c r="B429" i="12"/>
  <c r="B21" i="11"/>
  <c r="B282" i="10"/>
  <c r="B245" i="14"/>
  <c r="B12" i="15"/>
  <c r="B461" i="15"/>
  <c r="B444" i="12"/>
  <c r="B193" i="11"/>
  <c r="B12" i="12"/>
  <c r="B450" i="9"/>
  <c r="B313" i="9"/>
  <c r="B131" i="14"/>
  <c r="B23" i="15"/>
  <c r="B398" i="14"/>
  <c r="B338" i="9"/>
  <c r="B126" i="14"/>
  <c r="B66" i="11"/>
  <c r="B91" i="8"/>
  <c r="B233" i="8"/>
  <c r="B480" i="12"/>
  <c r="B144" i="6"/>
  <c r="B99" i="12"/>
  <c r="B347" i="12"/>
  <c r="B425" i="20"/>
  <c r="B239" i="15"/>
  <c r="B360" i="10"/>
  <c r="B212" i="13"/>
  <c r="B58" i="10"/>
  <c r="B25" i="11"/>
  <c r="B386" i="12"/>
  <c r="B379" i="13"/>
  <c r="B358" i="12"/>
  <c r="B623" i="17"/>
  <c r="B207" i="16"/>
  <c r="B205" i="16"/>
  <c r="B255" i="21"/>
  <c r="B267" i="19"/>
  <c r="B286" i="19" s="1"/>
  <c r="B420" i="19"/>
  <c r="B263" i="12"/>
  <c r="B220" i="12"/>
  <c r="B202" i="22"/>
  <c r="B163" i="18"/>
  <c r="B173" i="14"/>
  <c r="B250" i="16"/>
  <c r="B249" i="16"/>
  <c r="B207" i="13"/>
  <c r="B546" i="14"/>
  <c r="B471" i="12"/>
  <c r="B347" i="9"/>
  <c r="B630" i="13"/>
  <c r="B237" i="14"/>
  <c r="B255" i="14" s="1"/>
  <c r="B227" i="8"/>
  <c r="B103" i="10"/>
  <c r="B129" i="15"/>
  <c r="B229" i="12"/>
  <c r="B186" i="12"/>
  <c r="B132" i="8"/>
  <c r="B626" i="13"/>
  <c r="B626" i="14"/>
  <c r="B261" i="11"/>
  <c r="B280" i="11" s="1"/>
  <c r="B96" i="8"/>
  <c r="B685" i="14"/>
  <c r="B191" i="11"/>
  <c r="B628" i="13"/>
  <c r="B22" i="11"/>
  <c r="B24" i="8"/>
  <c r="B339" i="9"/>
  <c r="B114" i="15"/>
  <c r="B135" i="14"/>
  <c r="B273" i="9"/>
  <c r="B55" i="11"/>
  <c r="B230" i="10"/>
  <c r="B274" i="11"/>
  <c r="B367" i="15"/>
  <c r="B171" i="15"/>
  <c r="B130" i="14"/>
  <c r="B553" i="13"/>
  <c r="B395" i="12"/>
  <c r="B164" i="13"/>
  <c r="B394" i="9"/>
  <c r="B356" i="10"/>
  <c r="B341" i="11"/>
  <c r="B312" i="9"/>
  <c r="B13" i="15"/>
  <c r="B347" i="15"/>
  <c r="B125" i="15"/>
  <c r="B23" i="11"/>
  <c r="B413" i="9"/>
  <c r="B211" i="12"/>
  <c r="B230" i="12" s="1"/>
  <c r="B232" i="12" s="1"/>
  <c r="B191" i="8"/>
  <c r="B95" i="12"/>
  <c r="B99" i="10"/>
  <c r="B349" i="15"/>
  <c r="B156" i="15"/>
  <c r="B34" i="11"/>
  <c r="B275" i="11"/>
  <c r="B18" i="13"/>
  <c r="AT41" i="1"/>
  <c r="B414" i="14" s="1"/>
  <c r="AU41" i="1"/>
  <c r="B415" i="14" s="1"/>
  <c r="AU28" i="1"/>
  <c r="B338" i="13" s="1"/>
  <c r="AT28" i="1"/>
  <c r="B337" i="13" s="1"/>
  <c r="B583" i="17"/>
  <c r="B279" i="15"/>
  <c r="B327" i="15"/>
  <c r="B236" i="15"/>
  <c r="B108" i="15"/>
  <c r="B377" i="17"/>
  <c r="B89" i="8"/>
  <c r="B167" i="13"/>
  <c r="B382" i="22"/>
  <c r="B401" i="22" s="1"/>
  <c r="B112" i="11"/>
  <c r="B415" i="11"/>
  <c r="B38" i="11"/>
  <c r="B195" i="15"/>
  <c r="B341" i="10"/>
  <c r="B303" i="9"/>
  <c r="B36" i="12"/>
  <c r="B37" i="12" s="1"/>
  <c r="B454" i="14"/>
  <c r="B374" i="9"/>
  <c r="B65" i="9"/>
  <c r="B82" i="11"/>
  <c r="B345" i="19"/>
  <c r="B129" i="22"/>
  <c r="B204" i="19"/>
  <c r="B147" i="20"/>
  <c r="B233" i="20"/>
  <c r="B238" i="17"/>
  <c r="B255" i="20"/>
  <c r="B302" i="14"/>
  <c r="B113" i="6"/>
  <c r="B446" i="10"/>
  <c r="B465" i="10" s="1"/>
  <c r="B393" i="13"/>
  <c r="B608" i="14"/>
  <c r="B261" i="12"/>
  <c r="B101" i="12"/>
  <c r="B335" i="11"/>
  <c r="B354" i="11" s="1"/>
  <c r="B159" i="15"/>
  <c r="B312" i="10"/>
  <c r="B168" i="15"/>
  <c r="B115" i="15"/>
  <c r="B163" i="13"/>
  <c r="B17" i="15"/>
  <c r="B69" i="9"/>
  <c r="B634" i="13"/>
  <c r="B208" i="10"/>
  <c r="B318" i="15"/>
  <c r="B336" i="11"/>
  <c r="B200" i="11"/>
  <c r="B459" i="9"/>
  <c r="B14" i="15"/>
  <c r="B471" i="15"/>
  <c r="B347" i="11"/>
  <c r="B119" i="8"/>
  <c r="B459" i="10"/>
  <c r="B411" i="10"/>
  <c r="B24" i="15"/>
  <c r="B128" i="8"/>
  <c r="B227" i="10"/>
  <c r="B322" i="14"/>
  <c r="B203" i="17"/>
  <c r="B17" i="14"/>
  <c r="B326" i="16"/>
  <c r="B161" i="14"/>
  <c r="B174" i="14"/>
  <c r="B163" i="17"/>
  <c r="B263" i="10"/>
  <c r="B440" i="20"/>
  <c r="B675" i="17"/>
  <c r="B113" i="15"/>
  <c r="B350" i="15"/>
  <c r="B63" i="15"/>
  <c r="B426" i="15"/>
  <c r="B48" i="13"/>
  <c r="B367" i="20"/>
  <c r="B226" i="8"/>
  <c r="B407" i="21"/>
  <c r="B111" i="21"/>
  <c r="B309" i="10"/>
  <c r="B103" i="9"/>
  <c r="B85" i="8"/>
  <c r="B86" i="15"/>
  <c r="B41" i="22"/>
  <c r="B173" i="12"/>
  <c r="B200" i="13"/>
  <c r="B443" i="15"/>
  <c r="B271" i="11"/>
  <c r="B378" i="10"/>
  <c r="B383" i="12"/>
  <c r="B407" i="12" s="1"/>
  <c r="B143" i="6"/>
  <c r="B456" i="10"/>
  <c r="B41" i="21"/>
  <c r="B170" i="20"/>
  <c r="B468" i="19"/>
  <c r="B125" i="19"/>
  <c r="B69" i="20"/>
  <c r="B356" i="19"/>
  <c r="B463" i="20"/>
  <c r="B315" i="17"/>
  <c r="B195" i="21"/>
  <c r="B470" i="20"/>
  <c r="B426" i="22"/>
  <c r="B175" i="19"/>
  <c r="B253" i="20"/>
  <c r="B165" i="18"/>
  <c r="B255" i="22"/>
  <c r="B174" i="16"/>
  <c r="B170" i="19"/>
  <c r="B13" i="20"/>
  <c r="B302" i="17"/>
  <c r="B115" i="21"/>
  <c r="B483" i="15"/>
  <c r="B190" i="8"/>
  <c r="B208" i="8" s="1"/>
  <c r="B337" i="9"/>
  <c r="B425" i="15"/>
  <c r="B56" i="12"/>
  <c r="B390" i="12"/>
  <c r="B78" i="15"/>
  <c r="B129" i="14"/>
  <c r="B421" i="9"/>
  <c r="B625" i="13"/>
  <c r="B419" i="15"/>
  <c r="B438" i="15" s="1"/>
  <c r="B189" i="10"/>
  <c r="B346" i="15"/>
  <c r="B379" i="14"/>
  <c r="B272" i="8"/>
  <c r="B557" i="14"/>
  <c r="B309" i="9"/>
  <c r="B272" i="11"/>
  <c r="B609" i="14"/>
  <c r="B553" i="14"/>
  <c r="B40" i="15"/>
  <c r="B200" i="8"/>
  <c r="B296" i="6"/>
  <c r="B315" i="6" s="1"/>
  <c r="B623" i="14"/>
  <c r="B420" i="11"/>
  <c r="B271" i="15"/>
  <c r="B234" i="10"/>
  <c r="B14" i="10"/>
  <c r="B314" i="14"/>
  <c r="B332" i="14" s="1"/>
  <c r="B88" i="17"/>
  <c r="B184" i="17"/>
  <c r="B48" i="14"/>
  <c r="B686" i="13"/>
  <c r="B319" i="15"/>
  <c r="B166" i="11"/>
  <c r="B526" i="14"/>
  <c r="B349" i="16"/>
  <c r="B593" i="16"/>
  <c r="B573" i="16"/>
  <c r="B578" i="17"/>
  <c r="B317" i="15"/>
  <c r="B678" i="17"/>
  <c r="B388" i="15"/>
  <c r="B492" i="16"/>
  <c r="B169" i="15"/>
  <c r="B13" i="13"/>
  <c r="B373" i="10"/>
  <c r="B79" i="9"/>
  <c r="B69" i="21"/>
  <c r="B233" i="19"/>
  <c r="B263" i="8"/>
  <c r="B24" i="11"/>
  <c r="B231" i="8"/>
  <c r="B329" i="22"/>
  <c r="B168" i="21"/>
  <c r="B65" i="10"/>
  <c r="B449" i="9"/>
  <c r="B375" i="10"/>
  <c r="B404" i="18"/>
  <c r="B50" i="12"/>
  <c r="B346" i="9"/>
  <c r="B124" i="14"/>
  <c r="B468" i="20"/>
  <c r="B421" i="21"/>
  <c r="B33" i="20"/>
  <c r="B316" i="22"/>
  <c r="B444" i="19"/>
  <c r="B39" i="19"/>
  <c r="B12" i="21"/>
  <c r="B271" i="21"/>
  <c r="B80" i="21"/>
  <c r="B229" i="21"/>
  <c r="B107" i="22"/>
  <c r="B85" i="20"/>
  <c r="B388" i="22"/>
  <c r="B326" i="17"/>
  <c r="B60" i="20"/>
  <c r="B378" i="17"/>
  <c r="B458" i="21"/>
  <c r="B306" i="22"/>
  <c r="B70" i="20"/>
  <c r="B60" i="19"/>
  <c r="B445" i="19"/>
  <c r="B168" i="18"/>
  <c r="B379" i="18"/>
  <c r="B129" i="21"/>
  <c r="B420" i="20"/>
  <c r="B133" i="18"/>
  <c r="B343" i="21"/>
  <c r="B362" i="21" s="1"/>
  <c r="B345" i="22"/>
  <c r="B292" i="22"/>
  <c r="B432" i="19"/>
  <c r="B56" i="22"/>
  <c r="B314" i="18"/>
  <c r="B332" i="18" s="1"/>
  <c r="B381" i="20"/>
  <c r="B400" i="20" s="1"/>
  <c r="B125" i="21"/>
  <c r="B127" i="18"/>
  <c r="B287" i="20"/>
  <c r="B145" i="6"/>
  <c r="B93" i="8"/>
  <c r="B634" i="14"/>
  <c r="B23" i="12"/>
  <c r="B687" i="13"/>
  <c r="B57" i="9"/>
  <c r="B78" i="11"/>
  <c r="B84" i="9"/>
  <c r="B456" i="11"/>
  <c r="B11" i="15"/>
  <c r="B174" i="13"/>
  <c r="B143" i="10"/>
  <c r="B356" i="15"/>
  <c r="B630" i="14"/>
  <c r="B382" i="10"/>
  <c r="B469" i="12"/>
  <c r="B498" i="12" s="1"/>
  <c r="B557" i="13"/>
  <c r="B107" i="15"/>
  <c r="B265" i="10"/>
  <c r="B402" i="19"/>
  <c r="B156" i="10"/>
  <c r="B270" i="6"/>
  <c r="B66" i="15"/>
  <c r="B261" i="8"/>
  <c r="B241" i="14"/>
  <c r="B348" i="10"/>
  <c r="B17" i="10"/>
  <c r="B549" i="14"/>
  <c r="B135" i="16"/>
  <c r="B551" i="17"/>
  <c r="B50" i="14"/>
  <c r="B369" i="15"/>
  <c r="B34" i="20"/>
  <c r="B470" i="15"/>
  <c r="B146" i="20"/>
  <c r="B426" i="12"/>
  <c r="B452" i="12" s="1"/>
  <c r="B604" i="16"/>
  <c r="B593" i="17"/>
  <c r="B606" i="17"/>
  <c r="B479" i="15"/>
  <c r="B667" i="17"/>
  <c r="B645" i="16"/>
  <c r="B478" i="19"/>
  <c r="B337" i="16"/>
  <c r="B261" i="16"/>
  <c r="B491" i="16"/>
  <c r="B132" i="12"/>
  <c r="B78" i="21"/>
  <c r="B236" i="8"/>
  <c r="B384" i="22"/>
  <c r="B308" i="15"/>
  <c r="B686" i="14"/>
  <c r="B237" i="8"/>
  <c r="B386" i="9"/>
  <c r="B460" i="22"/>
  <c r="B347" i="20"/>
  <c r="B307" i="22"/>
  <c r="B204" i="20"/>
  <c r="B101" i="9"/>
  <c r="B218" i="12"/>
  <c r="B57" i="11"/>
  <c r="B386" i="10"/>
  <c r="B101" i="22"/>
  <c r="B305" i="22"/>
  <c r="B324" i="22" s="1"/>
  <c r="B161" i="16"/>
  <c r="B190" i="9"/>
  <c r="B457" i="10"/>
  <c r="B401" i="14"/>
  <c r="B422" i="15"/>
  <c r="B197" i="21"/>
  <c r="B470" i="21"/>
  <c r="B471" i="19"/>
  <c r="B445" i="22"/>
  <c r="B367" i="19"/>
  <c r="B471" i="21"/>
  <c r="B21" i="20"/>
  <c r="B125" i="20"/>
  <c r="B70" i="19"/>
  <c r="B58" i="19"/>
  <c r="B35" i="19"/>
  <c r="B548" i="16"/>
  <c r="B86" i="20"/>
  <c r="B270" i="22"/>
  <c r="B78" i="20"/>
  <c r="B349" i="20"/>
  <c r="B345" i="20"/>
  <c r="B191" i="21"/>
  <c r="B210" i="21" s="1"/>
  <c r="B434" i="22"/>
  <c r="B136" i="18"/>
  <c r="B383" i="19"/>
  <c r="B457" i="20"/>
  <c r="B476" i="20" s="1"/>
  <c r="B467" i="21"/>
  <c r="B422" i="22"/>
  <c r="B194" i="19"/>
  <c r="B685" i="18"/>
  <c r="B114" i="22"/>
  <c r="B105" i="20"/>
  <c r="B459" i="19"/>
  <c r="B35" i="22"/>
  <c r="B305" i="19"/>
  <c r="B324" i="19" s="1"/>
  <c r="B432" i="21"/>
  <c r="B382" i="19"/>
  <c r="B292" i="20"/>
  <c r="B150" i="19"/>
  <c r="B239" i="20"/>
  <c r="B443" i="19"/>
  <c r="B623" i="18"/>
  <c r="B130" i="18"/>
  <c r="B345" i="21"/>
  <c r="B205" i="22"/>
  <c r="B422" i="20"/>
  <c r="B147" i="18"/>
  <c r="B368" i="21"/>
  <c r="B157" i="22"/>
  <c r="B201" i="21"/>
  <c r="B97" i="18"/>
  <c r="B472" i="17"/>
  <c r="B462" i="22"/>
  <c r="B395" i="20"/>
  <c r="B318" i="18"/>
  <c r="B105" i="21"/>
  <c r="B347" i="22"/>
  <c r="B57" i="21"/>
  <c r="B104" i="21"/>
  <c r="B300" i="18"/>
  <c r="B59" i="19"/>
  <c r="B432" i="15"/>
  <c r="B382" i="12"/>
  <c r="B59" i="11"/>
  <c r="B150" i="15"/>
  <c r="B335" i="10"/>
  <c r="B354" i="10" s="1"/>
  <c r="B336" i="10"/>
  <c r="B126" i="15"/>
  <c r="B17" i="12"/>
  <c r="B57" i="15"/>
  <c r="B13" i="11"/>
  <c r="B348" i="11"/>
  <c r="B157" i="15"/>
  <c r="B176" i="15"/>
  <c r="B436" i="12"/>
  <c r="B187" i="10"/>
  <c r="B206" i="10" s="1"/>
  <c r="B625" i="14"/>
  <c r="B468" i="15"/>
  <c r="B229" i="8"/>
  <c r="B555" i="14"/>
  <c r="B459" i="15"/>
  <c r="B154" i="10"/>
  <c r="B36" i="15"/>
  <c r="B262" i="9"/>
  <c r="B281" i="9" s="1"/>
  <c r="B102" i="12"/>
  <c r="B160" i="15"/>
  <c r="B376" i="9"/>
  <c r="B392" i="14"/>
  <c r="B273" i="6"/>
  <c r="B302" i="9"/>
  <c r="B15" i="14"/>
  <c r="B56" i="17"/>
  <c r="B123" i="17"/>
  <c r="B243" i="18"/>
  <c r="B381" i="15"/>
  <c r="B400" i="15" s="1"/>
  <c r="B11" i="16"/>
  <c r="B292" i="15"/>
  <c r="B430" i="19"/>
  <c r="B603" i="16"/>
  <c r="B598" i="17"/>
  <c r="B573" i="17"/>
  <c r="B677" i="17"/>
  <c r="B660" i="17"/>
  <c r="B681" i="17"/>
  <c r="B469" i="19"/>
  <c r="B464" i="15"/>
  <c r="B569" i="16"/>
  <c r="B431" i="20"/>
  <c r="B315" i="20"/>
  <c r="B467" i="11"/>
  <c r="B40" i="22"/>
  <c r="B379" i="9"/>
  <c r="B131" i="15"/>
  <c r="B686" i="18"/>
  <c r="B433" i="21"/>
  <c r="B685" i="13"/>
  <c r="B374" i="10"/>
  <c r="B200" i="10"/>
  <c r="B423" i="15"/>
  <c r="B17" i="22"/>
  <c r="B159" i="20"/>
  <c r="B40" i="21"/>
  <c r="B24" i="9"/>
  <c r="B609" i="18"/>
  <c r="B238" i="10"/>
  <c r="B311" i="9"/>
  <c r="B14" i="11"/>
  <c r="B635" i="14"/>
  <c r="B467" i="15"/>
  <c r="B98" i="16"/>
  <c r="B175" i="8"/>
  <c r="B33" i="21"/>
  <c r="B270" i="8"/>
  <c r="B461" i="21"/>
  <c r="B293" i="20"/>
  <c r="B395" i="21"/>
  <c r="B429" i="20"/>
  <c r="B394" i="16"/>
  <c r="B147" i="19"/>
  <c r="B306" i="19"/>
  <c r="B59" i="21"/>
  <c r="B463" i="19"/>
  <c r="B156" i="19"/>
  <c r="B461" i="19"/>
  <c r="B250" i="21"/>
  <c r="B231" i="20"/>
  <c r="B628" i="18"/>
  <c r="B233" i="22"/>
  <c r="B217" i="21"/>
  <c r="B80" i="20"/>
  <c r="B318" i="17"/>
  <c r="B131" i="20"/>
  <c r="B66" i="21"/>
  <c r="B424" i="22"/>
  <c r="B230" i="20"/>
  <c r="B635" i="18"/>
  <c r="B230" i="21"/>
  <c r="B204" i="21"/>
  <c r="B268" i="21"/>
  <c r="B277" i="20"/>
  <c r="B268" i="20"/>
  <c r="B425" i="21"/>
  <c r="B355" i="19"/>
  <c r="B443" i="21"/>
  <c r="B15" i="20"/>
  <c r="B291" i="19"/>
  <c r="B25" i="19"/>
  <c r="B430" i="22"/>
  <c r="B458" i="20"/>
  <c r="B157" i="19"/>
  <c r="B273" i="20"/>
  <c r="B271" i="19"/>
  <c r="B317" i="17"/>
  <c r="B124" i="18"/>
  <c r="B309" i="21"/>
  <c r="B175" i="22"/>
  <c r="B267" i="20"/>
  <c r="B286" i="20" s="1"/>
  <c r="B337" i="18"/>
  <c r="B12" i="18"/>
  <c r="B311" i="21"/>
  <c r="B212" i="20"/>
  <c r="B381" i="21"/>
  <c r="B400" i="21" s="1"/>
  <c r="B317" i="18"/>
  <c r="B167" i="16"/>
  <c r="B197" i="22"/>
  <c r="B622" i="18"/>
  <c r="B640" i="18" s="1"/>
  <c r="B123" i="18"/>
  <c r="B369" i="21"/>
  <c r="B70" i="22"/>
  <c r="B162" i="17"/>
  <c r="B322" i="18"/>
  <c r="B168" i="19"/>
  <c r="B420" i="15"/>
  <c r="B305" i="12"/>
  <c r="B14" i="13"/>
  <c r="B149" i="15"/>
  <c r="B146" i="10"/>
  <c r="B114" i="19"/>
  <c r="B84" i="8"/>
  <c r="B233" i="15"/>
  <c r="B20" i="12"/>
  <c r="B253" i="15"/>
  <c r="B437" i="12"/>
  <c r="B51" i="12"/>
  <c r="B456" i="14"/>
  <c r="B298" i="10"/>
  <c r="B317" i="10" s="1"/>
  <c r="B345" i="11"/>
  <c r="B15" i="15"/>
  <c r="B235" i="20"/>
  <c r="B337" i="11"/>
  <c r="B168" i="13"/>
  <c r="B460" i="15"/>
  <c r="B254" i="15"/>
  <c r="B202" i="8"/>
  <c r="B632" i="14"/>
  <c r="B153" i="10"/>
  <c r="B59" i="12"/>
  <c r="B174" i="15"/>
  <c r="B161" i="13"/>
  <c r="B262" i="12"/>
  <c r="B338" i="10"/>
  <c r="B11" i="14"/>
  <c r="B549" i="17"/>
  <c r="B205" i="17"/>
  <c r="B60" i="14"/>
  <c r="B245" i="18"/>
  <c r="B345" i="15"/>
  <c r="B241" i="17"/>
  <c r="B130" i="15"/>
  <c r="B391" i="12"/>
  <c r="B236" i="11"/>
  <c r="B231" i="6"/>
  <c r="AS4" i="1"/>
  <c r="B111" i="10"/>
  <c r="B415" i="16"/>
  <c r="B83" i="11"/>
  <c r="B458" i="10"/>
  <c r="B393" i="21"/>
  <c r="B155" i="11"/>
  <c r="AS24" i="1"/>
  <c r="B393" i="12" s="1"/>
  <c r="AP25" i="1"/>
  <c r="P25" i="1"/>
  <c r="Q25" i="1" s="1"/>
  <c r="B127" i="11"/>
  <c r="B301" i="16"/>
  <c r="B355" i="21"/>
  <c r="B111" i="9"/>
  <c r="B127" i="10"/>
  <c r="B464" i="20"/>
  <c r="CC38" i="1"/>
  <c r="B679" i="28" s="1"/>
  <c r="BU38" i="1"/>
  <c r="B671" i="28" s="1"/>
  <c r="BM38" i="1"/>
  <c r="B664" i="28" s="1"/>
  <c r="BE38" i="1"/>
  <c r="B656" i="28" s="1"/>
  <c r="AW38" i="1"/>
  <c r="B648" i="28" s="1"/>
  <c r="CB38" i="1"/>
  <c r="B678" i="28" s="1"/>
  <c r="BT38" i="1"/>
  <c r="B670" i="28" s="1"/>
  <c r="BL38" i="1"/>
  <c r="B663" i="28" s="1"/>
  <c r="BD38" i="1"/>
  <c r="B655" i="28" s="1"/>
  <c r="AV38" i="1"/>
  <c r="B647" i="28" s="1"/>
  <c r="CA38" i="1"/>
  <c r="B677" i="28" s="1"/>
  <c r="BS38" i="1"/>
  <c r="BK38" i="1"/>
  <c r="B662" i="28" s="1"/>
  <c r="BC38" i="1"/>
  <c r="B654" i="28" s="1"/>
  <c r="AU38" i="1"/>
  <c r="B646" i="28" s="1"/>
  <c r="CH38" i="1"/>
  <c r="B684" i="28" s="1"/>
  <c r="BZ38" i="1"/>
  <c r="BR38" i="1"/>
  <c r="B668" i="28" s="1"/>
  <c r="BJ38" i="1"/>
  <c r="B661" i="28" s="1"/>
  <c r="BB38" i="1"/>
  <c r="B653" i="28" s="1"/>
  <c r="AT38" i="1"/>
  <c r="B645" i="28" s="1"/>
  <c r="CG38" i="1"/>
  <c r="B683" i="28" s="1"/>
  <c r="BY38" i="1"/>
  <c r="B675" i="28" s="1"/>
  <c r="BQ38" i="1"/>
  <c r="B667" i="28" s="1"/>
  <c r="BI38" i="1"/>
  <c r="B660" i="28" s="1"/>
  <c r="BA38" i="1"/>
  <c r="B652" i="28" s="1"/>
  <c r="CF38" i="1"/>
  <c r="BX38" i="1"/>
  <c r="B674" i="28" s="1"/>
  <c r="BP38" i="1"/>
  <c r="B666" i="28" s="1"/>
  <c r="BH38" i="1"/>
  <c r="B659" i="28" s="1"/>
  <c r="AZ38" i="1"/>
  <c r="B651" i="28" s="1"/>
  <c r="CE38" i="1"/>
  <c r="B681" i="28" s="1"/>
  <c r="BW38" i="1"/>
  <c r="B673" i="28" s="1"/>
  <c r="BO38" i="1"/>
  <c r="B665" i="28" s="1"/>
  <c r="BG38" i="1"/>
  <c r="B658" i="28" s="1"/>
  <c r="AY38" i="1"/>
  <c r="B650" i="28" s="1"/>
  <c r="CD38" i="1"/>
  <c r="B680" i="28" s="1"/>
  <c r="BV38" i="1"/>
  <c r="B672" i="28" s="1"/>
  <c r="BN38" i="1"/>
  <c r="BF38" i="1"/>
  <c r="B657" i="28" s="1"/>
  <c r="AX38" i="1"/>
  <c r="B649" i="28" s="1"/>
  <c r="AS38" i="1"/>
  <c r="B210" i="28" s="1"/>
  <c r="B23" i="22"/>
  <c r="B83" i="10"/>
  <c r="B393" i="19"/>
  <c r="P49" i="1"/>
  <c r="B348" i="15" s="1"/>
  <c r="B16" i="14"/>
  <c r="B35" i="14" s="1"/>
  <c r="B62" i="11"/>
  <c r="B379" i="11"/>
  <c r="P20" i="1"/>
  <c r="B229" i="11" s="1"/>
  <c r="AC77" i="1"/>
  <c r="B426" i="20" s="1"/>
  <c r="B130" i="12"/>
  <c r="B298" i="12"/>
  <c r="B470" i="12"/>
  <c r="AC83" i="1"/>
  <c r="B18" i="22" s="1"/>
  <c r="B427" i="12"/>
  <c r="B255" i="12"/>
  <c r="AC4" i="1"/>
  <c r="B63" i="6" s="1"/>
  <c r="B18" i="9"/>
  <c r="P11" i="1"/>
  <c r="B341" i="9" s="1"/>
  <c r="AP11" i="1"/>
  <c r="B195" i="9"/>
  <c r="B343" i="9"/>
  <c r="B303" i="12"/>
  <c r="P26" i="1"/>
  <c r="B133" i="12" s="1"/>
  <c r="B155" i="12" s="1"/>
  <c r="B475" i="12"/>
  <c r="B135" i="12"/>
  <c r="AC73" i="1"/>
  <c r="B108" i="19" s="1"/>
  <c r="B236" i="22"/>
  <c r="B389" i="22"/>
  <c r="B63" i="22"/>
  <c r="AP84" i="1"/>
  <c r="B87" i="22" s="1"/>
  <c r="B212" i="12"/>
  <c r="B384" i="12"/>
  <c r="B52" i="12"/>
  <c r="B125" i="6"/>
  <c r="AC5" i="1"/>
  <c r="B106" i="6" s="1"/>
  <c r="P74" i="1"/>
  <c r="B310" i="19" s="1"/>
  <c r="AP74" i="1"/>
  <c r="B464" i="19"/>
  <c r="B312" i="19"/>
  <c r="B153" i="19"/>
  <c r="AC79" i="1"/>
  <c r="B341" i="12"/>
  <c r="B13" i="12"/>
  <c r="B169" i="12"/>
  <c r="B236" i="21"/>
  <c r="B63" i="21"/>
  <c r="B388" i="21"/>
  <c r="AP7" i="1"/>
  <c r="P7" i="1"/>
  <c r="Q7" i="1" s="1"/>
  <c r="AL7" i="1" s="1"/>
  <c r="B174" i="8" s="1"/>
  <c r="B18" i="8"/>
  <c r="B162" i="8"/>
  <c r="B106" i="9"/>
  <c r="AP13" i="1"/>
  <c r="P13" i="1"/>
  <c r="B104" i="9" s="1"/>
  <c r="B130" i="9" s="1"/>
  <c r="B269" i="9"/>
  <c r="B417" i="9"/>
  <c r="B125" i="10"/>
  <c r="AC17" i="1"/>
  <c r="B106" i="10" s="1"/>
  <c r="AC75" i="1"/>
  <c r="AP75" i="1" s="1"/>
  <c r="B312" i="22"/>
  <c r="B153" i="22"/>
  <c r="AC18" i="1"/>
  <c r="B346" i="12"/>
  <c r="B174" i="12"/>
  <c r="B18" i="12"/>
  <c r="AP23" i="1"/>
  <c r="P23" i="1"/>
  <c r="B172" i="12" s="1"/>
  <c r="AC81" i="1"/>
  <c r="AP81" i="1" s="1"/>
  <c r="B232" i="8"/>
  <c r="P9" i="1"/>
  <c r="B88" i="8" s="1"/>
  <c r="B107" i="8" s="1"/>
  <c r="AP9" i="1"/>
  <c r="B90" i="8"/>
  <c r="AC19" i="1"/>
  <c r="AP19" i="1" s="1"/>
  <c r="P24" i="1"/>
  <c r="B387" i="12" s="1"/>
  <c r="AP24" i="1"/>
  <c r="B57" i="12"/>
  <c r="B217" i="12"/>
  <c r="AC71" i="1"/>
  <c r="B198" i="19" s="1"/>
  <c r="B19" i="19"/>
  <c r="AU54" i="1"/>
  <c r="B338" i="16" s="1"/>
  <c r="B421" i="10"/>
  <c r="B273" i="10"/>
  <c r="B68" i="21"/>
  <c r="B241" i="21"/>
  <c r="B113" i="20"/>
  <c r="B158" i="15"/>
  <c r="B469" i="15"/>
  <c r="B393" i="15"/>
  <c r="B68" i="19"/>
  <c r="B241" i="19"/>
  <c r="B236" i="10"/>
  <c r="B155" i="10"/>
  <c r="B23" i="9"/>
  <c r="B556" i="14"/>
  <c r="B172" i="14"/>
  <c r="B402" i="14"/>
  <c r="B96" i="14"/>
  <c r="B663" i="14"/>
  <c r="B670" i="14"/>
  <c r="B672" i="14"/>
  <c r="B659" i="14"/>
  <c r="B683" i="14"/>
  <c r="B654" i="14"/>
  <c r="B678" i="14"/>
  <c r="B681" i="14"/>
  <c r="B651" i="14"/>
  <c r="B680" i="14"/>
  <c r="B645" i="14"/>
  <c r="B662" i="14"/>
  <c r="B657" i="14"/>
  <c r="B675" i="14"/>
  <c r="B646" i="14"/>
  <c r="B666" i="14"/>
  <c r="B648" i="14"/>
  <c r="B650" i="14"/>
  <c r="B674" i="14"/>
  <c r="B653" i="14"/>
  <c r="B669" i="14"/>
  <c r="B669" i="28"/>
  <c r="B656" i="14"/>
  <c r="B684" i="14"/>
  <c r="B658" i="14"/>
  <c r="B682" i="14"/>
  <c r="B682" i="28"/>
  <c r="B661" i="14"/>
  <c r="B677" i="14"/>
  <c r="B664" i="14"/>
  <c r="B652" i="14"/>
  <c r="B647" i="14"/>
  <c r="B667" i="14"/>
  <c r="B665" i="14"/>
  <c r="B668" i="14"/>
  <c r="B671" i="14"/>
  <c r="B649" i="14"/>
  <c r="B673" i="14"/>
  <c r="B660" i="14"/>
  <c r="B676" i="14"/>
  <c r="B676" i="28"/>
  <c r="B655" i="14"/>
  <c r="B679" i="14"/>
  <c r="B477" i="16"/>
  <c r="AS56" i="1"/>
  <c r="B479" i="16" s="1"/>
  <c r="B430" i="12"/>
  <c r="B198" i="21"/>
  <c r="B426" i="19"/>
  <c r="B229" i="6"/>
  <c r="B158" i="21"/>
  <c r="B469" i="21"/>
  <c r="B241" i="20"/>
  <c r="B68" i="20"/>
  <c r="B61" i="12"/>
  <c r="B317" i="21"/>
  <c r="B431" i="21"/>
  <c r="B279" i="19"/>
  <c r="B25" i="6"/>
  <c r="B197" i="6"/>
  <c r="B431" i="29"/>
  <c r="B279" i="29"/>
  <c r="B458" i="11"/>
  <c r="B441" i="15"/>
  <c r="B357" i="9"/>
  <c r="B356" i="11"/>
  <c r="B212" i="19"/>
  <c r="P63" i="1" l="1"/>
  <c r="Q63" i="1" s="1"/>
  <c r="AL63" i="1" s="1"/>
  <c r="B212" i="9"/>
  <c r="B404" i="15"/>
  <c r="B246" i="11"/>
  <c r="B231" i="12"/>
  <c r="B471" i="10"/>
  <c r="B471" i="9"/>
  <c r="B364" i="15"/>
  <c r="B290" i="15"/>
  <c r="B360" i="11"/>
  <c r="B396" i="11"/>
  <c r="B396" i="10"/>
  <c r="B286" i="10"/>
  <c r="B283" i="11"/>
  <c r="B433" i="9"/>
  <c r="B317" i="12"/>
  <c r="B284" i="11"/>
  <c r="B357" i="11"/>
  <c r="B358" i="9"/>
  <c r="B321" i="11"/>
  <c r="B358" i="11"/>
  <c r="B359" i="9"/>
  <c r="B132" i="21"/>
  <c r="B478" i="15"/>
  <c r="B432" i="9"/>
  <c r="B435" i="9"/>
  <c r="B366" i="15"/>
  <c r="B41" i="10"/>
  <c r="B211" i="10"/>
  <c r="B360" i="12"/>
  <c r="B285" i="10"/>
  <c r="B286" i="11"/>
  <c r="B41" i="9"/>
  <c r="B210" i="10"/>
  <c r="B251" i="21"/>
  <c r="B395" i="9"/>
  <c r="B286" i="9"/>
  <c r="B247" i="10"/>
  <c r="B440" i="15"/>
  <c r="B285" i="11"/>
  <c r="B397" i="9"/>
  <c r="B171" i="6"/>
  <c r="B41" i="11"/>
  <c r="B398" i="9"/>
  <c r="B284" i="10"/>
  <c r="B249" i="10"/>
  <c r="B247" i="11"/>
  <c r="B213" i="9"/>
  <c r="B567" i="16"/>
  <c r="B321" i="10"/>
  <c r="B322" i="11"/>
  <c r="B322" i="9"/>
  <c r="B397" i="11"/>
  <c r="B468" i="11"/>
  <c r="B396" i="9"/>
  <c r="B359" i="11"/>
  <c r="B177" i="19"/>
  <c r="B323" i="11"/>
  <c r="B394" i="10"/>
  <c r="B324" i="9"/>
  <c r="B144" i="17"/>
  <c r="B250" i="15"/>
  <c r="B470" i="10"/>
  <c r="B328" i="15"/>
  <c r="B129" i="9"/>
  <c r="B210" i="16"/>
  <c r="B164" i="16"/>
  <c r="B168" i="16"/>
  <c r="B456" i="17"/>
  <c r="B399" i="16"/>
  <c r="B61" i="16"/>
  <c r="B20" i="17"/>
  <c r="B168" i="20"/>
  <c r="B473" i="16"/>
  <c r="B429" i="21"/>
  <c r="B378" i="18"/>
  <c r="B133" i="17"/>
  <c r="B475" i="17"/>
  <c r="B126" i="17"/>
  <c r="B404" i="17"/>
  <c r="B50" i="18"/>
  <c r="B551" i="16"/>
  <c r="B413" i="16"/>
  <c r="B393" i="16"/>
  <c r="B15" i="18"/>
  <c r="B400" i="17"/>
  <c r="B313" i="19"/>
  <c r="B531" i="16"/>
  <c r="B88" i="16"/>
  <c r="B51" i="17"/>
  <c r="B643" i="17"/>
  <c r="B634" i="16"/>
  <c r="B221" i="17"/>
  <c r="B476" i="16"/>
  <c r="B635" i="16"/>
  <c r="B33" i="16"/>
  <c r="B109" i="16"/>
  <c r="B131" i="16"/>
  <c r="B629" i="17"/>
  <c r="B456" i="16"/>
  <c r="B241" i="16"/>
  <c r="B33" i="17"/>
  <c r="B300" i="17"/>
  <c r="B70" i="17"/>
  <c r="B124" i="17"/>
  <c r="B335" i="17"/>
  <c r="B623" i="16"/>
  <c r="B182" i="17"/>
  <c r="B622" i="16"/>
  <c r="B640" i="16" s="1"/>
  <c r="B123" i="21"/>
  <c r="B202" i="16"/>
  <c r="B555" i="17"/>
  <c r="B52" i="17"/>
  <c r="B60" i="17"/>
  <c r="B337" i="17"/>
  <c r="B392" i="22"/>
  <c r="B89" i="17"/>
  <c r="B212" i="17"/>
  <c r="B258" i="17"/>
  <c r="B19" i="17"/>
  <c r="B33" i="18"/>
  <c r="B406" i="20"/>
  <c r="B201" i="16"/>
  <c r="B124" i="16"/>
  <c r="B162" i="16"/>
  <c r="B393" i="17"/>
  <c r="B62" i="20"/>
  <c r="B321" i="18"/>
  <c r="B407" i="19"/>
  <c r="B104" i="19"/>
  <c r="B315" i="18"/>
  <c r="B217" i="22"/>
  <c r="B557" i="17"/>
  <c r="B291" i="21"/>
  <c r="B363" i="19"/>
  <c r="B277" i="22"/>
  <c r="B432" i="20"/>
  <c r="B318" i="22"/>
  <c r="B39" i="21"/>
  <c r="B316" i="18"/>
  <c r="B161" i="18"/>
  <c r="B584" i="16"/>
  <c r="B103" i="22"/>
  <c r="B81" i="20"/>
  <c r="B127" i="22"/>
  <c r="B330" i="22"/>
  <c r="B41" i="19"/>
  <c r="B445" i="20"/>
  <c r="B308" i="22"/>
  <c r="B346" i="19"/>
  <c r="B319" i="17"/>
  <c r="B392" i="16"/>
  <c r="B155" i="19"/>
  <c r="B237" i="19"/>
  <c r="B481" i="16"/>
  <c r="B131" i="17"/>
  <c r="B24" i="16"/>
  <c r="B240" i="16"/>
  <c r="B48" i="18"/>
  <c r="B21" i="16"/>
  <c r="B12" i="16"/>
  <c r="B200" i="17"/>
  <c r="B317" i="16"/>
  <c r="B397" i="16"/>
  <c r="B488" i="16"/>
  <c r="B130" i="17"/>
  <c r="B97" i="16"/>
  <c r="B552" i="16"/>
  <c r="B630" i="16"/>
  <c r="B398" i="17"/>
  <c r="B161" i="17"/>
  <c r="B346" i="22"/>
  <c r="B399" i="17"/>
  <c r="B454" i="17"/>
  <c r="B258" i="18"/>
  <c r="B206" i="17"/>
  <c r="B55" i="17"/>
  <c r="B241" i="18"/>
  <c r="B557" i="16"/>
  <c r="B609" i="17"/>
  <c r="B52" i="18"/>
  <c r="B383" i="20"/>
  <c r="B387" i="19"/>
  <c r="B533" i="18"/>
  <c r="B407" i="22"/>
  <c r="B326" i="18"/>
  <c r="B150" i="20"/>
  <c r="B167" i="17"/>
  <c r="B327" i="17"/>
  <c r="B599" i="16"/>
  <c r="B406" i="19"/>
  <c r="B25" i="21"/>
  <c r="B111" i="20"/>
  <c r="B481" i="17"/>
  <c r="B213" i="20"/>
  <c r="B70" i="16"/>
  <c r="B123" i="16"/>
  <c r="B95" i="16"/>
  <c r="B411" i="16"/>
  <c r="B400" i="16"/>
  <c r="B21" i="17"/>
  <c r="B468" i="16"/>
  <c r="B486" i="16" s="1"/>
  <c r="B247" i="17"/>
  <c r="B377" i="18"/>
  <c r="B201" i="17"/>
  <c r="B378" i="16"/>
  <c r="B635" i="17"/>
  <c r="B608" i="17"/>
  <c r="B327" i="18"/>
  <c r="B160" i="20"/>
  <c r="B628" i="17"/>
  <c r="B109" i="22"/>
  <c r="B558" i="17"/>
  <c r="B131" i="21"/>
  <c r="B321" i="16"/>
  <c r="B168" i="17"/>
  <c r="B476" i="17"/>
  <c r="B18" i="17"/>
  <c r="B135" i="17"/>
  <c r="B334" i="16"/>
  <c r="B54" i="16"/>
  <c r="B60" i="16"/>
  <c r="B145" i="16"/>
  <c r="B685" i="16"/>
  <c r="B245" i="17"/>
  <c r="B245" i="16"/>
  <c r="B395" i="16"/>
  <c r="B475" i="18"/>
  <c r="B470" i="17"/>
  <c r="B392" i="17"/>
  <c r="B249" i="17"/>
  <c r="B169" i="17"/>
  <c r="B200" i="16"/>
  <c r="B480" i="17"/>
  <c r="B17" i="17"/>
  <c r="B239" i="22"/>
  <c r="B454" i="16"/>
  <c r="B581" i="16"/>
  <c r="B131" i="19"/>
  <c r="B439" i="20"/>
  <c r="B191" i="19"/>
  <c r="B210" i="19" s="1"/>
  <c r="B365" i="22"/>
  <c r="B356" i="21"/>
  <c r="B546" i="18"/>
  <c r="B645" i="17"/>
  <c r="B414" i="16"/>
  <c r="B104" i="20"/>
  <c r="B383" i="21"/>
  <c r="B281" i="21"/>
  <c r="B216" i="21"/>
  <c r="B130" i="19"/>
  <c r="B163" i="16"/>
  <c r="B11" i="21"/>
  <c r="B249" i="22"/>
  <c r="B329" i="19"/>
  <c r="B60" i="22"/>
  <c r="B350" i="22"/>
  <c r="B11" i="17"/>
  <c r="B129" i="16"/>
  <c r="B132" i="16"/>
  <c r="B87" i="16"/>
  <c r="B52" i="16"/>
  <c r="B687" i="16"/>
  <c r="B130" i="16"/>
  <c r="B642" i="16"/>
  <c r="B125" i="16"/>
  <c r="B174" i="17"/>
  <c r="B335" i="18"/>
  <c r="B69" i="16"/>
  <c r="B475" i="16"/>
  <c r="B92" i="16"/>
  <c r="B558" i="16"/>
  <c r="B209" i="16"/>
  <c r="B532" i="16"/>
  <c r="B628" i="16"/>
  <c r="B93" i="17"/>
  <c r="B301" i="17"/>
  <c r="B625" i="16"/>
  <c r="B238" i="18"/>
  <c r="B240" i="18"/>
  <c r="B23" i="16"/>
  <c r="B55" i="16"/>
  <c r="B237" i="18"/>
  <c r="B255" i="18" s="1"/>
  <c r="B610" i="17"/>
  <c r="B207" i="17"/>
  <c r="B474" i="17"/>
  <c r="B324" i="17"/>
  <c r="B146" i="17"/>
  <c r="B566" i="17"/>
  <c r="B14" i="17"/>
  <c r="B243" i="16"/>
  <c r="B403" i="16"/>
  <c r="B11" i="18"/>
  <c r="B78" i="19"/>
  <c r="B240" i="17"/>
  <c r="B165" i="17"/>
  <c r="B344" i="19"/>
  <c r="B580" i="16"/>
  <c r="B57" i="22"/>
  <c r="B483" i="19"/>
  <c r="B369" i="22"/>
  <c r="B102" i="19"/>
  <c r="B24" i="20"/>
  <c r="B469" i="17"/>
  <c r="B287" i="22"/>
  <c r="B194" i="20"/>
  <c r="B648" i="17"/>
  <c r="B260" i="16"/>
  <c r="B423" i="21"/>
  <c r="B347" i="21"/>
  <c r="B84" i="19"/>
  <c r="B129" i="20"/>
  <c r="B307" i="19"/>
  <c r="B102" i="20"/>
  <c r="B269" i="22"/>
  <c r="B11" i="19"/>
  <c r="B242" i="20"/>
  <c r="B401" i="20"/>
  <c r="B11" i="20"/>
  <c r="B199" i="17"/>
  <c r="B576" i="17"/>
  <c r="B308" i="19"/>
  <c r="B37" i="22"/>
  <c r="B353" i="19"/>
  <c r="B349" i="19"/>
  <c r="B217" i="19"/>
  <c r="B387" i="21"/>
  <c r="B243" i="17"/>
  <c r="B471" i="16"/>
  <c r="B644" i="16"/>
  <c r="B86" i="16"/>
  <c r="B147" i="17"/>
  <c r="B300" i="16"/>
  <c r="B470" i="16"/>
  <c r="B411" i="18"/>
  <c r="B19" i="16"/>
  <c r="B246" i="17"/>
  <c r="B398" i="16"/>
  <c r="B401" i="16"/>
  <c r="B608" i="16"/>
  <c r="B206" i="16"/>
  <c r="B12" i="17"/>
  <c r="B171" i="16"/>
  <c r="B609" i="16"/>
  <c r="B357" i="22"/>
  <c r="B320" i="16"/>
  <c r="B54" i="17"/>
  <c r="B108" i="17"/>
  <c r="B547" i="16"/>
  <c r="B13" i="16"/>
  <c r="B81" i="22"/>
  <c r="B69" i="17"/>
  <c r="B533" i="16"/>
  <c r="B203" i="16"/>
  <c r="B385" i="20"/>
  <c r="B133" i="16"/>
  <c r="B18" i="16"/>
  <c r="B127" i="17"/>
  <c r="B183" i="17"/>
  <c r="B531" i="17"/>
  <c r="B127" i="21"/>
  <c r="B136" i="17"/>
  <c r="B455" i="17"/>
  <c r="B624" i="17"/>
  <c r="B397" i="17"/>
  <c r="B60" i="18"/>
  <c r="B250" i="18"/>
  <c r="B250" i="17"/>
  <c r="B622" i="17"/>
  <c r="B640" i="17" s="1"/>
  <c r="B156" i="22"/>
  <c r="B212" i="16"/>
  <c r="B267" i="21"/>
  <c r="B286" i="21" s="1"/>
  <c r="B212" i="21"/>
  <c r="B553" i="16"/>
  <c r="B55" i="18"/>
  <c r="B580" i="17"/>
  <c r="B483" i="20"/>
  <c r="B193" i="19"/>
  <c r="B160" i="19"/>
  <c r="B239" i="17"/>
  <c r="B666" i="17"/>
  <c r="B59" i="20"/>
  <c r="B392" i="19"/>
  <c r="B316" i="19"/>
  <c r="B232" i="21"/>
  <c r="B445" i="21"/>
  <c r="B39" i="20"/>
  <c r="B634" i="18"/>
  <c r="B103" i="21"/>
  <c r="B395" i="17"/>
  <c r="B24" i="18"/>
  <c r="B330" i="21"/>
  <c r="B354" i="16"/>
  <c r="B644" i="17"/>
  <c r="B481" i="21"/>
  <c r="B240" i="22"/>
  <c r="B12" i="22"/>
  <c r="B423" i="20"/>
  <c r="B39" i="22"/>
  <c r="B114" i="20"/>
  <c r="B126" i="20"/>
  <c r="B420" i="21"/>
  <c r="B386" i="22"/>
  <c r="B36" i="20"/>
  <c r="B229" i="19"/>
  <c r="B248" i="19" s="1"/>
  <c r="B686" i="16"/>
  <c r="B552" i="18"/>
  <c r="B672" i="17"/>
  <c r="B78" i="22"/>
  <c r="B12" i="19"/>
  <c r="B90" i="16"/>
  <c r="B110" i="16" s="1"/>
  <c r="B244" i="17"/>
  <c r="B14" i="16"/>
  <c r="B478" i="16"/>
  <c r="B129" i="17"/>
  <c r="B92" i="17"/>
  <c r="B391" i="16"/>
  <c r="B409" i="16" s="1"/>
  <c r="B211" i="17"/>
  <c r="B260" i="17"/>
  <c r="B624" i="16"/>
  <c r="B532" i="17"/>
  <c r="B610" i="16"/>
  <c r="B458" i="22"/>
  <c r="B477" i="22" s="1"/>
  <c r="B338" i="18"/>
  <c r="B61" i="17"/>
  <c r="B349" i="21"/>
  <c r="B145" i="17"/>
  <c r="B239" i="18"/>
  <c r="B144" i="16"/>
  <c r="B215" i="19"/>
  <c r="B403" i="20"/>
  <c r="B546" i="16"/>
  <c r="B171" i="17"/>
  <c r="B629" i="16"/>
  <c r="B239" i="16"/>
  <c r="B85" i="16"/>
  <c r="B565" i="18"/>
  <c r="B247" i="18"/>
  <c r="B86" i="17"/>
  <c r="B404" i="16"/>
  <c r="B32" i="18"/>
  <c r="B412" i="18"/>
  <c r="B316" i="16"/>
  <c r="B25" i="20"/>
  <c r="B318" i="19"/>
  <c r="B624" i="18"/>
  <c r="B316" i="17"/>
  <c r="B468" i="17"/>
  <c r="B486" i="17" s="1"/>
  <c r="B24" i="19"/>
  <c r="B13" i="17"/>
  <c r="B48" i="16"/>
  <c r="B320" i="17"/>
  <c r="B173" i="16"/>
  <c r="B69" i="18"/>
  <c r="B679" i="17"/>
  <c r="B13" i="22"/>
  <c r="B384" i="19"/>
  <c r="B115" i="22"/>
  <c r="B184" i="16"/>
  <c r="B14" i="22"/>
  <c r="B344" i="20"/>
  <c r="B273" i="21"/>
  <c r="B443" i="20"/>
  <c r="B271" i="22"/>
  <c r="B35" i="20"/>
  <c r="B193" i="21"/>
  <c r="B69" i="22"/>
  <c r="B257" i="17"/>
  <c r="B589" i="16"/>
  <c r="B668" i="17"/>
  <c r="B268" i="22"/>
  <c r="B110" i="20"/>
  <c r="B200" i="22"/>
  <c r="B551" i="18"/>
  <c r="B352" i="21"/>
  <c r="B125" i="18"/>
  <c r="B109" i="21"/>
  <c r="B390" i="21"/>
  <c r="B240" i="20"/>
  <c r="B202" i="20"/>
  <c r="B112" i="21"/>
  <c r="B207" i="18"/>
  <c r="B237" i="21"/>
  <c r="B67" i="20"/>
  <c r="B204" i="22"/>
  <c r="B150" i="22"/>
  <c r="B124" i="21"/>
  <c r="B314" i="19"/>
  <c r="B37" i="20"/>
  <c r="B154" i="22"/>
  <c r="B351" i="20"/>
  <c r="B114" i="21"/>
  <c r="B318" i="20"/>
  <c r="B216" i="20"/>
  <c r="B395" i="18"/>
  <c r="B231" i="19"/>
  <c r="B327" i="21"/>
  <c r="B545" i="18"/>
  <c r="B563" i="18" s="1"/>
  <c r="B319" i="20"/>
  <c r="B553" i="18"/>
  <c r="B173" i="22"/>
  <c r="B401" i="18"/>
  <c r="B329" i="20"/>
  <c r="B87" i="18"/>
  <c r="B454" i="18"/>
  <c r="B382" i="21"/>
  <c r="B368" i="20"/>
  <c r="B211" i="22"/>
  <c r="B482" i="22"/>
  <c r="B205" i="21"/>
  <c r="B126" i="22"/>
  <c r="B468" i="22"/>
  <c r="B37" i="19"/>
  <c r="B343" i="19"/>
  <c r="B362" i="19" s="1"/>
  <c r="B239" i="19"/>
  <c r="B169" i="22"/>
  <c r="B205" i="19"/>
  <c r="B93" i="18"/>
  <c r="B194" i="21"/>
  <c r="B292" i="21"/>
  <c r="B405" i="19"/>
  <c r="B81" i="21"/>
  <c r="B405" i="20"/>
  <c r="B423" i="22"/>
  <c r="B213" i="21"/>
  <c r="B444" i="22"/>
  <c r="B687" i="18"/>
  <c r="B353" i="20"/>
  <c r="B319" i="22"/>
  <c r="B36" i="21"/>
  <c r="B308" i="20"/>
  <c r="B12" i="20"/>
  <c r="B428" i="22"/>
  <c r="B155" i="21"/>
  <c r="B351" i="21"/>
  <c r="B167" i="18"/>
  <c r="B470" i="18"/>
  <c r="B13" i="19"/>
  <c r="B555" i="18"/>
  <c r="B159" i="22"/>
  <c r="B148" i="22"/>
  <c r="B468" i="18"/>
  <c r="B486" i="18" s="1"/>
  <c r="B81" i="19"/>
  <c r="B355" i="22"/>
  <c r="B95" i="18"/>
  <c r="B455" i="18"/>
  <c r="B21" i="22"/>
  <c r="B384" i="20"/>
  <c r="B175" i="20"/>
  <c r="B476" i="18"/>
  <c r="B59" i="22"/>
  <c r="B106" i="18"/>
  <c r="B205" i="20"/>
  <c r="B159" i="21"/>
  <c r="B174" i="18"/>
  <c r="B331" i="20"/>
  <c r="B148" i="21"/>
  <c r="B446" i="22"/>
  <c r="B192" i="20"/>
  <c r="B11" i="22"/>
  <c r="B160" i="21"/>
  <c r="B325" i="19"/>
  <c r="B270" i="19"/>
  <c r="B102" i="22"/>
  <c r="B22" i="21"/>
  <c r="B384" i="21"/>
  <c r="B169" i="18"/>
  <c r="B422" i="19"/>
  <c r="B316" i="21"/>
  <c r="B216" i="19"/>
  <c r="B356" i="20"/>
  <c r="B347" i="19"/>
  <c r="B105" i="22"/>
  <c r="B461" i="20"/>
  <c r="B268" i="19"/>
  <c r="B457" i="19"/>
  <c r="B476" i="19" s="1"/>
  <c r="B14" i="19"/>
  <c r="B610" i="18"/>
  <c r="B309" i="22"/>
  <c r="B115" i="19"/>
  <c r="B174" i="19"/>
  <c r="B40" i="20"/>
  <c r="B458" i="19"/>
  <c r="B254" i="20"/>
  <c r="B56" i="19"/>
  <c r="B477" i="19"/>
  <c r="B14" i="20"/>
  <c r="B352" i="22"/>
  <c r="B200" i="20"/>
  <c r="B313" i="22"/>
  <c r="B427" i="20"/>
  <c r="B64" i="19"/>
  <c r="B211" i="18"/>
  <c r="B80" i="22"/>
  <c r="B213" i="19"/>
  <c r="B483" i="22"/>
  <c r="B240" i="19"/>
  <c r="B174" i="22"/>
  <c r="B83" i="21"/>
  <c r="B235" i="22"/>
  <c r="B428" i="20"/>
  <c r="B365" i="21"/>
  <c r="B176" i="20"/>
  <c r="B173" i="21"/>
  <c r="B98" i="18"/>
  <c r="B88" i="18"/>
  <c r="B206" i="18"/>
  <c r="B243" i="22"/>
  <c r="B156" i="20"/>
  <c r="B126" i="18"/>
  <c r="B383" i="22"/>
  <c r="B480" i="18"/>
  <c r="B195" i="19"/>
  <c r="B146" i="21"/>
  <c r="B221" i="18"/>
  <c r="B488" i="18"/>
  <c r="B144" i="18"/>
  <c r="B370" i="22"/>
  <c r="B387" i="20"/>
  <c r="B366" i="22"/>
  <c r="B126" i="21"/>
  <c r="B107" i="19"/>
  <c r="B457" i="21"/>
  <c r="B476" i="21" s="1"/>
  <c r="B433" i="22"/>
  <c r="B460" i="21"/>
  <c r="B176" i="21"/>
  <c r="B357" i="19"/>
  <c r="B169" i="20"/>
  <c r="B348" i="22"/>
  <c r="B182" i="18"/>
  <c r="B21" i="19"/>
  <c r="B101" i="20"/>
  <c r="B17" i="19"/>
  <c r="B385" i="21"/>
  <c r="B131" i="22"/>
  <c r="B357" i="20"/>
  <c r="B275" i="19"/>
  <c r="B275" i="21"/>
  <c r="B109" i="20"/>
  <c r="B313" i="20"/>
  <c r="B65" i="22"/>
  <c r="B19" i="20"/>
  <c r="B237" i="20"/>
  <c r="B203" i="19"/>
  <c r="B427" i="19"/>
  <c r="B62" i="22"/>
  <c r="B130" i="21"/>
  <c r="B92" i="18"/>
  <c r="B84" i="22"/>
  <c r="B306" i="21"/>
  <c r="B200" i="19"/>
  <c r="B109" i="19"/>
  <c r="B358" i="22"/>
  <c r="B389" i="20"/>
  <c r="B311" i="20"/>
  <c r="B396" i="22"/>
  <c r="B67" i="19"/>
  <c r="B101" i="21"/>
  <c r="B200" i="18"/>
  <c r="B402" i="22"/>
  <c r="B478" i="22"/>
  <c r="B280" i="21"/>
  <c r="B557" i="18"/>
  <c r="B547" i="18"/>
  <c r="B216" i="22"/>
  <c r="B85" i="18"/>
  <c r="B67" i="22"/>
  <c r="B149" i="20"/>
  <c r="B531" i="18"/>
  <c r="B215" i="22"/>
  <c r="B270" i="20"/>
  <c r="B160" i="22"/>
  <c r="B102" i="21"/>
  <c r="B131" i="18"/>
  <c r="B441" i="21"/>
  <c r="B408" i="22"/>
  <c r="B233" i="21"/>
  <c r="B269" i="20"/>
  <c r="B404" i="22"/>
  <c r="B86" i="19"/>
  <c r="B37" i="21"/>
  <c r="B461" i="22"/>
  <c r="B278" i="19"/>
  <c r="B217" i="20"/>
  <c r="B203" i="18"/>
  <c r="B183" i="18"/>
  <c r="B470" i="19"/>
  <c r="B111" i="19"/>
  <c r="B123" i="20"/>
  <c r="B176" i="19"/>
  <c r="B419" i="20"/>
  <c r="B438" i="20" s="1"/>
  <c r="B289" i="22"/>
  <c r="B82" i="19"/>
  <c r="B174" i="20"/>
  <c r="B459" i="20"/>
  <c r="B288" i="20"/>
  <c r="B481" i="18"/>
  <c r="B425" i="19"/>
  <c r="B17" i="20"/>
  <c r="B433" i="19"/>
  <c r="B104" i="22"/>
  <c r="B230" i="22"/>
  <c r="B154" i="20"/>
  <c r="B428" i="19"/>
  <c r="B238" i="20"/>
  <c r="B238" i="19"/>
  <c r="B390" i="20"/>
  <c r="B237" i="22"/>
  <c r="B200" i="21"/>
  <c r="B19" i="21"/>
  <c r="B472" i="22"/>
  <c r="B201" i="22"/>
  <c r="B148" i="20"/>
  <c r="B314" i="21"/>
  <c r="B173" i="20"/>
  <c r="B240" i="21"/>
  <c r="B382" i="20"/>
  <c r="B67" i="21"/>
  <c r="B394" i="20"/>
  <c r="B79" i="22"/>
  <c r="B346" i="21"/>
  <c r="B407" i="20"/>
  <c r="B472" i="18"/>
  <c r="B212" i="18"/>
  <c r="B211" i="20"/>
  <c r="B171" i="18"/>
  <c r="B222" i="18"/>
  <c r="B34" i="22"/>
  <c r="B173" i="18"/>
  <c r="B281" i="19"/>
  <c r="B625" i="18"/>
  <c r="B281" i="22"/>
  <c r="B482" i="20"/>
  <c r="B103" i="20"/>
  <c r="B197" i="20"/>
  <c r="B25" i="22"/>
  <c r="B327" i="20"/>
  <c r="B271" i="20"/>
  <c r="B103" i="19"/>
  <c r="B305" i="20"/>
  <c r="B324" i="20" s="1"/>
  <c r="B391" i="19"/>
  <c r="B101" i="19"/>
  <c r="B107" i="20"/>
  <c r="B289" i="21"/>
  <c r="B148" i="19"/>
  <c r="B171" i="19"/>
  <c r="B330" i="20"/>
  <c r="B331" i="19"/>
  <c r="B273" i="22"/>
  <c r="B327" i="22"/>
  <c r="B327" i="19"/>
  <c r="B481" i="20"/>
  <c r="B363" i="20"/>
  <c r="B291" i="22"/>
  <c r="B201" i="18"/>
  <c r="B124" i="19"/>
  <c r="B351" i="19"/>
  <c r="B390" i="19"/>
  <c r="B389" i="19"/>
  <c r="B275" i="22"/>
  <c r="B352" i="20"/>
  <c r="B466" i="21"/>
  <c r="B20" i="21"/>
  <c r="B199" i="22"/>
  <c r="B465" i="19"/>
  <c r="B385" i="22"/>
  <c r="B397" i="18"/>
  <c r="B145" i="18"/>
  <c r="B170" i="22"/>
  <c r="B276" i="21"/>
  <c r="B315" i="21"/>
  <c r="B199" i="18"/>
  <c r="B191" i="20"/>
  <c r="B210" i="20" s="1"/>
  <c r="B174" i="21"/>
  <c r="B532" i="18"/>
  <c r="B471" i="22"/>
  <c r="B548" i="18"/>
  <c r="B394" i="18"/>
  <c r="B363" i="21"/>
  <c r="B391" i="18"/>
  <c r="B409" i="18" s="1"/>
  <c r="B325" i="21"/>
  <c r="B149" i="22"/>
  <c r="B474" i="18"/>
  <c r="B471" i="18"/>
  <c r="B469" i="18"/>
  <c r="B127" i="20"/>
  <c r="B129" i="19"/>
  <c r="B162" i="18"/>
  <c r="B381" i="19"/>
  <c r="B400" i="19" s="1"/>
  <c r="B293" i="19"/>
  <c r="B231" i="21"/>
  <c r="B232" i="22"/>
  <c r="B369" i="20"/>
  <c r="B468" i="21"/>
  <c r="B171" i="20"/>
  <c r="B464" i="22"/>
  <c r="B353" i="21"/>
  <c r="B307" i="21"/>
  <c r="B566" i="18"/>
  <c r="B392" i="20"/>
  <c r="B172" i="22"/>
  <c r="B344" i="22"/>
  <c r="B363" i="22" s="1"/>
  <c r="B254" i="21"/>
  <c r="B289" i="20"/>
  <c r="B123" i="22"/>
  <c r="B482" i="21"/>
  <c r="B159" i="19"/>
  <c r="B399" i="18"/>
  <c r="B280" i="20"/>
  <c r="B129" i="18"/>
  <c r="B276" i="19"/>
  <c r="B20" i="22"/>
  <c r="B199" i="20"/>
  <c r="B466" i="22"/>
  <c r="B391" i="22"/>
  <c r="B352" i="19"/>
  <c r="B199" i="19"/>
  <c r="B65" i="21"/>
  <c r="B276" i="22"/>
  <c r="B314" i="20"/>
  <c r="B123" i="19"/>
  <c r="B465" i="21"/>
  <c r="B82" i="20"/>
  <c r="B83" i="22"/>
  <c r="B213" i="22"/>
  <c r="B64" i="20"/>
  <c r="B91" i="18"/>
  <c r="B175" i="21"/>
  <c r="B429" i="22"/>
  <c r="B254" i="19"/>
  <c r="B489" i="18"/>
  <c r="B367" i="21"/>
  <c r="B152" i="20"/>
  <c r="B194" i="22"/>
  <c r="B307" i="20"/>
  <c r="B254" i="22"/>
  <c r="B478" i="18"/>
  <c r="B201" i="20"/>
  <c r="B184" i="18"/>
  <c r="B58" i="22"/>
  <c r="B33" i="22"/>
  <c r="B66" i="20"/>
  <c r="B325" i="20"/>
  <c r="B89" i="18"/>
  <c r="B86" i="18"/>
  <c r="B156" i="21"/>
  <c r="B393" i="18"/>
  <c r="B368" i="19"/>
  <c r="B232" i="19"/>
  <c r="B130" i="22"/>
  <c r="B343" i="20"/>
  <c r="B362" i="20" s="1"/>
  <c r="B395" i="19"/>
  <c r="B251" i="22"/>
  <c r="B173" i="19"/>
  <c r="B205" i="18"/>
  <c r="B152" i="22"/>
  <c r="B107" i="21"/>
  <c r="B403" i="18"/>
  <c r="B354" i="22"/>
  <c r="B484" i="22"/>
  <c r="B169" i="21"/>
  <c r="B170" i="21"/>
  <c r="B192" i="19"/>
  <c r="B394" i="19"/>
  <c r="B459" i="21"/>
  <c r="B406" i="21"/>
  <c r="B62" i="21"/>
  <c r="B319" i="19"/>
  <c r="B23" i="21"/>
  <c r="B79" i="21"/>
  <c r="B421" i="20"/>
  <c r="B305" i="21"/>
  <c r="B324" i="21" s="1"/>
  <c r="B13" i="21"/>
  <c r="B251" i="20"/>
  <c r="B15" i="22"/>
  <c r="B191" i="22"/>
  <c r="B210" i="22" s="1"/>
  <c r="B154" i="21"/>
  <c r="B110" i="21"/>
  <c r="B479" i="19"/>
  <c r="B328" i="22"/>
  <c r="B645" i="18"/>
  <c r="B441" i="22"/>
  <c r="B657" i="18"/>
  <c r="B64" i="22"/>
  <c r="B390" i="22"/>
  <c r="B65" i="20"/>
  <c r="B427" i="21"/>
  <c r="B301" i="18"/>
  <c r="B460" i="20"/>
  <c r="B319" i="21"/>
  <c r="B168" i="22"/>
  <c r="B126" i="19"/>
  <c r="B253" i="21"/>
  <c r="B440" i="22"/>
  <c r="B84" i="20"/>
  <c r="B59" i="17"/>
  <c r="B402" i="17"/>
  <c r="B681" i="18"/>
  <c r="B656" i="18"/>
  <c r="B669" i="18"/>
  <c r="B683" i="18"/>
  <c r="B659" i="18"/>
  <c r="B579" i="18"/>
  <c r="B580" i="18"/>
  <c r="B592" i="18"/>
  <c r="B606" i="18"/>
  <c r="B582" i="18"/>
  <c r="B279" i="22"/>
  <c r="B673" i="18"/>
  <c r="B648" i="18"/>
  <c r="B501" i="18"/>
  <c r="B515" i="18"/>
  <c r="B529" i="18"/>
  <c r="B505" i="18"/>
  <c r="B466" i="19"/>
  <c r="B19" i="22"/>
  <c r="B238" i="22"/>
  <c r="B394" i="21"/>
  <c r="B401" i="19"/>
  <c r="B642" i="17"/>
  <c r="B242" i="21"/>
  <c r="B467" i="20"/>
  <c r="B15" i="21"/>
  <c r="B687" i="17"/>
  <c r="B177" i="20"/>
  <c r="B646" i="18"/>
  <c r="B665" i="18"/>
  <c r="B678" i="18"/>
  <c r="B654" i="18"/>
  <c r="B667" i="18"/>
  <c r="B314" i="22"/>
  <c r="B154" i="19"/>
  <c r="B428" i="21"/>
  <c r="B193" i="22"/>
  <c r="B172" i="20"/>
  <c r="B36" i="19"/>
  <c r="B365" i="19"/>
  <c r="B289" i="19"/>
  <c r="B482" i="19"/>
  <c r="B429" i="19"/>
  <c r="B333" i="17"/>
  <c r="B177" i="22"/>
  <c r="B608" i="18"/>
  <c r="B329" i="21"/>
  <c r="B171" i="21"/>
  <c r="B57" i="19"/>
  <c r="B152" i="19"/>
  <c r="B293" i="21"/>
  <c r="B419" i="19"/>
  <c r="B438" i="19" s="1"/>
  <c r="B330" i="19"/>
  <c r="B87" i="21"/>
  <c r="B672" i="18"/>
  <c r="B650" i="18"/>
  <c r="B663" i="18"/>
  <c r="B676" i="18"/>
  <c r="B652" i="18"/>
  <c r="B465" i="20"/>
  <c r="B155" i="22"/>
  <c r="B64" i="21"/>
  <c r="B466" i="20"/>
  <c r="B467" i="22"/>
  <c r="B389" i="21"/>
  <c r="B626" i="17"/>
  <c r="B346" i="20"/>
  <c r="B255" i="19"/>
  <c r="B151" i="22"/>
  <c r="B178" i="22" s="1"/>
  <c r="B679" i="18"/>
  <c r="B655" i="18"/>
  <c r="B668" i="18"/>
  <c r="B682" i="18"/>
  <c r="B94" i="18"/>
  <c r="B256" i="18"/>
  <c r="B353" i="22"/>
  <c r="B275" i="20"/>
  <c r="B276" i="20"/>
  <c r="B20" i="20"/>
  <c r="B199" i="21"/>
  <c r="B238" i="21"/>
  <c r="B459" i="22"/>
  <c r="B477" i="21"/>
  <c r="B277" i="21"/>
  <c r="B483" i="21"/>
  <c r="B244" i="18"/>
  <c r="B385" i="19"/>
  <c r="B208" i="18"/>
  <c r="B96" i="17"/>
  <c r="B649" i="18"/>
  <c r="B664" i="18"/>
  <c r="B677" i="18"/>
  <c r="B653" i="18"/>
  <c r="B666" i="18"/>
  <c r="B479" i="22"/>
  <c r="B438" i="18"/>
  <c r="B416" i="18"/>
  <c r="B436" i="18"/>
  <c r="B450" i="18"/>
  <c r="AC76" i="1"/>
  <c r="B83" i="20"/>
  <c r="Q13" i="1"/>
  <c r="AL13" i="1" s="1"/>
  <c r="B109" i="13"/>
  <c r="P73" i="1"/>
  <c r="B106" i="19" s="1"/>
  <c r="B133" i="19" s="1"/>
  <c r="B39" i="11"/>
  <c r="P19" i="1"/>
  <c r="Q19" i="1" s="1"/>
  <c r="AL19" i="1" s="1"/>
  <c r="B127" i="9"/>
  <c r="B633" i="13"/>
  <c r="B210" i="13"/>
  <c r="P67" i="1"/>
  <c r="B109" i="18"/>
  <c r="B550" i="13"/>
  <c r="Q31" i="1"/>
  <c r="AL31" i="1" s="1"/>
  <c r="B564" i="13" s="1"/>
  <c r="B166" i="13"/>
  <c r="B187" i="13" s="1"/>
  <c r="B402" i="13"/>
  <c r="B96" i="13"/>
  <c r="B22" i="14"/>
  <c r="B248" i="14"/>
  <c r="B355" i="20"/>
  <c r="B23" i="20"/>
  <c r="B203" i="20"/>
  <c r="B273" i="11"/>
  <c r="B111" i="11"/>
  <c r="B111" i="6"/>
  <c r="B271" i="6"/>
  <c r="B185" i="13"/>
  <c r="B195" i="6"/>
  <c r="B24" i="6"/>
  <c r="B40" i="6"/>
  <c r="B187" i="6"/>
  <c r="P81" i="1"/>
  <c r="B424" i="21" s="1"/>
  <c r="B301" i="12"/>
  <c r="AP73" i="1"/>
  <c r="B132" i="19" s="1"/>
  <c r="B355" i="10"/>
  <c r="B122" i="6"/>
  <c r="B191" i="6"/>
  <c r="B36" i="6"/>
  <c r="B21" i="6"/>
  <c r="B41" i="6"/>
  <c r="B14" i="6"/>
  <c r="B16" i="6"/>
  <c r="B13" i="6"/>
  <c r="B267" i="9"/>
  <c r="B633" i="28"/>
  <c r="Q42" i="1"/>
  <c r="AL42" i="1" s="1"/>
  <c r="B487" i="14" s="1"/>
  <c r="B208" i="13"/>
  <c r="B186" i="6"/>
  <c r="B23" i="6"/>
  <c r="AS44" i="1"/>
  <c r="B147" i="16"/>
  <c r="AS31" i="1"/>
  <c r="B26" i="6"/>
  <c r="B274" i="21"/>
  <c r="B134" i="16"/>
  <c r="B108" i="21"/>
  <c r="AH66" i="1"/>
  <c r="P66" i="1" s="1"/>
  <c r="B53" i="18" s="1"/>
  <c r="AG66" i="1"/>
  <c r="AS66" i="1" s="1"/>
  <c r="B59" i="18" s="1"/>
  <c r="AH64" i="1"/>
  <c r="P64" i="1"/>
  <c r="B204" i="17" s="1"/>
  <c r="AG64" i="1"/>
  <c r="AS64" i="1" s="1"/>
  <c r="AG54" i="1"/>
  <c r="AS54" i="1" s="1"/>
  <c r="B59" i="16" s="1"/>
  <c r="AH54" i="1"/>
  <c r="B71" i="16" s="1"/>
  <c r="AO57" i="1"/>
  <c r="P57" i="1"/>
  <c r="Q57" i="1" s="1"/>
  <c r="AL57" i="1" s="1"/>
  <c r="B564" i="16" s="1"/>
  <c r="P69" i="1"/>
  <c r="B166" i="18" s="1"/>
  <c r="AN69" i="1"/>
  <c r="B310" i="20"/>
  <c r="B440" i="19"/>
  <c r="B440" i="21"/>
  <c r="B241" i="22"/>
  <c r="B326" i="22"/>
  <c r="B208" i="16"/>
  <c r="B94" i="17"/>
  <c r="B554" i="17"/>
  <c r="B288" i="21"/>
  <c r="B479" i="17"/>
  <c r="B605" i="17"/>
  <c r="B170" i="17"/>
  <c r="B113" i="19"/>
  <c r="B134" i="17"/>
  <c r="B567" i="18"/>
  <c r="B575" i="16"/>
  <c r="B655" i="17"/>
  <c r="B403" i="22"/>
  <c r="B20" i="18"/>
  <c r="B158" i="22"/>
  <c r="B490" i="18"/>
  <c r="B248" i="18"/>
  <c r="B112" i="22"/>
  <c r="B607" i="17"/>
  <c r="B250" i="22"/>
  <c r="B402" i="20"/>
  <c r="B462" i="20"/>
  <c r="B246" i="18"/>
  <c r="B326" i="21"/>
  <c r="B470" i="22"/>
  <c r="B22" i="19"/>
  <c r="B662" i="17"/>
  <c r="B250" i="20"/>
  <c r="B151" i="20"/>
  <c r="B178" i="20" s="1"/>
  <c r="B57" i="17"/>
  <c r="B185" i="18"/>
  <c r="B478" i="21"/>
  <c r="B317" i="22"/>
  <c r="B581" i="17"/>
  <c r="B323" i="17"/>
  <c r="B20" i="16"/>
  <c r="B394" i="22"/>
  <c r="B204" i="18"/>
  <c r="B671" i="18"/>
  <c r="B647" i="18"/>
  <c r="B68" i="22"/>
  <c r="B246" i="16"/>
  <c r="AP68" i="1"/>
  <c r="P68" i="1"/>
  <c r="Q68" i="1" s="1"/>
  <c r="AL68" i="1" s="1"/>
  <c r="AP53" i="1"/>
  <c r="P53" i="1"/>
  <c r="B631" i="16"/>
  <c r="B288" i="19"/>
  <c r="B481" i="22"/>
  <c r="B518" i="18"/>
  <c r="B571" i="18"/>
  <c r="B572" i="18"/>
  <c r="B585" i="18"/>
  <c r="B598" i="18"/>
  <c r="B574" i="18"/>
  <c r="B453" i="17"/>
  <c r="B444" i="17"/>
  <c r="B435" i="17"/>
  <c r="B418" i="17"/>
  <c r="B432" i="17"/>
  <c r="B493" i="18"/>
  <c r="B508" i="18"/>
  <c r="B521" i="18"/>
  <c r="B497" i="18"/>
  <c r="B564" i="17"/>
  <c r="B434" i="17"/>
  <c r="B422" i="17"/>
  <c r="B428" i="17"/>
  <c r="B448" i="17"/>
  <c r="B424" i="17"/>
  <c r="B431" i="19"/>
  <c r="B431" i="18"/>
  <c r="B453" i="18"/>
  <c r="B429" i="18"/>
  <c r="B442" i="18"/>
  <c r="B418" i="18"/>
  <c r="B554" i="16"/>
  <c r="B662" i="18"/>
  <c r="B675" i="18"/>
  <c r="B651" i="18"/>
  <c r="B525" i="18"/>
  <c r="B500" i="18"/>
  <c r="B513" i="18"/>
  <c r="B527" i="18"/>
  <c r="B503" i="18"/>
  <c r="B602" i="18"/>
  <c r="B601" i="18"/>
  <c r="B577" i="18"/>
  <c r="B590" i="18"/>
  <c r="B604" i="18"/>
  <c r="B22" i="18"/>
  <c r="B452" i="17"/>
  <c r="B442" i="17"/>
  <c r="B420" i="17"/>
  <c r="B440" i="17"/>
  <c r="B416" i="17"/>
  <c r="B423" i="18"/>
  <c r="B445" i="18"/>
  <c r="B421" i="18"/>
  <c r="B434" i="18"/>
  <c r="B448" i="18"/>
  <c r="B491" i="18"/>
  <c r="B517" i="18"/>
  <c r="B530" i="18"/>
  <c r="B506" i="18"/>
  <c r="B519" i="18"/>
  <c r="B495" i="18"/>
  <c r="B594" i="18"/>
  <c r="B593" i="18"/>
  <c r="B607" i="18"/>
  <c r="B583" i="18"/>
  <c r="B596" i="18"/>
  <c r="B325" i="17"/>
  <c r="B430" i="17"/>
  <c r="B421" i="17"/>
  <c r="B419" i="17"/>
  <c r="B433" i="17"/>
  <c r="B446" i="17"/>
  <c r="B446" i="18"/>
  <c r="B437" i="18"/>
  <c r="B451" i="18"/>
  <c r="B427" i="18"/>
  <c r="B357" i="17"/>
  <c r="B641" i="18"/>
  <c r="B680" i="18"/>
  <c r="B658" i="18"/>
  <c r="B670" i="18"/>
  <c r="B684" i="18"/>
  <c r="B660" i="18"/>
  <c r="B510" i="18"/>
  <c r="B522" i="18"/>
  <c r="B498" i="18"/>
  <c r="B511" i="18"/>
  <c r="B492" i="18"/>
  <c r="B587" i="18"/>
  <c r="B586" i="18"/>
  <c r="B599" i="18"/>
  <c r="B575" i="18"/>
  <c r="B588" i="18"/>
  <c r="B450" i="17"/>
  <c r="B437" i="17"/>
  <c r="B449" i="17"/>
  <c r="B425" i="17"/>
  <c r="B438" i="17"/>
  <c r="B393" i="20"/>
  <c r="B447" i="18"/>
  <c r="B430" i="18"/>
  <c r="B443" i="18"/>
  <c r="B419" i="18"/>
  <c r="B433" i="18"/>
  <c r="B491" i="17"/>
  <c r="B505" i="17"/>
  <c r="B521" i="17"/>
  <c r="B496" i="17"/>
  <c r="B510" i="17"/>
  <c r="AS63" i="1"/>
  <c r="B524" i="18"/>
  <c r="B502" i="18"/>
  <c r="B514" i="18"/>
  <c r="B528" i="18"/>
  <c r="B504" i="18"/>
  <c r="B603" i="18"/>
  <c r="B578" i="18"/>
  <c r="B591" i="18"/>
  <c r="B605" i="18"/>
  <c r="B581" i="18"/>
  <c r="B429" i="17"/>
  <c r="B436" i="17"/>
  <c r="B441" i="17"/>
  <c r="B417" i="17"/>
  <c r="B431" i="17"/>
  <c r="B439" i="18"/>
  <c r="B422" i="18"/>
  <c r="B435" i="18"/>
  <c r="B449" i="18"/>
  <c r="B425" i="18"/>
  <c r="B516" i="18"/>
  <c r="B494" i="18"/>
  <c r="B507" i="18"/>
  <c r="B520" i="18"/>
  <c r="B496" i="18"/>
  <c r="B569" i="18"/>
  <c r="B595" i="18"/>
  <c r="B570" i="18"/>
  <c r="B584" i="18"/>
  <c r="B597" i="18"/>
  <c r="B573" i="18"/>
  <c r="B414" i="17"/>
  <c r="B445" i="17"/>
  <c r="B451" i="17"/>
  <c r="B447" i="17"/>
  <c r="B423" i="17"/>
  <c r="B414" i="18"/>
  <c r="B432" i="18"/>
  <c r="B452" i="18"/>
  <c r="B428" i="18"/>
  <c r="B441" i="18"/>
  <c r="B417" i="18"/>
  <c r="B661" i="18"/>
  <c r="B674" i="18"/>
  <c r="B509" i="18"/>
  <c r="B523" i="18"/>
  <c r="B499" i="18"/>
  <c r="B512" i="18"/>
  <c r="B526" i="18"/>
  <c r="B568" i="18"/>
  <c r="B600" i="18"/>
  <c r="B576" i="18"/>
  <c r="B589" i="18"/>
  <c r="B633" i="16"/>
  <c r="B627" i="18"/>
  <c r="B415" i="17"/>
  <c r="B427" i="17"/>
  <c r="B443" i="17"/>
  <c r="B426" i="17"/>
  <c r="B439" i="17"/>
  <c r="B415" i="18"/>
  <c r="B424" i="18"/>
  <c r="B444" i="18"/>
  <c r="B420" i="18"/>
  <c r="B111" i="16"/>
  <c r="B42" i="10"/>
  <c r="B278" i="12"/>
  <c r="B273" i="12"/>
  <c r="B275" i="12" s="1"/>
  <c r="B283" i="12"/>
  <c r="B276" i="12"/>
  <c r="B282" i="12"/>
  <c r="B284" i="12"/>
  <c r="B281" i="12"/>
  <c r="B279" i="12"/>
  <c r="B277" i="12"/>
  <c r="B196" i="15"/>
  <c r="Q49" i="1"/>
  <c r="AL49" i="1" s="1"/>
  <c r="B149" i="14"/>
  <c r="B149" i="13"/>
  <c r="P8" i="1"/>
  <c r="B197" i="8"/>
  <c r="AP8" i="1"/>
  <c r="B54" i="8"/>
  <c r="AP10" i="1"/>
  <c r="P10" i="1"/>
  <c r="B265" i="8" s="1"/>
  <c r="B126" i="8"/>
  <c r="B267" i="8"/>
  <c r="B242" i="13"/>
  <c r="B16" i="13"/>
  <c r="B36" i="13" s="1"/>
  <c r="Q27" i="1"/>
  <c r="AL27" i="1" s="1"/>
  <c r="B256" i="13" s="1"/>
  <c r="B198" i="12"/>
  <c r="B197" i="12"/>
  <c r="B18" i="11"/>
  <c r="B258" i="12"/>
  <c r="B190" i="12"/>
  <c r="B344" i="12"/>
  <c r="B384" i="10"/>
  <c r="B193" i="12"/>
  <c r="B194" i="12"/>
  <c r="Q9" i="1"/>
  <c r="AL9" i="1" s="1"/>
  <c r="B244" i="8" s="1"/>
  <c r="B94" i="12"/>
  <c r="B116" i="12" s="1"/>
  <c r="B148" i="9"/>
  <c r="B195" i="12"/>
  <c r="B196" i="12"/>
  <c r="B191" i="12"/>
  <c r="B416" i="10"/>
  <c r="B320" i="12"/>
  <c r="B411" i="12"/>
  <c r="B321" i="12"/>
  <c r="B363" i="12"/>
  <c r="B365" i="12"/>
  <c r="B381" i="11"/>
  <c r="B108" i="10"/>
  <c r="B152" i="10"/>
  <c r="B95" i="17"/>
  <c r="B19" i="9"/>
  <c r="B234" i="9"/>
  <c r="B466" i="15"/>
  <c r="B454" i="11"/>
  <c r="B354" i="19"/>
  <c r="B158" i="19"/>
  <c r="B495" i="14"/>
  <c r="B421" i="14"/>
  <c r="B413" i="14"/>
  <c r="B209" i="13"/>
  <c r="B508" i="13"/>
  <c r="B112" i="20"/>
  <c r="B21" i="14"/>
  <c r="B430" i="20"/>
  <c r="B317" i="20"/>
  <c r="B53" i="14"/>
  <c r="B652" i="17"/>
  <c r="B665" i="17"/>
  <c r="B602" i="17"/>
  <c r="B661" i="17"/>
  <c r="B595" i="17"/>
  <c r="B278" i="13"/>
  <c r="B298" i="13"/>
  <c r="B584" i="13"/>
  <c r="B581" i="13"/>
  <c r="B276" i="13"/>
  <c r="B502" i="13"/>
  <c r="B429" i="13"/>
  <c r="B453" i="13"/>
  <c r="B284" i="14"/>
  <c r="B264" i="14"/>
  <c r="B297" i="14"/>
  <c r="B20" i="8"/>
  <c r="B517" i="13"/>
  <c r="B110" i="22"/>
  <c r="B195" i="10"/>
  <c r="B71" i="13"/>
  <c r="B430" i="15"/>
  <c r="B196" i="10"/>
  <c r="B380" i="11"/>
  <c r="B151" i="9"/>
  <c r="B469" i="22"/>
  <c r="B202" i="19"/>
  <c r="B94" i="16"/>
  <c r="B418" i="13"/>
  <c r="B336" i="17"/>
  <c r="B490" i="13"/>
  <c r="B356" i="22"/>
  <c r="B278" i="15"/>
  <c r="B112" i="15"/>
  <c r="B319" i="14"/>
  <c r="B274" i="9"/>
  <c r="B656" i="17"/>
  <c r="B585" i="17"/>
  <c r="B587" i="17"/>
  <c r="B590" i="17"/>
  <c r="B604" i="13"/>
  <c r="B295" i="13"/>
  <c r="B280" i="13"/>
  <c r="B589" i="13"/>
  <c r="B289" i="13"/>
  <c r="B495" i="13"/>
  <c r="B452" i="13"/>
  <c r="B435" i="13"/>
  <c r="B263" i="14"/>
  <c r="B283" i="14"/>
  <c r="B351" i="14"/>
  <c r="B350" i="14"/>
  <c r="B450" i="16"/>
  <c r="B344" i="10"/>
  <c r="B343" i="11"/>
  <c r="B389" i="15"/>
  <c r="B418" i="9"/>
  <c r="B455" i="9"/>
  <c r="B316" i="20"/>
  <c r="B112" i="19"/>
  <c r="B478" i="14"/>
  <c r="B430" i="21"/>
  <c r="B418" i="14"/>
  <c r="B336" i="13"/>
  <c r="B203" i="22"/>
  <c r="B594" i="17"/>
  <c r="B650" i="17"/>
  <c r="B571" i="17"/>
  <c r="B664" i="17"/>
  <c r="B589" i="17"/>
  <c r="B597" i="13"/>
  <c r="B592" i="13"/>
  <c r="B277" i="13"/>
  <c r="B265" i="13"/>
  <c r="B601" i="13"/>
  <c r="B572" i="13"/>
  <c r="B451" i="13"/>
  <c r="B433" i="13"/>
  <c r="B296" i="14"/>
  <c r="B298" i="14"/>
  <c r="B268" i="14"/>
  <c r="B365" i="14"/>
  <c r="B110" i="19"/>
  <c r="B569" i="14"/>
  <c r="B65" i="19"/>
  <c r="B196" i="11"/>
  <c r="B107" i="10"/>
  <c r="B308" i="9"/>
  <c r="B209" i="17"/>
  <c r="B575" i="17"/>
  <c r="B133" i="14"/>
  <c r="B341" i="13"/>
  <c r="B170" i="14"/>
  <c r="B401" i="17"/>
  <c r="B22" i="20"/>
  <c r="B200" i="9"/>
  <c r="B597" i="17"/>
  <c r="B647" i="17"/>
  <c r="B599" i="17"/>
  <c r="B680" i="17"/>
  <c r="B570" i="17"/>
  <c r="B580" i="13"/>
  <c r="B262" i="13"/>
  <c r="B282" i="13"/>
  <c r="B270" i="13"/>
  <c r="B291" i="13"/>
  <c r="B576" i="13"/>
  <c r="B491" i="13"/>
  <c r="B439" i="13"/>
  <c r="B432" i="13"/>
  <c r="B299" i="14"/>
  <c r="B280" i="14"/>
  <c r="B282" i="14"/>
  <c r="B417" i="10"/>
  <c r="B151" i="10"/>
  <c r="B324" i="16"/>
  <c r="B354" i="21"/>
  <c r="B652" i="16"/>
  <c r="B463" i="22"/>
  <c r="B94" i="14"/>
  <c r="B278" i="22"/>
  <c r="B22" i="15"/>
  <c r="B71" i="14"/>
  <c r="B158" i="20"/>
  <c r="B185" i="16"/>
  <c r="B279" i="20"/>
  <c r="B582" i="17"/>
  <c r="B659" i="17"/>
  <c r="B600" i="17"/>
  <c r="B651" i="17"/>
  <c r="B604" i="17"/>
  <c r="B590" i="13"/>
  <c r="B296" i="13"/>
  <c r="B600" i="13"/>
  <c r="B285" i="13"/>
  <c r="B606" i="13"/>
  <c r="B595" i="13"/>
  <c r="B442" i="13"/>
  <c r="B434" i="13"/>
  <c r="B267" i="14"/>
  <c r="B270" i="14"/>
  <c r="B288" i="22"/>
  <c r="B109" i="15"/>
  <c r="B19" i="15"/>
  <c r="B454" i="10"/>
  <c r="B132" i="17"/>
  <c r="B58" i="18"/>
  <c r="B202" i="21"/>
  <c r="B498" i="16"/>
  <c r="B575" i="14"/>
  <c r="B412" i="16"/>
  <c r="B247" i="14"/>
  <c r="B354" i="20"/>
  <c r="B317" i="19"/>
  <c r="B147" i="14"/>
  <c r="B113" i="22"/>
  <c r="B579" i="17"/>
  <c r="B676" i="17"/>
  <c r="B577" i="17"/>
  <c r="B649" i="17"/>
  <c r="B588" i="17"/>
  <c r="B607" i="13"/>
  <c r="B287" i="13"/>
  <c r="B596" i="13"/>
  <c r="B272" i="13"/>
  <c r="B567" i="13"/>
  <c r="B598" i="13"/>
  <c r="B440" i="13"/>
  <c r="B441" i="13"/>
  <c r="B269" i="14"/>
  <c r="B288" i="14"/>
  <c r="B285" i="14"/>
  <c r="B289" i="14"/>
  <c r="B430" i="16"/>
  <c r="B237" i="15"/>
  <c r="B232" i="11"/>
  <c r="B419" i="9"/>
  <c r="B456" i="9"/>
  <c r="B352" i="15"/>
  <c r="B209" i="18"/>
  <c r="B381" i="9"/>
  <c r="B155" i="15"/>
  <c r="B151" i="11"/>
  <c r="B324" i="13"/>
  <c r="B259" i="14"/>
  <c r="B632" i="17"/>
  <c r="B344" i="16"/>
  <c r="B344" i="17"/>
  <c r="B498" i="14"/>
  <c r="B632" i="18"/>
  <c r="B259" i="17"/>
  <c r="B586" i="13"/>
  <c r="B413" i="18"/>
  <c r="B567" i="17"/>
  <c r="B431" i="22"/>
  <c r="B278" i="20"/>
  <c r="B22" i="22"/>
  <c r="B432" i="22"/>
  <c r="B574" i="17"/>
  <c r="B683" i="17"/>
  <c r="B591" i="17"/>
  <c r="B669" i="17"/>
  <c r="B603" i="17"/>
  <c r="B267" i="13"/>
  <c r="B264" i="13"/>
  <c r="B573" i="13"/>
  <c r="B587" i="13"/>
  <c r="B585" i="13"/>
  <c r="B293" i="13"/>
  <c r="B430" i="13"/>
  <c r="B428" i="13"/>
  <c r="B287" i="14"/>
  <c r="B266" i="14"/>
  <c r="B275" i="14"/>
  <c r="B568" i="14"/>
  <c r="AB3" i="1"/>
  <c r="B38" i="6"/>
  <c r="B406" i="12"/>
  <c r="B408" i="12"/>
  <c r="B405" i="12"/>
  <c r="B410" i="12"/>
  <c r="B413" i="12"/>
  <c r="B409" i="12"/>
  <c r="B402" i="12"/>
  <c r="B404" i="12" s="1"/>
  <c r="B412" i="12"/>
  <c r="B492" i="17"/>
  <c r="B523" i="17"/>
  <c r="B529" i="17"/>
  <c r="B504" i="17"/>
  <c r="B517" i="17"/>
  <c r="B493" i="17"/>
  <c r="B134" i="13"/>
  <c r="B140" i="13" s="1"/>
  <c r="B333" i="14"/>
  <c r="B487" i="18"/>
  <c r="B272" i="15"/>
  <c r="B338" i="14"/>
  <c r="B631" i="18"/>
  <c r="B368" i="18"/>
  <c r="B340" i="18"/>
  <c r="B437" i="13"/>
  <c r="B426" i="18"/>
  <c r="B514" i="17"/>
  <c r="B522" i="17"/>
  <c r="B513" i="17"/>
  <c r="B526" i="17"/>
  <c r="B502" i="17"/>
  <c r="B337" i="14"/>
  <c r="B473" i="17"/>
  <c r="B20" i="13"/>
  <c r="B170" i="18"/>
  <c r="B357" i="14"/>
  <c r="B512" i="17"/>
  <c r="B500" i="17"/>
  <c r="B506" i="17"/>
  <c r="B518" i="17"/>
  <c r="B494" i="17"/>
  <c r="B492" i="13"/>
  <c r="B22" i="16"/>
  <c r="B109" i="17"/>
  <c r="B352" i="18"/>
  <c r="B374" i="14"/>
  <c r="B530" i="16"/>
  <c r="B506" i="16"/>
  <c r="B494" i="16"/>
  <c r="B529" i="14"/>
  <c r="B530" i="17"/>
  <c r="B520" i="17"/>
  <c r="B498" i="17"/>
  <c r="B524" i="17"/>
  <c r="B550" i="16"/>
  <c r="B185" i="17"/>
  <c r="B34" i="14"/>
  <c r="B400" i="18"/>
  <c r="B491" i="14"/>
  <c r="B223" i="18"/>
  <c r="B204" i="13"/>
  <c r="B216" i="13" s="1"/>
  <c r="B341" i="14"/>
  <c r="B361" i="14"/>
  <c r="B345" i="14"/>
  <c r="B450" i="14"/>
  <c r="B440" i="18"/>
  <c r="B508" i="17"/>
  <c r="B499" i="17"/>
  <c r="B527" i="17"/>
  <c r="B503" i="17"/>
  <c r="B516" i="17"/>
  <c r="B410" i="16"/>
  <c r="B554" i="14"/>
  <c r="B57" i="13"/>
  <c r="B323" i="18"/>
  <c r="B361" i="18"/>
  <c r="B585" i="14"/>
  <c r="B530" i="13"/>
  <c r="B506" i="13"/>
  <c r="B511" i="13"/>
  <c r="B511" i="16"/>
  <c r="B528" i="17"/>
  <c r="B515" i="17"/>
  <c r="B519" i="17"/>
  <c r="B495" i="17"/>
  <c r="B509" i="17"/>
  <c r="B260" i="13"/>
  <c r="B569" i="17"/>
  <c r="B242" i="18"/>
  <c r="B94" i="13"/>
  <c r="B246" i="14"/>
  <c r="B277" i="14"/>
  <c r="B265" i="14"/>
  <c r="B598" i="14"/>
  <c r="B574" i="14"/>
  <c r="B601" i="14"/>
  <c r="B509" i="13"/>
  <c r="B346" i="17"/>
  <c r="B507" i="17"/>
  <c r="B497" i="17"/>
  <c r="B511" i="17"/>
  <c r="B525" i="17"/>
  <c r="B501" i="17"/>
  <c r="B261" i="14"/>
  <c r="B261" i="13"/>
  <c r="B568" i="17"/>
  <c r="B325" i="16"/>
  <c r="B53" i="17"/>
  <c r="B421" i="13"/>
  <c r="B349" i="17"/>
  <c r="AS69" i="1"/>
  <c r="B556" i="18" s="1"/>
  <c r="B16" i="18"/>
  <c r="AS67" i="1"/>
  <c r="B96" i="18" s="1"/>
  <c r="B319" i="12"/>
  <c r="B327" i="12"/>
  <c r="B325" i="12"/>
  <c r="B322" i="12"/>
  <c r="B323" i="12"/>
  <c r="B550" i="17"/>
  <c r="B324" i="12"/>
  <c r="B554" i="18"/>
  <c r="B314" i="12"/>
  <c r="B326" i="12"/>
  <c r="B185" i="12"/>
  <c r="B271" i="12"/>
  <c r="B633" i="14"/>
  <c r="B210" i="14"/>
  <c r="B281" i="11"/>
  <c r="B429" i="11"/>
  <c r="AN29" i="1"/>
  <c r="P29" i="1"/>
  <c r="B221" i="12"/>
  <c r="B124" i="8"/>
  <c r="B143" i="8" s="1"/>
  <c r="B415" i="9"/>
  <c r="Q23" i="1"/>
  <c r="Q14" i="1"/>
  <c r="AL14" i="1" s="1"/>
  <c r="AS57" i="1"/>
  <c r="B627" i="13"/>
  <c r="B303" i="6"/>
  <c r="B187" i="12"/>
  <c r="B189" i="12" s="1"/>
  <c r="Q10" i="1"/>
  <c r="AL10" i="1" s="1"/>
  <c r="B279" i="8" s="1"/>
  <c r="B452" i="9"/>
  <c r="B170" i="16"/>
  <c r="P6" i="1"/>
  <c r="Q81" i="1"/>
  <c r="AL81" i="1" s="1"/>
  <c r="B290" i="21" s="1"/>
  <c r="Q69" i="1"/>
  <c r="AL69" i="1" s="1"/>
  <c r="B564" i="18" s="1"/>
  <c r="AH41" i="1"/>
  <c r="B109" i="14" s="1"/>
  <c r="P41" i="1"/>
  <c r="B396" i="14" s="1"/>
  <c r="AN84" i="1"/>
  <c r="B85" i="22" s="1"/>
  <c r="P84" i="1"/>
  <c r="AS70" i="1"/>
  <c r="B633" i="18" s="1"/>
  <c r="B323" i="16"/>
  <c r="B128" i="17"/>
  <c r="B60" i="10"/>
  <c r="B166" i="16"/>
  <c r="B57" i="16"/>
  <c r="Q32" i="1"/>
  <c r="AL32" i="1" s="1"/>
  <c r="B641" i="13" s="1"/>
  <c r="Q62" i="1"/>
  <c r="AL62" i="1" s="1"/>
  <c r="B487" i="17" s="1"/>
  <c r="B229" i="10"/>
  <c r="B479" i="13"/>
  <c r="P54" i="1"/>
  <c r="B319" i="16" s="1"/>
  <c r="P83" i="1"/>
  <c r="B349" i="22" s="1"/>
  <c r="B160" i="8"/>
  <c r="B169" i="8" s="1"/>
  <c r="P4" i="1"/>
  <c r="Q4" i="1" s="1"/>
  <c r="AL4" i="1" s="1"/>
  <c r="B244" i="6" s="1"/>
  <c r="Q11" i="1"/>
  <c r="AL11" i="1" s="1"/>
  <c r="B439" i="16"/>
  <c r="B503" i="13"/>
  <c r="B259" i="16"/>
  <c r="B343" i="18"/>
  <c r="B195" i="11"/>
  <c r="B64" i="9"/>
  <c r="B64" i="15"/>
  <c r="B34" i="16"/>
  <c r="B418" i="10"/>
  <c r="B455" i="10"/>
  <c r="B232" i="20"/>
  <c r="B419" i="16"/>
  <c r="B420" i="16"/>
  <c r="B437" i="16"/>
  <c r="B500" i="16"/>
  <c r="B576" i="14"/>
  <c r="B223" i="13"/>
  <c r="B200" i="15"/>
  <c r="B20" i="11"/>
  <c r="B147" i="13"/>
  <c r="B324" i="18"/>
  <c r="B382" i="9"/>
  <c r="B351" i="15"/>
  <c r="B269" i="11"/>
  <c r="B306" i="11"/>
  <c r="B344" i="9"/>
  <c r="B63" i="10"/>
  <c r="B270" i="10"/>
  <c r="B291" i="16"/>
  <c r="B153" i="20"/>
  <c r="B593" i="13"/>
  <c r="B436" i="16"/>
  <c r="B524" i="16"/>
  <c r="B373" i="14"/>
  <c r="B367" i="18"/>
  <c r="B307" i="11"/>
  <c r="B196" i="9"/>
  <c r="B344" i="11"/>
  <c r="B477" i="17"/>
  <c r="B223" i="17"/>
  <c r="B232" i="10"/>
  <c r="B247" i="13"/>
  <c r="B276" i="15"/>
  <c r="B108" i="11"/>
  <c r="B314" i="15"/>
  <c r="B152" i="11"/>
  <c r="B197" i="9"/>
  <c r="B157" i="21"/>
  <c r="B71" i="17"/>
  <c r="B380" i="10"/>
  <c r="B354" i="15"/>
  <c r="B110" i="15"/>
  <c r="B107" i="11"/>
  <c r="B427" i="16"/>
  <c r="B353" i="17"/>
  <c r="B570" i="14"/>
  <c r="B426" i="13"/>
  <c r="B154" i="15"/>
  <c r="B20" i="9"/>
  <c r="B64" i="10"/>
  <c r="B270" i="9"/>
  <c r="B418" i="11"/>
  <c r="B307" i="9"/>
  <c r="B455" i="11"/>
  <c r="B19" i="10"/>
  <c r="B67" i="15"/>
  <c r="B233" i="10"/>
  <c r="B428" i="15"/>
  <c r="B417" i="11"/>
  <c r="B430" i="10"/>
  <c r="B425" i="16"/>
  <c r="B367" i="14"/>
  <c r="B523" i="13"/>
  <c r="B366" i="18"/>
  <c r="B360" i="18"/>
  <c r="B345" i="9"/>
  <c r="B20" i="19"/>
  <c r="B157" i="20"/>
  <c r="B58" i="16"/>
  <c r="B381" i="10"/>
  <c r="B108" i="9"/>
  <c r="B199" i="15"/>
  <c r="B152" i="9"/>
  <c r="B343" i="10"/>
  <c r="B313" i="15"/>
  <c r="B65" i="15"/>
  <c r="B63" i="11"/>
  <c r="B107" i="9"/>
  <c r="B270" i="11"/>
  <c r="B665" i="13"/>
  <c r="B275" i="13"/>
  <c r="B347" i="17"/>
  <c r="B350" i="17"/>
  <c r="B342" i="14"/>
  <c r="B422" i="13"/>
  <c r="B341" i="18"/>
  <c r="B242" i="22"/>
  <c r="B294" i="13"/>
  <c r="B273" i="13"/>
  <c r="B451" i="16"/>
  <c r="B431" i="16"/>
  <c r="B354" i="18"/>
  <c r="B20" i="10"/>
  <c r="B427" i="15"/>
  <c r="B238" i="15"/>
  <c r="B64" i="11"/>
  <c r="B34" i="18"/>
  <c r="B269" i="10"/>
  <c r="B306" i="10"/>
  <c r="B20" i="15"/>
  <c r="B19" i="11"/>
  <c r="B465" i="15"/>
  <c r="B63" i="9"/>
  <c r="B233" i="11"/>
  <c r="B271" i="9"/>
  <c r="B275" i="15"/>
  <c r="B376" i="18"/>
  <c r="B344" i="18"/>
  <c r="B373" i="18"/>
  <c r="B349" i="18"/>
  <c r="B370" i="18"/>
  <c r="B424" i="13"/>
  <c r="B427" i="13"/>
  <c r="B448" i="13"/>
  <c r="B281" i="14"/>
  <c r="B295" i="14"/>
  <c r="B590" i="14"/>
  <c r="B604" i="14"/>
  <c r="B580" i="14"/>
  <c r="B593" i="14"/>
  <c r="B577" i="14"/>
  <c r="B501" i="13"/>
  <c r="B522" i="13"/>
  <c r="B498" i="13"/>
  <c r="B496" i="13"/>
  <c r="B370" i="14"/>
  <c r="B354" i="14"/>
  <c r="B349" i="14"/>
  <c r="B366" i="14"/>
  <c r="B376" i="17"/>
  <c r="B504" i="16"/>
  <c r="B501" i="16"/>
  <c r="B432" i="16"/>
  <c r="B433" i="14"/>
  <c r="B416" i="14"/>
  <c r="B445" i="14"/>
  <c r="P76" i="1"/>
  <c r="B374" i="18"/>
  <c r="B365" i="18"/>
  <c r="B362" i="18"/>
  <c r="B446" i="13"/>
  <c r="B443" i="13"/>
  <c r="B419" i="13"/>
  <c r="B278" i="14"/>
  <c r="B286" i="14"/>
  <c r="B290" i="14"/>
  <c r="B274" i="14"/>
  <c r="B583" i="14"/>
  <c r="B596" i="14"/>
  <c r="B572" i="14"/>
  <c r="B586" i="14"/>
  <c r="B607" i="14"/>
  <c r="B514" i="13"/>
  <c r="B528" i="13"/>
  <c r="B519" i="13"/>
  <c r="B372" i="14"/>
  <c r="B362" i="14"/>
  <c r="B346" i="14"/>
  <c r="B358" i="14"/>
  <c r="B371" i="17"/>
  <c r="B514" i="16"/>
  <c r="B528" i="16"/>
  <c r="B433" i="16"/>
  <c r="B574" i="13"/>
  <c r="B441" i="14"/>
  <c r="B351" i="13"/>
  <c r="B295" i="18"/>
  <c r="B346" i="18"/>
  <c r="B357" i="18"/>
  <c r="B355" i="18"/>
  <c r="B438" i="13"/>
  <c r="B588" i="14"/>
  <c r="B602" i="14"/>
  <c r="B578" i="14"/>
  <c r="B599" i="14"/>
  <c r="B494" i="13"/>
  <c r="B507" i="13"/>
  <c r="B520" i="13"/>
  <c r="B504" i="13"/>
  <c r="B371" i="14"/>
  <c r="B355" i="14"/>
  <c r="B359" i="17"/>
  <c r="B363" i="17"/>
  <c r="B360" i="17"/>
  <c r="B523" i="16"/>
  <c r="B423" i="16"/>
  <c r="B443" i="16"/>
  <c r="B571" i="13"/>
  <c r="B268" i="17"/>
  <c r="B298" i="16"/>
  <c r="B348" i="9"/>
  <c r="B310" i="22"/>
  <c r="B375" i="18"/>
  <c r="B350" i="18"/>
  <c r="B371" i="18"/>
  <c r="B347" i="18"/>
  <c r="B431" i="13"/>
  <c r="B425" i="13"/>
  <c r="B262" i="14"/>
  <c r="B272" i="14"/>
  <c r="B605" i="14"/>
  <c r="B581" i="14"/>
  <c r="B594" i="14"/>
  <c r="B591" i="14"/>
  <c r="B510" i="13"/>
  <c r="B499" i="13"/>
  <c r="B512" i="13"/>
  <c r="B526" i="13"/>
  <c r="B363" i="14"/>
  <c r="B347" i="14"/>
  <c r="B376" i="14"/>
  <c r="B358" i="17"/>
  <c r="B352" i="17"/>
  <c r="B356" i="17"/>
  <c r="B339" i="17"/>
  <c r="B499" i="16"/>
  <c r="B512" i="16"/>
  <c r="B444" i="16"/>
  <c r="B353" i="18"/>
  <c r="B358" i="18"/>
  <c r="B342" i="18"/>
  <c r="B363" i="18"/>
  <c r="B339" i="18"/>
  <c r="B416" i="13"/>
  <c r="B423" i="13"/>
  <c r="B444" i="13"/>
  <c r="B420" i="13"/>
  <c r="B417" i="13"/>
  <c r="B597" i="14"/>
  <c r="B573" i="14"/>
  <c r="B587" i="14"/>
  <c r="B584" i="14"/>
  <c r="B525" i="13"/>
  <c r="B515" i="13"/>
  <c r="B529" i="13"/>
  <c r="B505" i="13"/>
  <c r="B518" i="13"/>
  <c r="B356" i="14"/>
  <c r="B339" i="14"/>
  <c r="B368" i="14"/>
  <c r="B359" i="14"/>
  <c r="B351" i="17"/>
  <c r="B426" i="16"/>
  <c r="B283" i="13"/>
  <c r="B667" i="16"/>
  <c r="P33" i="1"/>
  <c r="Q33" i="1" s="1"/>
  <c r="AL33" i="1" s="1"/>
  <c r="B345" i="18"/>
  <c r="B351" i="18"/>
  <c r="B372" i="18"/>
  <c r="B356" i="18"/>
  <c r="B447" i="13"/>
  <c r="B436" i="13"/>
  <c r="B450" i="13"/>
  <c r="B449" i="13"/>
  <c r="B415" i="13"/>
  <c r="B292" i="14"/>
  <c r="B276" i="14"/>
  <c r="B271" i="14"/>
  <c r="B260" i="14"/>
  <c r="B589" i="14"/>
  <c r="B603" i="14"/>
  <c r="B579" i="14"/>
  <c r="B600" i="14"/>
  <c r="B171" i="11"/>
  <c r="B524" i="13"/>
  <c r="B521" i="13"/>
  <c r="B497" i="13"/>
  <c r="B348" i="14"/>
  <c r="B364" i="14"/>
  <c r="B352" i="14"/>
  <c r="B364" i="17"/>
  <c r="B345" i="17"/>
  <c r="B418" i="16"/>
  <c r="B368" i="13"/>
  <c r="B371" i="13"/>
  <c r="B502" i="14"/>
  <c r="B291" i="18"/>
  <c r="B673" i="17"/>
  <c r="B22" i="6"/>
  <c r="AH38" i="1"/>
  <c r="P38" i="1" s="1"/>
  <c r="Q38" i="1" s="1"/>
  <c r="AL38" i="1" s="1"/>
  <c r="B39" i="10"/>
  <c r="B369" i="18"/>
  <c r="B359" i="18"/>
  <c r="B364" i="18"/>
  <c r="B348" i="18"/>
  <c r="B445" i="13"/>
  <c r="B294" i="14"/>
  <c r="B273" i="14"/>
  <c r="B606" i="14"/>
  <c r="B582" i="14"/>
  <c r="B595" i="14"/>
  <c r="B571" i="14"/>
  <c r="B592" i="14"/>
  <c r="B516" i="13"/>
  <c r="B500" i="13"/>
  <c r="B513" i="13"/>
  <c r="B527" i="13"/>
  <c r="B340" i="14"/>
  <c r="B369" i="14"/>
  <c r="B353" i="14"/>
  <c r="B374" i="17"/>
  <c r="B370" i="17"/>
  <c r="B354" i="17"/>
  <c r="B516" i="16"/>
  <c r="B526" i="16"/>
  <c r="B502" i="16"/>
  <c r="B288" i="13"/>
  <c r="B268" i="13"/>
  <c r="B448" i="14"/>
  <c r="B432" i="14"/>
  <c r="B270" i="17"/>
  <c r="B267" i="17"/>
  <c r="B281" i="17"/>
  <c r="B295" i="17"/>
  <c r="B649" i="13"/>
  <c r="B663" i="13"/>
  <c r="B668" i="13"/>
  <c r="B527" i="14"/>
  <c r="B288" i="16"/>
  <c r="P43" i="1"/>
  <c r="B39" i="6"/>
  <c r="AC3" i="1"/>
  <c r="AP3" i="1" s="1"/>
  <c r="B42" i="6" s="1"/>
  <c r="B128" i="22"/>
  <c r="AC85" i="1"/>
  <c r="AC72" i="1"/>
  <c r="B83" i="19"/>
  <c r="B347" i="10"/>
  <c r="B199" i="10"/>
  <c r="B23" i="10"/>
  <c r="B223" i="16"/>
  <c r="P58" i="1"/>
  <c r="B633" i="17"/>
  <c r="B210" i="17"/>
  <c r="AC12" i="1"/>
  <c r="B380" i="9" s="1"/>
  <c r="B81" i="9"/>
  <c r="B34" i="17"/>
  <c r="P59" i="1"/>
  <c r="AC22" i="1"/>
  <c r="B169" i="11"/>
  <c r="P5" i="1"/>
  <c r="B264" i="6" s="1"/>
  <c r="AG35" i="1"/>
  <c r="AS35" i="1" s="1"/>
  <c r="B266" i="6"/>
  <c r="Q26" i="1"/>
  <c r="B350" i="20"/>
  <c r="B248" i="16"/>
  <c r="B565" i="17"/>
  <c r="P45" i="1"/>
  <c r="Q45" i="1" s="1"/>
  <c r="AL45" i="1" s="1"/>
  <c r="B198" i="20"/>
  <c r="AP4" i="1"/>
  <c r="B85" i="6" s="1"/>
  <c r="B16" i="8"/>
  <c r="B35" i="8" s="1"/>
  <c r="P80" i="1"/>
  <c r="B223" i="14"/>
  <c r="P35" i="1"/>
  <c r="Q35" i="1" s="1"/>
  <c r="AL35" i="1" s="1"/>
  <c r="B172" i="18"/>
  <c r="B20" i="14"/>
  <c r="B480" i="20"/>
  <c r="B328" i="20"/>
  <c r="Q24" i="1"/>
  <c r="B55" i="12"/>
  <c r="B77" i="12" s="1"/>
  <c r="B462" i="19"/>
  <c r="Q74" i="1"/>
  <c r="AL74" i="1" s="1"/>
  <c r="B328" i="19" s="1"/>
  <c r="B151" i="19"/>
  <c r="B179" i="19" s="1"/>
  <c r="B430" i="9"/>
  <c r="B282" i="9"/>
  <c r="P71" i="1"/>
  <c r="AP71" i="1"/>
  <c r="B42" i="19" s="1"/>
  <c r="B350" i="19"/>
  <c r="B18" i="19"/>
  <c r="B350" i="21"/>
  <c r="AP79" i="1"/>
  <c r="B42" i="21" s="1"/>
  <c r="B274" i="20"/>
  <c r="B108" i="20"/>
  <c r="P77" i="1"/>
  <c r="AP77" i="1"/>
  <c r="B132" i="20" s="1"/>
  <c r="B150" i="10"/>
  <c r="P18" i="1"/>
  <c r="B305" i="10"/>
  <c r="AP18" i="1"/>
  <c r="B173" i="10" s="1"/>
  <c r="P17" i="1"/>
  <c r="AP17" i="1"/>
  <c r="B129" i="10" s="1"/>
  <c r="B268" i="10"/>
  <c r="B453" i="10"/>
  <c r="Q44" i="1"/>
  <c r="AL44" i="1" s="1"/>
  <c r="B641" i="14" s="1"/>
  <c r="B204" i="14"/>
  <c r="B224" i="14" s="1"/>
  <c r="B627" i="14"/>
  <c r="B128" i="16"/>
  <c r="B149" i="16" s="1"/>
  <c r="Q56" i="1"/>
  <c r="AL56" i="1" s="1"/>
  <c r="B487" i="16" s="1"/>
  <c r="B272" i="21"/>
  <c r="AP5" i="1"/>
  <c r="B128" i="6" s="1"/>
  <c r="B16" i="12"/>
  <c r="B38" i="12" s="1"/>
  <c r="B16" i="15"/>
  <c r="B44" i="15" s="1"/>
  <c r="B210" i="18"/>
  <c r="B60" i="11"/>
  <c r="B87" i="11" s="1"/>
  <c r="B166" i="17"/>
  <c r="Q16" i="1"/>
  <c r="AL16" i="1" s="1"/>
  <c r="B244" i="10" s="1"/>
  <c r="B473" i="12"/>
  <c r="B325" i="18"/>
  <c r="Q20" i="1"/>
  <c r="AL20" i="1" s="1"/>
  <c r="P75" i="1"/>
  <c r="Q75" i="1" s="1"/>
  <c r="AL75" i="1" s="1"/>
  <c r="B366" i="17"/>
  <c r="B373" i="17"/>
  <c r="B342" i="17"/>
  <c r="B340" i="17"/>
  <c r="B369" i="17"/>
  <c r="B496" i="16"/>
  <c r="B521" i="16"/>
  <c r="B520" i="16"/>
  <c r="B495" i="16"/>
  <c r="B449" i="16"/>
  <c r="B446" i="16"/>
  <c r="B453" i="16"/>
  <c r="B422" i="16"/>
  <c r="B429" i="16"/>
  <c r="B435" i="16"/>
  <c r="B442" i="16"/>
  <c r="B448" i="16"/>
  <c r="B417" i="16"/>
  <c r="B424" i="16"/>
  <c r="B286" i="13"/>
  <c r="B599" i="13"/>
  <c r="B426" i="14"/>
  <c r="B417" i="14"/>
  <c r="B446" i="14"/>
  <c r="B430" i="14"/>
  <c r="B443" i="14"/>
  <c r="B286" i="17"/>
  <c r="B290" i="17"/>
  <c r="B264" i="17"/>
  <c r="B265" i="17"/>
  <c r="B369" i="13"/>
  <c r="B373" i="13"/>
  <c r="B372" i="13"/>
  <c r="B355" i="13"/>
  <c r="B660" i="13"/>
  <c r="B680" i="13"/>
  <c r="B671" i="13"/>
  <c r="B647" i="13"/>
  <c r="B682" i="13"/>
  <c r="B511" i="14"/>
  <c r="B521" i="14"/>
  <c r="B293" i="16"/>
  <c r="B283" i="16"/>
  <c r="B289" i="16"/>
  <c r="B280" i="16"/>
  <c r="B269" i="16"/>
  <c r="B231" i="11"/>
  <c r="B266" i="18"/>
  <c r="B351" i="16"/>
  <c r="B605" i="16"/>
  <c r="B600" i="16"/>
  <c r="B663" i="17"/>
  <c r="B66" i="22"/>
  <c r="AH34" i="1"/>
  <c r="B525" i="16"/>
  <c r="B290" i="13"/>
  <c r="B266" i="13"/>
  <c r="B299" i="13"/>
  <c r="B594" i="13"/>
  <c r="B578" i="13"/>
  <c r="B583" i="13"/>
  <c r="B588" i="13"/>
  <c r="B442" i="14"/>
  <c r="B438" i="14"/>
  <c r="B422" i="14"/>
  <c r="B435" i="14"/>
  <c r="B279" i="17"/>
  <c r="B282" i="17"/>
  <c r="B296" i="17"/>
  <c r="B271" i="17"/>
  <c r="B262" i="17"/>
  <c r="B353" i="13"/>
  <c r="B344" i="13"/>
  <c r="B364" i="13"/>
  <c r="B363" i="13"/>
  <c r="B347" i="13"/>
  <c r="B664" i="13"/>
  <c r="B677" i="13"/>
  <c r="B674" i="13"/>
  <c r="B504" i="14"/>
  <c r="B520" i="14"/>
  <c r="B512" i="14"/>
  <c r="B285" i="16"/>
  <c r="B275" i="16"/>
  <c r="B281" i="16"/>
  <c r="B298" i="18"/>
  <c r="B285" i="18"/>
  <c r="B284" i="18"/>
  <c r="B664" i="16"/>
  <c r="B277" i="19"/>
  <c r="B250" i="19"/>
  <c r="B89" i="12"/>
  <c r="AN80" i="1"/>
  <c r="B85" i="21" s="1"/>
  <c r="AS59" i="1"/>
  <c r="B22" i="17" s="1"/>
  <c r="B172" i="19"/>
  <c r="B343" i="14"/>
  <c r="B375" i="17"/>
  <c r="B365" i="17"/>
  <c r="B372" i="17"/>
  <c r="B362" i="17"/>
  <c r="B519" i="16"/>
  <c r="B493" i="16"/>
  <c r="B513" i="16"/>
  <c r="B505" i="16"/>
  <c r="B517" i="16"/>
  <c r="B438" i="16"/>
  <c r="B445" i="16"/>
  <c r="B452" i="16"/>
  <c r="B421" i="16"/>
  <c r="B428" i="16"/>
  <c r="B434" i="16"/>
  <c r="B440" i="16"/>
  <c r="B447" i="16"/>
  <c r="B416" i="16"/>
  <c r="B284" i="13"/>
  <c r="B292" i="13"/>
  <c r="B570" i="13"/>
  <c r="B591" i="13"/>
  <c r="B447" i="14"/>
  <c r="B431" i="14"/>
  <c r="B452" i="14"/>
  <c r="B428" i="14"/>
  <c r="B299" i="17"/>
  <c r="B275" i="17"/>
  <c r="B288" i="17"/>
  <c r="B261" i="17"/>
  <c r="B346" i="13"/>
  <c r="B345" i="13"/>
  <c r="B365" i="13"/>
  <c r="B339" i="13"/>
  <c r="B672" i="13"/>
  <c r="B656" i="13"/>
  <c r="B669" i="13"/>
  <c r="B666" i="13"/>
  <c r="B496" i="14"/>
  <c r="B524" i="14"/>
  <c r="B522" i="14"/>
  <c r="B513" i="14"/>
  <c r="B277" i="16"/>
  <c r="B276" i="16"/>
  <c r="B274" i="16"/>
  <c r="B297" i="18"/>
  <c r="B288" i="18"/>
  <c r="B264" i="18"/>
  <c r="B672" i="16"/>
  <c r="B24" i="22"/>
  <c r="B66" i="19"/>
  <c r="B497" i="16"/>
  <c r="B297" i="13"/>
  <c r="B271" i="13"/>
  <c r="B603" i="13"/>
  <c r="B582" i="13"/>
  <c r="B427" i="14"/>
  <c r="B439" i="14"/>
  <c r="B423" i="14"/>
  <c r="B444" i="14"/>
  <c r="B420" i="14"/>
  <c r="B291" i="17"/>
  <c r="B266" i="17"/>
  <c r="B280" i="17"/>
  <c r="B375" i="13"/>
  <c r="B349" i="13"/>
  <c r="B348" i="13"/>
  <c r="B658" i="13"/>
  <c r="B648" i="13"/>
  <c r="B654" i="13"/>
  <c r="B659" i="13"/>
  <c r="B505" i="14"/>
  <c r="B516" i="14"/>
  <c r="B515" i="14"/>
  <c r="B514" i="14"/>
  <c r="B267" i="16"/>
  <c r="B266" i="16"/>
  <c r="B264" i="16"/>
  <c r="B295" i="16"/>
  <c r="B282" i="18"/>
  <c r="B280" i="18"/>
  <c r="B278" i="18"/>
  <c r="B369" i="16"/>
  <c r="B606" i="16"/>
  <c r="B337" i="10"/>
  <c r="B17" i="21"/>
  <c r="B87" i="13"/>
  <c r="B419" i="14"/>
  <c r="B436" i="14"/>
  <c r="B283" i="17"/>
  <c r="B297" i="17"/>
  <c r="B272" i="17"/>
  <c r="B284" i="17"/>
  <c r="B340" i="10"/>
  <c r="B376" i="13"/>
  <c r="B366" i="13"/>
  <c r="B357" i="13"/>
  <c r="B667" i="13"/>
  <c r="B683" i="13"/>
  <c r="B678" i="13"/>
  <c r="B684" i="13"/>
  <c r="B651" i="13"/>
  <c r="B517" i="14"/>
  <c r="B507" i="14"/>
  <c r="B286" i="16"/>
  <c r="B296" i="16"/>
  <c r="B287" i="16"/>
  <c r="B465" i="22"/>
  <c r="B289" i="18"/>
  <c r="B675" i="16"/>
  <c r="B584" i="17"/>
  <c r="B199" i="8"/>
  <c r="B32" i="17"/>
  <c r="B410" i="11"/>
  <c r="AG68" i="1"/>
  <c r="AS55" i="1"/>
  <c r="B508" i="16"/>
  <c r="B507" i="16"/>
  <c r="B518" i="16"/>
  <c r="B281" i="13"/>
  <c r="B449" i="14"/>
  <c r="B440" i="14"/>
  <c r="B424" i="14"/>
  <c r="B453" i="14"/>
  <c r="B276" i="17"/>
  <c r="B289" i="17"/>
  <c r="B263" i="17"/>
  <c r="B278" i="17"/>
  <c r="B277" i="17"/>
  <c r="B359" i="13"/>
  <c r="B358" i="13"/>
  <c r="B370" i="13"/>
  <c r="B657" i="13"/>
  <c r="B670" i="13"/>
  <c r="B676" i="13"/>
  <c r="B528" i="14"/>
  <c r="B501" i="14"/>
  <c r="B508" i="14"/>
  <c r="B262" i="16"/>
  <c r="B279" i="16"/>
  <c r="B271" i="16"/>
  <c r="B388" i="19"/>
  <c r="B275" i="18"/>
  <c r="B279" i="18"/>
  <c r="B370" i="16"/>
  <c r="B607" i="16"/>
  <c r="B228" i="8"/>
  <c r="B419" i="21"/>
  <c r="B438" i="21" s="1"/>
  <c r="B104" i="8"/>
  <c r="P34" i="1"/>
  <c r="Q34" i="1" s="1"/>
  <c r="AL34" i="1" s="1"/>
  <c r="P37" i="1"/>
  <c r="Q37" i="1" s="1"/>
  <c r="AL37" i="1" s="1"/>
  <c r="B313" i="21"/>
  <c r="B269" i="13"/>
  <c r="B274" i="13"/>
  <c r="B602" i="13"/>
  <c r="B425" i="14"/>
  <c r="B434" i="14"/>
  <c r="B437" i="14"/>
  <c r="B451" i="14"/>
  <c r="B294" i="17"/>
  <c r="B298" i="17"/>
  <c r="B274" i="17"/>
  <c r="B287" i="17"/>
  <c r="B269" i="17"/>
  <c r="B361" i="13"/>
  <c r="B352" i="13"/>
  <c r="B342" i="13"/>
  <c r="B356" i="13"/>
  <c r="B679" i="13"/>
  <c r="B655" i="13"/>
  <c r="B661" i="13"/>
  <c r="B519" i="14"/>
  <c r="B493" i="14"/>
  <c r="B500" i="14"/>
  <c r="B312" i="20"/>
  <c r="B294" i="16"/>
  <c r="B292" i="16"/>
  <c r="B290" i="16"/>
  <c r="B63" i="19"/>
  <c r="B274" i="18"/>
  <c r="B267" i="18"/>
  <c r="B287" i="18"/>
  <c r="B292" i="18"/>
  <c r="B663" i="16"/>
  <c r="B682" i="17"/>
  <c r="B568" i="16"/>
  <c r="B269" i="19"/>
  <c r="B91" i="12"/>
  <c r="AS23" i="1"/>
  <c r="B22" i="12" s="1"/>
  <c r="P48" i="1"/>
  <c r="Q48" i="1" s="1"/>
  <c r="AL48" i="1" s="1"/>
  <c r="B207" i="11"/>
  <c r="B355" i="11"/>
  <c r="B356" i="9"/>
  <c r="B208" i="9"/>
  <c r="B363" i="15"/>
  <c r="B211" i="15"/>
  <c r="B392" i="11"/>
  <c r="B244" i="11"/>
  <c r="B480" i="19"/>
  <c r="B106" i="21"/>
  <c r="B133" i="21" s="1"/>
  <c r="Q5" i="1"/>
  <c r="AL5" i="1" s="1"/>
  <c r="B281" i="6" s="1"/>
  <c r="Q73" i="1"/>
  <c r="AL73" i="1" s="1"/>
  <c r="B272" i="19"/>
  <c r="B104" i="6"/>
  <c r="B129" i="6" s="1"/>
  <c r="AP83" i="1"/>
  <c r="B42" i="22" s="1"/>
  <c r="B194" i="11"/>
  <c r="B342" i="11"/>
  <c r="B234" i="6"/>
  <c r="B68" i="6"/>
  <c r="B196" i="22"/>
  <c r="B192" i="11"/>
  <c r="B272" i="20"/>
  <c r="Q83" i="1"/>
  <c r="AL83" i="1" s="1"/>
  <c r="B340" i="11"/>
  <c r="B351" i="22"/>
  <c r="B18" i="21"/>
  <c r="P79" i="1"/>
  <c r="B198" i="22"/>
  <c r="B230" i="8"/>
  <c r="B16" i="22"/>
  <c r="B44" i="22" s="1"/>
  <c r="B16" i="11"/>
  <c r="B42" i="11" s="1"/>
  <c r="B18" i="20"/>
  <c r="B193" i="9"/>
  <c r="B16" i="9"/>
  <c r="B43" i="9" s="1"/>
  <c r="B424" i="19"/>
  <c r="B279" i="21"/>
  <c r="B113" i="21"/>
  <c r="Q51" i="1"/>
  <c r="AL51" i="1" s="1"/>
  <c r="B424" i="15"/>
  <c r="B106" i="15"/>
  <c r="Q41" i="1"/>
  <c r="AL41" i="1" s="1"/>
  <c r="B410" i="14" s="1"/>
  <c r="AN50" i="1"/>
  <c r="B85" i="15" s="1"/>
  <c r="P50" i="1"/>
  <c r="AP22" i="1"/>
  <c r="B173" i="11" s="1"/>
  <c r="P22" i="1"/>
  <c r="B312" i="21"/>
  <c r="B153" i="21"/>
  <c r="AP82" i="1"/>
  <c r="B177" i="21" s="1"/>
  <c r="P82" i="1"/>
  <c r="AP61" i="1"/>
  <c r="P61" i="1"/>
  <c r="B59" i="14"/>
  <c r="B325" i="14"/>
  <c r="Q67" i="1"/>
  <c r="AL67" i="1" s="1"/>
  <c r="B410" i="18" s="1"/>
  <c r="B90" i="18"/>
  <c r="B396" i="18"/>
  <c r="B377" i="11"/>
  <c r="B215" i="12"/>
  <c r="B426" i="21"/>
  <c r="B427" i="22"/>
  <c r="B274" i="19"/>
  <c r="B134" i="14"/>
  <c r="B479" i="14"/>
  <c r="B319" i="13"/>
  <c r="B53" i="13"/>
  <c r="B473" i="13"/>
  <c r="Q30" i="1"/>
  <c r="AL30" i="1" s="1"/>
  <c r="B487" i="13" s="1"/>
  <c r="B323" i="14"/>
  <c r="B57" i="14"/>
  <c r="B467" i="9"/>
  <c r="B319" i="9"/>
  <c r="B248" i="13"/>
  <c r="AG36" i="1"/>
  <c r="AS36" i="1" s="1"/>
  <c r="AH36" i="1"/>
  <c r="B147" i="28" s="1"/>
  <c r="B550" i="18"/>
  <c r="AP51" i="1"/>
  <c r="B132" i="15" s="1"/>
  <c r="B274" i="15"/>
  <c r="B18" i="18"/>
  <c r="P47" i="1"/>
  <c r="Q47" i="1" s="1"/>
  <c r="AL47" i="1" s="1"/>
  <c r="AP47" i="1"/>
  <c r="B132" i="29" s="1"/>
  <c r="AS26" i="1"/>
  <c r="B215" i="21"/>
  <c r="B644" i="18"/>
  <c r="B413" i="17"/>
  <c r="B547" i="17"/>
  <c r="B105" i="15"/>
  <c r="B431" i="12"/>
  <c r="B439" i="12" s="1"/>
  <c r="B558" i="14"/>
  <c r="B33" i="19"/>
  <c r="B357" i="21"/>
  <c r="B215" i="20"/>
  <c r="B35" i="21"/>
  <c r="B311" i="22"/>
  <c r="B58" i="21"/>
  <c r="B41" i="20"/>
  <c r="B315" i="22"/>
  <c r="B85" i="19"/>
  <c r="B40" i="19"/>
  <c r="B36" i="22"/>
  <c r="B84" i="11"/>
  <c r="B315" i="14"/>
  <c r="B391" i="21"/>
  <c r="B393" i="14"/>
  <c r="B24" i="17"/>
  <c r="B106" i="16"/>
  <c r="B657" i="17"/>
  <c r="B654" i="17"/>
  <c r="B670" i="17"/>
  <c r="B326" i="20"/>
  <c r="B572" i="17"/>
  <c r="B352" i="16"/>
  <c r="B345" i="16"/>
  <c r="B376" i="16"/>
  <c r="B363" i="16"/>
  <c r="B665" i="16"/>
  <c r="B676" i="16"/>
  <c r="B677" i="16"/>
  <c r="B649" i="16"/>
  <c r="B660" i="16"/>
  <c r="B268" i="18"/>
  <c r="B481" i="19"/>
  <c r="B405" i="21"/>
  <c r="B490" i="17"/>
  <c r="B258" i="16"/>
  <c r="B15" i="13"/>
  <c r="B32" i="14"/>
  <c r="B481" i="15"/>
  <c r="B394" i="12"/>
  <c r="B146" i="19"/>
  <c r="B149" i="19"/>
  <c r="B149" i="21"/>
  <c r="B15" i="19"/>
  <c r="B421" i="22"/>
  <c r="B197" i="19"/>
  <c r="B56" i="21"/>
  <c r="B391" i="20"/>
  <c r="B230" i="19"/>
  <c r="B287" i="21"/>
  <c r="B58" i="9"/>
  <c r="B171" i="22"/>
  <c r="B12" i="14"/>
  <c r="B410" i="10"/>
  <c r="B239" i="21"/>
  <c r="B203" i="21"/>
  <c r="B431" i="15"/>
  <c r="B574" i="16"/>
  <c r="B389" i="12"/>
  <c r="B359" i="16"/>
  <c r="B353" i="16"/>
  <c r="B340" i="16"/>
  <c r="B371" i="16"/>
  <c r="B682" i="16"/>
  <c r="B684" i="16"/>
  <c r="B656" i="16"/>
  <c r="B657" i="16"/>
  <c r="B155" i="20"/>
  <c r="B334" i="18"/>
  <c r="B190" i="11"/>
  <c r="B58" i="11"/>
  <c r="B240" i="13"/>
  <c r="B164" i="18"/>
  <c r="B202" i="18"/>
  <c r="B630" i="17"/>
  <c r="B287" i="19"/>
  <c r="B235" i="19"/>
  <c r="B549" i="18"/>
  <c r="B70" i="21"/>
  <c r="B291" i="20"/>
  <c r="B249" i="21"/>
  <c r="B402" i="21"/>
  <c r="B412" i="10"/>
  <c r="B55" i="9"/>
  <c r="B49" i="17"/>
  <c r="B365" i="15"/>
  <c r="B176" i="22"/>
  <c r="B583" i="16"/>
  <c r="B576" i="16"/>
  <c r="B577" i="16"/>
  <c r="B570" i="16"/>
  <c r="B339" i="16"/>
  <c r="B357" i="16"/>
  <c r="B358" i="16"/>
  <c r="B293" i="22"/>
  <c r="B455" i="14"/>
  <c r="B482" i="15"/>
  <c r="B310" i="11"/>
  <c r="B135" i="18"/>
  <c r="B237" i="13"/>
  <c r="B255" i="13" s="1"/>
  <c r="B197" i="10"/>
  <c r="B69" i="11"/>
  <c r="B131" i="12"/>
  <c r="B98" i="17"/>
  <c r="B309" i="20"/>
  <c r="B60" i="21"/>
  <c r="B229" i="20"/>
  <c r="B248" i="20" s="1"/>
  <c r="B632" i="16"/>
  <c r="B86" i="21"/>
  <c r="B56" i="20"/>
  <c r="B247" i="16"/>
  <c r="B292" i="19"/>
  <c r="B58" i="20"/>
  <c r="B305" i="9"/>
  <c r="B622" i="13"/>
  <c r="B640" i="13" s="1"/>
  <c r="B220" i="18"/>
  <c r="B478" i="17"/>
  <c r="B342" i="9"/>
  <c r="B198" i="15"/>
  <c r="B579" i="16"/>
  <c r="B582" i="16"/>
  <c r="B367" i="16"/>
  <c r="B360" i="16"/>
  <c r="B348" i="16"/>
  <c r="B651" i="16"/>
  <c r="B653" i="16"/>
  <c r="B644" i="13"/>
  <c r="B86" i="22"/>
  <c r="B548" i="14"/>
  <c r="B373" i="9"/>
  <c r="B392" i="9" s="1"/>
  <c r="B56" i="15"/>
  <c r="B449" i="10"/>
  <c r="B152" i="21"/>
  <c r="B147" i="22"/>
  <c r="B201" i="19"/>
  <c r="B105" i="19"/>
  <c r="B192" i="21"/>
  <c r="B422" i="21"/>
  <c r="B629" i="18"/>
  <c r="B125" i="22"/>
  <c r="B460" i="19"/>
  <c r="B463" i="21"/>
  <c r="B126" i="16"/>
  <c r="B278" i="21"/>
  <c r="B372" i="10"/>
  <c r="B391" i="10" s="1"/>
  <c r="B260" i="18"/>
  <c r="B588" i="16"/>
  <c r="B590" i="16"/>
  <c r="B585" i="16"/>
  <c r="B578" i="16"/>
  <c r="B346" i="16"/>
  <c r="B365" i="16"/>
  <c r="B331" i="22"/>
  <c r="B444" i="20"/>
  <c r="B392" i="18"/>
  <c r="B189" i="11"/>
  <c r="B458" i="15"/>
  <c r="B144" i="14"/>
  <c r="B14" i="12"/>
  <c r="B231" i="22"/>
  <c r="B308" i="21"/>
  <c r="B393" i="22"/>
  <c r="B199" i="16"/>
  <c r="B267" i="22"/>
  <c r="B286" i="22" s="1"/>
  <c r="B467" i="19"/>
  <c r="B14" i="18"/>
  <c r="B80" i="19"/>
  <c r="B130" i="20"/>
  <c r="B280" i="22"/>
  <c r="B195" i="22"/>
  <c r="B229" i="9"/>
  <c r="B269" i="21"/>
  <c r="B404" i="13"/>
  <c r="B68" i="9"/>
  <c r="B153" i="15"/>
  <c r="B107" i="18"/>
  <c r="B658" i="17"/>
  <c r="B586" i="17"/>
  <c r="B591" i="16"/>
  <c r="B587" i="16"/>
  <c r="B364" i="16"/>
  <c r="B375" i="16"/>
  <c r="B368" i="16"/>
  <c r="B356" i="16"/>
  <c r="B658" i="16"/>
  <c r="B659" i="16"/>
  <c r="B669" i="16"/>
  <c r="B670" i="16"/>
  <c r="B299" i="18"/>
  <c r="B271" i="18"/>
  <c r="B272" i="18"/>
  <c r="B273" i="18"/>
  <c r="B248" i="17"/>
  <c r="B344" i="21"/>
  <c r="B545" i="13"/>
  <c r="B563" i="13" s="1"/>
  <c r="B250" i="13"/>
  <c r="B77" i="9"/>
  <c r="B476" i="12"/>
  <c r="B195" i="20"/>
  <c r="B306" i="20"/>
  <c r="B17" i="18"/>
  <c r="B57" i="20"/>
  <c r="B249" i="18"/>
  <c r="B281" i="20"/>
  <c r="B364" i="20"/>
  <c r="B280" i="19"/>
  <c r="B23" i="19"/>
  <c r="B172" i="9"/>
  <c r="B243" i="21"/>
  <c r="B51" i="14"/>
  <c r="B115" i="20"/>
  <c r="B150" i="21"/>
  <c r="B421" i="11"/>
  <c r="B261" i="18"/>
  <c r="B326" i="19"/>
  <c r="B108" i="16"/>
  <c r="B107" i="17"/>
  <c r="B674" i="17"/>
  <c r="B646" i="17"/>
  <c r="B596" i="16"/>
  <c r="B598" i="16"/>
  <c r="B592" i="16"/>
  <c r="B586" i="16"/>
  <c r="B597" i="16"/>
  <c r="B362" i="16"/>
  <c r="P52" i="1"/>
  <c r="B310" i="15" s="1"/>
  <c r="AP52" i="1"/>
  <c r="B177" i="15" s="1"/>
  <c r="P46" i="1"/>
  <c r="Q46" i="1" s="1"/>
  <c r="AL46" i="1" s="1"/>
  <c r="AP46" i="1"/>
  <c r="B87" i="29" s="1"/>
  <c r="AS34" i="1"/>
  <c r="AP45" i="1"/>
  <c r="B42" i="29" s="1"/>
  <c r="B609" i="13"/>
  <c r="AN43" i="1"/>
  <c r="AN36" i="1"/>
  <c r="B81" i="10"/>
  <c r="B291" i="15"/>
  <c r="B444" i="21"/>
  <c r="B233" i="12"/>
  <c r="B448" i="12"/>
  <c r="B453" i="12"/>
  <c r="B364" i="12"/>
  <c r="B370" i="12"/>
  <c r="B368" i="12"/>
  <c r="B369" i="12"/>
  <c r="B362" i="12"/>
  <c r="B366" i="12"/>
  <c r="B367" i="12"/>
  <c r="B241" i="12"/>
  <c r="B449" i="12"/>
  <c r="B455" i="12"/>
  <c r="B450" i="12"/>
  <c r="B445" i="12"/>
  <c r="B447" i="12" s="1"/>
  <c r="B486" i="12"/>
  <c r="B488" i="12"/>
  <c r="B490" i="12" s="1"/>
  <c r="B491" i="12"/>
  <c r="B499" i="12"/>
  <c r="B495" i="12"/>
  <c r="B443" i="12"/>
  <c r="B494" i="12"/>
  <c r="B456" i="12"/>
  <c r="B454" i="12"/>
  <c r="B497" i="12"/>
  <c r="B451" i="12"/>
  <c r="B496" i="12"/>
  <c r="B493" i="12"/>
  <c r="B492" i="12"/>
  <c r="B357" i="12"/>
  <c r="B131" i="9"/>
  <c r="B238" i="12"/>
  <c r="B130" i="11"/>
  <c r="B400" i="12"/>
  <c r="B267" i="12"/>
  <c r="B240" i="12"/>
  <c r="B235" i="12"/>
  <c r="B35" i="13"/>
  <c r="B228" i="12"/>
  <c r="B239" i="12"/>
  <c r="B106" i="8"/>
  <c r="B236" i="12"/>
  <c r="B237" i="12"/>
  <c r="B234" i="12"/>
  <c r="B198" i="6"/>
  <c r="B196" i="6"/>
  <c r="B194" i="6"/>
  <c r="B188" i="6"/>
  <c r="B193" i="6"/>
  <c r="B185" i="6"/>
  <c r="B331" i="21"/>
  <c r="B685" i="17"/>
  <c r="B259" i="18"/>
  <c r="B471" i="13"/>
  <c r="B48" i="17"/>
  <c r="B108" i="14"/>
  <c r="B326" i="14"/>
  <c r="B265" i="11"/>
  <c r="B300" i="14"/>
  <c r="B379" i="17"/>
  <c r="B253" i="19"/>
  <c r="B406" i="22"/>
  <c r="B384" i="11"/>
  <c r="B413" i="13"/>
  <c r="B259" i="13"/>
  <c r="B643" i="16"/>
  <c r="B230" i="11"/>
  <c r="B212" i="14"/>
  <c r="B71" i="12"/>
  <c r="B129" i="12"/>
  <c r="B148" i="15"/>
  <c r="B687" i="14"/>
  <c r="B60" i="15"/>
  <c r="B149" i="12"/>
  <c r="B104" i="15"/>
  <c r="B471" i="20"/>
  <c r="B318" i="21"/>
  <c r="B147" i="21"/>
  <c r="B403" i="17"/>
  <c r="B369" i="19"/>
  <c r="B420" i="22"/>
  <c r="B439" i="22" s="1"/>
  <c r="B311" i="19"/>
  <c r="B392" i="21"/>
  <c r="B24" i="21"/>
  <c r="B211" i="21"/>
  <c r="B626" i="18"/>
  <c r="B322" i="17"/>
  <c r="B211" i="19"/>
  <c r="B193" i="20"/>
  <c r="B23" i="17"/>
  <c r="B630" i="18"/>
  <c r="B15" i="16"/>
  <c r="B311" i="10"/>
  <c r="B86" i="14"/>
  <c r="B51" i="16"/>
  <c r="B33" i="8"/>
  <c r="B173" i="13"/>
  <c r="B444" i="15"/>
  <c r="B610" i="14"/>
  <c r="B312" i="15"/>
  <c r="B646" i="16"/>
  <c r="B684" i="17"/>
  <c r="B653" i="17"/>
  <c r="B478" i="20"/>
  <c r="B601" i="16"/>
  <c r="B594" i="16"/>
  <c r="B347" i="16"/>
  <c r="B341" i="16"/>
  <c r="B342" i="16"/>
  <c r="B373" i="16"/>
  <c r="B366" i="16"/>
  <c r="B673" i="16"/>
  <c r="B666" i="16"/>
  <c r="B661" i="16"/>
  <c r="B654" i="16"/>
  <c r="B647" i="16"/>
  <c r="B678" i="16"/>
  <c r="B671" i="16"/>
  <c r="B276" i="18"/>
  <c r="B269" i="18"/>
  <c r="B262" i="18"/>
  <c r="B293" i="18"/>
  <c r="B286" i="18"/>
  <c r="B272" i="16"/>
  <c r="B499" i="14"/>
  <c r="B530" i="14"/>
  <c r="B523" i="14"/>
  <c r="B509" i="14"/>
  <c r="B494" i="14"/>
  <c r="B525" i="14"/>
  <c r="B518" i="14"/>
  <c r="B681" i="13"/>
  <c r="B273" i="17"/>
  <c r="B292" i="17"/>
  <c r="B285" i="17"/>
  <c r="B429" i="14"/>
  <c r="B87" i="17"/>
  <c r="B235" i="15"/>
  <c r="B19" i="13"/>
  <c r="B255" i="15"/>
  <c r="B78" i="9"/>
  <c r="B623" i="13"/>
  <c r="B12" i="8"/>
  <c r="B196" i="8"/>
  <c r="B394" i="17"/>
  <c r="B411" i="17"/>
  <c r="B19" i="18"/>
  <c r="B62" i="19"/>
  <c r="B315" i="19"/>
  <c r="B69" i="19"/>
  <c r="B368" i="22"/>
  <c r="B229" i="22"/>
  <c r="B235" i="21"/>
  <c r="B111" i="22"/>
  <c r="B242" i="19"/>
  <c r="B249" i="20"/>
  <c r="B243" i="19"/>
  <c r="B34" i="19"/>
  <c r="B243" i="20"/>
  <c r="B423" i="10"/>
  <c r="B395" i="22"/>
  <c r="B349" i="9"/>
  <c r="B19" i="8"/>
  <c r="B14" i="21"/>
  <c r="B87" i="8"/>
  <c r="B100" i="8" s="1"/>
  <c r="B21" i="21"/>
  <c r="B193" i="8"/>
  <c r="B91" i="17"/>
  <c r="B469" i="20"/>
  <c r="B671" i="17"/>
  <c r="B596" i="17"/>
  <c r="B572" i="16"/>
  <c r="B571" i="16"/>
  <c r="B602" i="16"/>
  <c r="B361" i="16"/>
  <c r="B355" i="16"/>
  <c r="B350" i="16"/>
  <c r="B343" i="16"/>
  <c r="B374" i="16"/>
  <c r="B650" i="16"/>
  <c r="B681" i="16"/>
  <c r="B674" i="16"/>
  <c r="B668" i="16"/>
  <c r="B662" i="16"/>
  <c r="B655" i="16"/>
  <c r="B648" i="16"/>
  <c r="B679" i="16"/>
  <c r="B283" i="18"/>
  <c r="B277" i="18"/>
  <c r="B270" i="18"/>
  <c r="B263" i="18"/>
  <c r="B294" i="18"/>
  <c r="B268" i="16"/>
  <c r="B545" i="17"/>
  <c r="B155" i="6"/>
  <c r="B138" i="12"/>
  <c r="B11" i="12"/>
  <c r="B448" i="10"/>
  <c r="B421" i="15"/>
  <c r="B146" i="22"/>
  <c r="B84" i="21"/>
  <c r="B212" i="22"/>
  <c r="B433" i="20"/>
  <c r="B398" i="18"/>
  <c r="B273" i="19"/>
  <c r="B321" i="17"/>
  <c r="B309" i="19"/>
  <c r="B423" i="19"/>
  <c r="B270" i="21"/>
  <c r="B253" i="22"/>
  <c r="B377" i="9"/>
  <c r="B156" i="6"/>
  <c r="B131" i="8"/>
  <c r="B192" i="22"/>
  <c r="B86" i="13"/>
  <c r="B190" i="10"/>
  <c r="B601" i="17"/>
  <c r="B592" i="17"/>
  <c r="B595" i="16"/>
  <c r="B372" i="16"/>
  <c r="B680" i="16"/>
  <c r="B683" i="16"/>
  <c r="B265" i="18"/>
  <c r="B296" i="18"/>
  <c r="B290" i="18"/>
  <c r="B281" i="18"/>
  <c r="B270" i="16"/>
  <c r="B273" i="16"/>
  <c r="B263" i="16"/>
  <c r="B297" i="16"/>
  <c r="B282" i="16"/>
  <c r="B265" i="16"/>
  <c r="B299" i="16"/>
  <c r="B284" i="16"/>
  <c r="B278" i="16"/>
  <c r="B169" i="9"/>
  <c r="B464" i="21"/>
  <c r="B497" i="14"/>
  <c r="B510" i="14"/>
  <c r="B503" i="14"/>
  <c r="B650" i="13"/>
  <c r="B673" i="13"/>
  <c r="B675" i="13"/>
  <c r="B362" i="13"/>
  <c r="B340" i="13"/>
  <c r="B350" i="13"/>
  <c r="B343" i="13"/>
  <c r="B374" i="13"/>
  <c r="B367" i="13"/>
  <c r="B360" i="13"/>
  <c r="B354" i="13"/>
  <c r="B293" i="17"/>
  <c r="B575" i="13"/>
  <c r="B279" i="13"/>
  <c r="B490" i="16"/>
  <c r="B441" i="16"/>
  <c r="B510" i="16"/>
  <c r="B503" i="16"/>
  <c r="B529" i="16"/>
  <c r="B522" i="16"/>
  <c r="B515" i="16"/>
  <c r="B509" i="16"/>
  <c r="B527" i="16"/>
  <c r="B338" i="17"/>
  <c r="B368" i="17"/>
  <c r="B361" i="17"/>
  <c r="B355" i="17"/>
  <c r="B348" i="17"/>
  <c r="B341" i="17"/>
  <c r="B367" i="17"/>
  <c r="B343" i="17"/>
  <c r="B344" i="14"/>
  <c r="B375" i="14"/>
  <c r="B360" i="14"/>
  <c r="B493" i="13"/>
  <c r="B36" i="14"/>
  <c r="B482" i="16"/>
  <c r="B184" i="14"/>
  <c r="B529" i="28"/>
  <c r="B203" i="28"/>
  <c r="B349" i="29"/>
  <c r="B494" i="28"/>
  <c r="B442" i="29"/>
  <c r="B398" i="28"/>
  <c r="B530" i="28"/>
  <c r="B427" i="28"/>
  <c r="B447" i="28"/>
  <c r="B37" i="29"/>
  <c r="B363" i="28"/>
  <c r="B347" i="28"/>
  <c r="B221" i="28"/>
  <c r="B509" i="28"/>
  <c r="B462" i="29"/>
  <c r="B264" i="28"/>
  <c r="B423" i="28"/>
  <c r="B112" i="29"/>
  <c r="B499" i="28"/>
  <c r="B290" i="28"/>
  <c r="B238" i="28"/>
  <c r="B552" i="28"/>
  <c r="B525" i="28"/>
  <c r="B369" i="28"/>
  <c r="B108" i="28"/>
  <c r="B109" i="28"/>
  <c r="B515" i="28"/>
  <c r="B556" i="28"/>
  <c r="B490" i="28"/>
  <c r="B421" i="29"/>
  <c r="B248" i="21"/>
  <c r="B533" i="17"/>
  <c r="B468" i="10"/>
  <c r="B168" i="6"/>
  <c r="B37" i="6"/>
  <c r="B146" i="18"/>
  <c r="B105" i="8"/>
  <c r="B505" i="28"/>
  <c r="B518" i="28"/>
  <c r="B504" i="28"/>
  <c r="B573" i="28"/>
  <c r="B604" i="28"/>
  <c r="B597" i="28"/>
  <c r="B590" i="28"/>
  <c r="B576" i="28"/>
  <c r="B607" i="28"/>
  <c r="B592" i="28"/>
  <c r="B586" i="28"/>
  <c r="B579" i="28"/>
  <c r="B572" i="28"/>
  <c r="B366" i="28"/>
  <c r="B350" i="28"/>
  <c r="B349" i="28"/>
  <c r="B294" i="28"/>
  <c r="B278" i="28"/>
  <c r="B430" i="28"/>
  <c r="B425" i="28"/>
  <c r="B451" i="28"/>
  <c r="B246" i="28"/>
  <c r="B126" i="28"/>
  <c r="B566" i="28"/>
  <c r="B220" i="28"/>
  <c r="B223" i="28"/>
  <c r="B475" i="28"/>
  <c r="B250" i="28"/>
  <c r="B129" i="28"/>
  <c r="B146" i="28"/>
  <c r="B164" i="28"/>
  <c r="B628" i="28"/>
  <c r="B60" i="29"/>
  <c r="B395" i="29"/>
  <c r="B105" i="29"/>
  <c r="B113" i="29"/>
  <c r="B456" i="18"/>
  <c r="B206" i="6"/>
  <c r="B251" i="19"/>
  <c r="B34" i="21"/>
  <c r="B108" i="18"/>
  <c r="B498" i="28"/>
  <c r="B526" i="28"/>
  <c r="B511" i="28"/>
  <c r="B581" i="28"/>
  <c r="B574" i="28"/>
  <c r="B605" i="28"/>
  <c r="B598" i="28"/>
  <c r="B584" i="28"/>
  <c r="B569" i="28"/>
  <c r="B600" i="28"/>
  <c r="B593" i="28"/>
  <c r="B587" i="28"/>
  <c r="B580" i="28"/>
  <c r="B367" i="28"/>
  <c r="B351" i="28"/>
  <c r="B266" i="28"/>
  <c r="B270" i="28"/>
  <c r="B284" i="28"/>
  <c r="B429" i="28"/>
  <c r="B432" i="28"/>
  <c r="B426" i="28"/>
  <c r="B420" i="28"/>
  <c r="B532" i="28"/>
  <c r="B204" i="28"/>
  <c r="B91" i="28"/>
  <c r="B478" i="28"/>
  <c r="B135" i="28"/>
  <c r="B133" i="28"/>
  <c r="B324" i="28"/>
  <c r="B166" i="28"/>
  <c r="B411" i="28"/>
  <c r="B548" i="28"/>
  <c r="B33" i="28"/>
  <c r="B394" i="29"/>
  <c r="B366" i="29"/>
  <c r="B313" i="29"/>
  <c r="B364" i="21"/>
  <c r="B84" i="29"/>
  <c r="B627" i="28"/>
  <c r="B247" i="28"/>
  <c r="B183" i="28"/>
  <c r="B136" i="28"/>
  <c r="B239" i="28"/>
  <c r="B404" i="29"/>
  <c r="B199" i="29"/>
  <c r="B191" i="29"/>
  <c r="B210" i="29" s="1"/>
  <c r="B419" i="29"/>
  <c r="B438" i="29" s="1"/>
  <c r="B229" i="29"/>
  <c r="B248" i="29" s="1"/>
  <c r="B168" i="29"/>
  <c r="B110" i="29"/>
  <c r="B331" i="29"/>
  <c r="B126" i="29"/>
  <c r="B238" i="29"/>
  <c r="B367" i="29"/>
  <c r="B83" i="29"/>
  <c r="B85" i="29"/>
  <c r="B231" i="29"/>
  <c r="B346" i="29"/>
  <c r="B459" i="29"/>
  <c r="B15" i="29"/>
  <c r="B128" i="29"/>
  <c r="B293" i="29"/>
  <c r="B390" i="29"/>
  <c r="B70" i="29"/>
  <c r="B241" i="29"/>
  <c r="B383" i="29"/>
  <c r="B357" i="29"/>
  <c r="B68" i="29"/>
  <c r="B309" i="29"/>
  <c r="B441" i="29"/>
  <c r="B103" i="29"/>
  <c r="B277" i="29"/>
  <c r="B429" i="29"/>
  <c r="B49" i="28"/>
  <c r="B14" i="28"/>
  <c r="B20" i="28"/>
  <c r="B185" i="28"/>
  <c r="B333" i="28"/>
  <c r="B564" i="28"/>
  <c r="B89" i="28"/>
  <c r="B554" i="28"/>
  <c r="B52" i="28"/>
  <c r="B145" i="28"/>
  <c r="B302" i="28"/>
  <c r="B555" i="28"/>
  <c r="B454" i="28"/>
  <c r="B476" i="28"/>
  <c r="B202" i="28"/>
  <c r="B168" i="28"/>
  <c r="B353" i="28"/>
  <c r="B127" i="28"/>
  <c r="B237" i="28"/>
  <c r="B255" i="28" s="1"/>
  <c r="B364" i="19"/>
  <c r="B470" i="29"/>
  <c r="B482" i="29"/>
  <c r="B40" i="29"/>
  <c r="B626" i="28"/>
  <c r="B631" i="28"/>
  <c r="B300" i="28"/>
  <c r="B252" i="29"/>
  <c r="B102" i="29"/>
  <c r="B193" i="29"/>
  <c r="B127" i="29"/>
  <c r="B365" i="29"/>
  <c r="B147" i="29"/>
  <c r="B254" i="29"/>
  <c r="B388" i="29"/>
  <c r="B311" i="29"/>
  <c r="B114" i="29"/>
  <c r="B239" i="29"/>
  <c r="B354" i="29"/>
  <c r="B467" i="29"/>
  <c r="B23" i="29"/>
  <c r="B149" i="29"/>
  <c r="B306" i="29"/>
  <c r="B403" i="29"/>
  <c r="B24" i="29"/>
  <c r="B253" i="29"/>
  <c r="B391" i="29"/>
  <c r="B384" i="29"/>
  <c r="B81" i="29"/>
  <c r="B317" i="29"/>
  <c r="B463" i="29"/>
  <c r="B111" i="29"/>
  <c r="B318" i="29"/>
  <c r="B464" i="29"/>
  <c r="B61" i="28"/>
  <c r="B16" i="28"/>
  <c r="B289" i="15"/>
  <c r="B465" i="29"/>
  <c r="B326" i="29"/>
  <c r="B275" i="29"/>
  <c r="B250" i="29"/>
  <c r="B242" i="29"/>
  <c r="B212" i="29"/>
  <c r="B86" i="29"/>
  <c r="B623" i="28"/>
  <c r="B474" i="28"/>
  <c r="B18" i="28"/>
  <c r="B177" i="29"/>
  <c r="B430" i="29"/>
  <c r="B171" i="29"/>
  <c r="B201" i="29"/>
  <c r="B108" i="29"/>
  <c r="B268" i="29"/>
  <c r="B204" i="29"/>
  <c r="B154" i="29"/>
  <c r="B13" i="29"/>
  <c r="B155" i="29"/>
  <c r="B271" i="29"/>
  <c r="B406" i="29"/>
  <c r="B319" i="29"/>
  <c r="B123" i="29"/>
  <c r="B251" i="29"/>
  <c r="B381" i="29"/>
  <c r="B400" i="29" s="1"/>
  <c r="B481" i="29"/>
  <c r="B36" i="29"/>
  <c r="B157" i="29"/>
  <c r="B314" i="29"/>
  <c r="B425" i="29"/>
  <c r="B33" i="29"/>
  <c r="B307" i="29"/>
  <c r="B405" i="29"/>
  <c r="B392" i="29"/>
  <c r="B152" i="29"/>
  <c r="B329" i="29"/>
  <c r="B471" i="29"/>
  <c r="B124" i="29"/>
  <c r="B343" i="29"/>
  <c r="B379" i="28"/>
  <c r="B70" i="28"/>
  <c r="B50" i="28"/>
  <c r="B240" i="28"/>
  <c r="B368" i="28"/>
  <c r="B553" i="28"/>
  <c r="B106" i="28"/>
  <c r="B378" i="28"/>
  <c r="B131" i="28"/>
  <c r="B69" i="28"/>
  <c r="B174" i="28"/>
  <c r="B323" i="28"/>
  <c r="B222" i="28"/>
  <c r="B397" i="28"/>
  <c r="B533" i="28"/>
  <c r="B325" i="28"/>
  <c r="B265" i="28"/>
  <c r="B377" i="28"/>
  <c r="B144" i="28"/>
  <c r="B245" i="28"/>
  <c r="B468" i="28"/>
  <c r="B486" i="28" s="1"/>
  <c r="B629" i="28"/>
  <c r="B184" i="28"/>
  <c r="B327" i="28"/>
  <c r="B550" i="28"/>
  <c r="B428" i="28"/>
  <c r="B450" i="28"/>
  <c r="B419" i="28"/>
  <c r="B439" i="28"/>
  <c r="B446" i="28"/>
  <c r="B415" i="28"/>
  <c r="B437" i="28"/>
  <c r="B452" i="28"/>
  <c r="B346" i="28"/>
  <c r="B287" i="28"/>
  <c r="B273" i="28"/>
  <c r="B342" i="28"/>
  <c r="B373" i="28"/>
  <c r="B358" i="28"/>
  <c r="B310" i="29"/>
  <c r="B208" i="11"/>
  <c r="B457" i="29"/>
  <c r="B476" i="29" s="1"/>
  <c r="B237" i="29"/>
  <c r="B622" i="28"/>
  <c r="B640" i="28" s="1"/>
  <c r="B558" i="28"/>
  <c r="B56" i="28"/>
  <c r="B159" i="29"/>
  <c r="B200" i="29"/>
  <c r="B267" i="29"/>
  <c r="B286" i="29" s="1"/>
  <c r="B130" i="29"/>
  <c r="B290" i="29"/>
  <c r="B270" i="29"/>
  <c r="B194" i="29"/>
  <c r="B21" i="29"/>
  <c r="B172" i="29"/>
  <c r="B291" i="29"/>
  <c r="B423" i="29"/>
  <c r="B14" i="29"/>
  <c r="B131" i="29"/>
  <c r="B280" i="29"/>
  <c r="B17" i="29"/>
  <c r="B57" i="29"/>
  <c r="B174" i="29"/>
  <c r="B330" i="29"/>
  <c r="B433" i="29"/>
  <c r="B41" i="29"/>
  <c r="B315" i="29"/>
  <c r="B444" i="29"/>
  <c r="B38" i="29"/>
  <c r="B160" i="29"/>
  <c r="B350" i="29"/>
  <c r="B18" i="29"/>
  <c r="B153" i="29"/>
  <c r="B643" i="28"/>
  <c r="B53" i="28"/>
  <c r="B19" i="28"/>
  <c r="B58" i="28"/>
  <c r="B260" i="28"/>
  <c r="B394" i="28"/>
  <c r="B565" i="28"/>
  <c r="B123" i="28"/>
  <c r="B395" i="28"/>
  <c r="B165" i="28"/>
  <c r="B90" i="28"/>
  <c r="B200" i="28"/>
  <c r="B335" i="28"/>
  <c r="B201" i="28"/>
  <c r="B413" i="28"/>
  <c r="B609" i="28"/>
  <c r="B205" i="28"/>
  <c r="B283" i="28"/>
  <c r="B17" i="28"/>
  <c r="B161" i="28"/>
  <c r="B301" i="28"/>
  <c r="B687" i="28"/>
  <c r="B54" i="28"/>
  <c r="B162" i="28"/>
  <c r="B392" i="28"/>
  <c r="B418" i="28"/>
  <c r="B433" i="28"/>
  <c r="B277" i="28"/>
  <c r="B285" i="28"/>
  <c r="B355" i="28"/>
  <c r="B22" i="28"/>
  <c r="B286" i="28"/>
  <c r="B356" i="28"/>
  <c r="B364" i="28"/>
  <c r="B281" i="28"/>
  <c r="B267" i="28"/>
  <c r="B344" i="28"/>
  <c r="B151" i="29"/>
  <c r="B209" i="9"/>
  <c r="B557" i="28"/>
  <c r="B481" i="28"/>
  <c r="B171" i="28"/>
  <c r="B393" i="28"/>
  <c r="B176" i="29"/>
  <c r="B420" i="29"/>
  <c r="B150" i="29"/>
  <c r="B101" i="29"/>
  <c r="B292" i="29"/>
  <c r="B274" i="29"/>
  <c r="B34" i="29"/>
  <c r="B197" i="29"/>
  <c r="B312" i="29"/>
  <c r="B445" i="29"/>
  <c r="B22" i="29"/>
  <c r="B148" i="29"/>
  <c r="B288" i="29"/>
  <c r="B389" i="29"/>
  <c r="B25" i="29"/>
  <c r="B65" i="29"/>
  <c r="B232" i="29"/>
  <c r="B347" i="29"/>
  <c r="B460" i="29"/>
  <c r="B58" i="29"/>
  <c r="B327" i="29"/>
  <c r="B461" i="29"/>
  <c r="B308" i="29"/>
  <c r="B173" i="29"/>
  <c r="B368" i="29"/>
  <c r="B11" i="29"/>
  <c r="B195" i="29"/>
  <c r="B351" i="29"/>
  <c r="B107" i="28"/>
  <c r="B21" i="28"/>
  <c r="B88" i="28"/>
  <c r="B268" i="28"/>
  <c r="B472" i="28"/>
  <c r="B610" i="28"/>
  <c r="B241" i="28"/>
  <c r="B403" i="28"/>
  <c r="B173" i="28"/>
  <c r="B208" i="28"/>
  <c r="B396" i="28"/>
  <c r="B209" i="28"/>
  <c r="B320" i="28"/>
  <c r="B125" i="28"/>
  <c r="B291" i="28"/>
  <c r="B34" i="28"/>
  <c r="B169" i="28"/>
  <c r="B318" i="28"/>
  <c r="B205" i="6"/>
  <c r="B410" i="28"/>
  <c r="B644" i="28"/>
  <c r="B635" i="28"/>
  <c r="B551" i="28"/>
  <c r="B258" i="28"/>
  <c r="B163" i="28"/>
  <c r="B23" i="28"/>
  <c r="B470" i="28"/>
  <c r="B376" i="28"/>
  <c r="B480" i="29"/>
  <c r="B158" i="29"/>
  <c r="B198" i="29"/>
  <c r="B104" i="29"/>
  <c r="B422" i="29"/>
  <c r="B192" i="29"/>
  <c r="B278" i="29"/>
  <c r="B344" i="29"/>
  <c r="B352" i="29"/>
  <c r="B63" i="29"/>
  <c r="B205" i="29"/>
  <c r="B328" i="29"/>
  <c r="B458" i="29"/>
  <c r="B39" i="29"/>
  <c r="B156" i="29"/>
  <c r="B305" i="29"/>
  <c r="B324" i="29" s="1"/>
  <c r="B432" i="29"/>
  <c r="B20" i="29"/>
  <c r="B82" i="29"/>
  <c r="B240" i="29"/>
  <c r="B355" i="29"/>
  <c r="B468" i="29"/>
  <c r="B66" i="29"/>
  <c r="B356" i="29"/>
  <c r="B469" i="29"/>
  <c r="B316" i="29"/>
  <c r="B235" i="29"/>
  <c r="B385" i="29"/>
  <c r="B19" i="29"/>
  <c r="B443" i="29"/>
  <c r="B215" i="29"/>
  <c r="B67" i="29"/>
  <c r="B634" i="28"/>
  <c r="B546" i="28"/>
  <c r="B401" i="28"/>
  <c r="B212" i="28"/>
  <c r="B15" i="28"/>
  <c r="B624" i="28"/>
  <c r="B276" i="28"/>
  <c r="B426" i="29"/>
  <c r="B276" i="29"/>
  <c r="B146" i="29"/>
  <c r="B129" i="29"/>
  <c r="B202" i="29"/>
  <c r="B109" i="29"/>
  <c r="B427" i="29"/>
  <c r="B428" i="29"/>
  <c r="B80" i="29"/>
  <c r="B217" i="29"/>
  <c r="B345" i="29"/>
  <c r="B466" i="29"/>
  <c r="B56" i="29"/>
  <c r="B169" i="29"/>
  <c r="B440" i="29"/>
  <c r="B387" i="29"/>
  <c r="B107" i="29"/>
  <c r="B273" i="29"/>
  <c r="B369" i="29"/>
  <c r="B12" i="29"/>
  <c r="B79" i="29"/>
  <c r="B364" i="29"/>
  <c r="B483" i="29"/>
  <c r="B35" i="29"/>
  <c r="B243" i="29"/>
  <c r="B393" i="29"/>
  <c r="B69" i="29"/>
  <c r="B236" i="29"/>
  <c r="B402" i="29"/>
  <c r="B87" i="28"/>
  <c r="B13" i="28"/>
  <c r="B336" i="28"/>
  <c r="B130" i="28"/>
  <c r="B298" i="28"/>
  <c r="B608" i="28"/>
  <c r="B51" i="28"/>
  <c r="B257" i="28"/>
  <c r="B455" i="28"/>
  <c r="B199" i="28"/>
  <c r="B124" i="28"/>
  <c r="B242" i="28"/>
  <c r="B545" i="28"/>
  <c r="B563" i="28" s="1"/>
  <c r="B316" i="28"/>
  <c r="B531" i="28"/>
  <c r="B71" i="28"/>
  <c r="B167" i="28"/>
  <c r="B337" i="28"/>
  <c r="B85" i="28"/>
  <c r="B211" i="28"/>
  <c r="B334" i="28"/>
  <c r="B549" i="28"/>
  <c r="B630" i="28"/>
  <c r="B256" i="28"/>
  <c r="B456" i="28"/>
  <c r="B443" i="28"/>
  <c r="B444" i="28"/>
  <c r="B434" i="28"/>
  <c r="B441" i="28"/>
  <c r="B424" i="28"/>
  <c r="B431" i="28"/>
  <c r="B453" i="28"/>
  <c r="B422" i="28"/>
  <c r="B361" i="28"/>
  <c r="B341" i="28"/>
  <c r="B288" i="28"/>
  <c r="B357" i="28"/>
  <c r="B297" i="28"/>
  <c r="B96" i="28"/>
  <c r="B235" i="11"/>
  <c r="B85" i="10"/>
  <c r="B124" i="22"/>
  <c r="B79" i="19"/>
  <c r="B146" i="14"/>
  <c r="B497" i="28"/>
  <c r="B507" i="28"/>
  <c r="B492" i="28"/>
  <c r="B523" i="28"/>
  <c r="B516" i="28"/>
  <c r="B502" i="28"/>
  <c r="B495" i="28"/>
  <c r="B282" i="28"/>
  <c r="B296" i="28"/>
  <c r="B295" i="28"/>
  <c r="B279" i="28"/>
  <c r="B339" i="28"/>
  <c r="B445" i="28"/>
  <c r="B440" i="28"/>
  <c r="B480" i="28"/>
  <c r="B170" i="28"/>
  <c r="B642" i="28"/>
  <c r="B399" i="28"/>
  <c r="B93" i="28"/>
  <c r="B317" i="28"/>
  <c r="B259" i="28"/>
  <c r="B322" i="28"/>
  <c r="B489" i="28"/>
  <c r="B12" i="28"/>
  <c r="B269" i="29"/>
  <c r="B233" i="29"/>
  <c r="B214" i="29"/>
  <c r="B125" i="29"/>
  <c r="B11" i="28"/>
  <c r="B632" i="28"/>
  <c r="B170" i="29"/>
  <c r="B357" i="10"/>
  <c r="B441" i="20"/>
  <c r="B37" i="10"/>
  <c r="B80" i="9"/>
  <c r="B82" i="21"/>
  <c r="B520" i="28"/>
  <c r="B519" i="28"/>
  <c r="B588" i="28"/>
  <c r="B582" i="28"/>
  <c r="B575" i="28"/>
  <c r="B606" i="28"/>
  <c r="B591" i="28"/>
  <c r="B577" i="28"/>
  <c r="B570" i="28"/>
  <c r="B601" i="28"/>
  <c r="B594" i="28"/>
  <c r="B359" i="28"/>
  <c r="B289" i="28"/>
  <c r="B374" i="28"/>
  <c r="B372" i="28"/>
  <c r="B348" i="28"/>
  <c r="B370" i="28"/>
  <c r="B262" i="28"/>
  <c r="B354" i="28"/>
  <c r="B438" i="28"/>
  <c r="B442" i="28"/>
  <c r="B469" i="28"/>
  <c r="B94" i="28"/>
  <c r="B625" i="28"/>
  <c r="B55" i="28"/>
  <c r="B92" i="28"/>
  <c r="B567" i="28"/>
  <c r="B98" i="28"/>
  <c r="B314" i="28"/>
  <c r="B332" i="28" s="1"/>
  <c r="B360" i="28"/>
  <c r="B32" i="28"/>
  <c r="B203" i="29"/>
  <c r="B62" i="29"/>
  <c r="B64" i="29"/>
  <c r="B213" i="29"/>
  <c r="B643" i="18"/>
  <c r="B222" i="16"/>
  <c r="B513" i="28"/>
  <c r="B528" i="28"/>
  <c r="B514" i="28"/>
  <c r="B500" i="28"/>
  <c r="B493" i="28"/>
  <c r="B524" i="28"/>
  <c r="B510" i="28"/>
  <c r="B503" i="28"/>
  <c r="B595" i="28"/>
  <c r="B275" i="28"/>
  <c r="B365" i="28"/>
  <c r="B271" i="28"/>
  <c r="B293" i="28"/>
  <c r="B269" i="28"/>
  <c r="B414" i="28"/>
  <c r="B448" i="28"/>
  <c r="B435" i="28"/>
  <c r="B412" i="28"/>
  <c r="B86" i="28"/>
  <c r="B685" i="28"/>
  <c r="B391" i="28"/>
  <c r="B409" i="28" s="1"/>
  <c r="B375" i="28"/>
  <c r="B243" i="28"/>
  <c r="B60" i="28"/>
  <c r="B249" i="28"/>
  <c r="B321" i="28"/>
  <c r="B24" i="28"/>
  <c r="B78" i="29"/>
  <c r="B382" i="29"/>
  <c r="B479" i="29"/>
  <c r="B216" i="29"/>
  <c r="B59" i="29"/>
  <c r="B274" i="12"/>
  <c r="B321" i="9"/>
  <c r="B125" i="11"/>
  <c r="B85" i="11"/>
  <c r="B79" i="20"/>
  <c r="B222" i="17"/>
  <c r="B167" i="10"/>
  <c r="B496" i="28"/>
  <c r="B527" i="28"/>
  <c r="B596" i="28"/>
  <c r="B589" i="28"/>
  <c r="B583" i="28"/>
  <c r="B568" i="28"/>
  <c r="B599" i="28"/>
  <c r="B585" i="28"/>
  <c r="B578" i="28"/>
  <c r="B571" i="28"/>
  <c r="B602" i="28"/>
  <c r="B172" i="28"/>
  <c r="B352" i="28"/>
  <c r="B280" i="28"/>
  <c r="B340" i="28"/>
  <c r="B362" i="28"/>
  <c r="B436" i="28"/>
  <c r="B417" i="28"/>
  <c r="B449" i="28"/>
  <c r="B400" i="28"/>
  <c r="B48" i="28"/>
  <c r="B641" i="28"/>
  <c r="B326" i="28"/>
  <c r="B345" i="28"/>
  <c r="B488" i="28"/>
  <c r="B404" i="28"/>
  <c r="B207" i="28"/>
  <c r="B97" i="28"/>
  <c r="B292" i="28"/>
  <c r="B57" i="28"/>
  <c r="B407" i="29"/>
  <c r="B281" i="29"/>
  <c r="B353" i="29"/>
  <c r="B175" i="29"/>
  <c r="B547" i="28"/>
  <c r="B289" i="29"/>
  <c r="B412" i="17"/>
  <c r="B222" i="14"/>
  <c r="B521" i="28"/>
  <c r="B491" i="28"/>
  <c r="B522" i="28"/>
  <c r="B508" i="28"/>
  <c r="B501" i="28"/>
  <c r="B512" i="28"/>
  <c r="B517" i="28"/>
  <c r="B603" i="28"/>
  <c r="B248" i="28"/>
  <c r="B274" i="28"/>
  <c r="B343" i="28"/>
  <c r="B272" i="28"/>
  <c r="B371" i="28"/>
  <c r="B263" i="28"/>
  <c r="B338" i="28"/>
  <c r="B261" i="28"/>
  <c r="B416" i="28"/>
  <c r="B421" i="28"/>
  <c r="B402" i="28"/>
  <c r="B319" i="28"/>
  <c r="B244" i="28"/>
  <c r="B686" i="28"/>
  <c r="B299" i="28"/>
  <c r="B471" i="28"/>
  <c r="B315" i="28"/>
  <c r="B182" i="28"/>
  <c r="B59" i="28"/>
  <c r="B206" i="28"/>
  <c r="B95" i="28"/>
  <c r="B255" i="29"/>
  <c r="B115" i="29"/>
  <c r="B230" i="29"/>
  <c r="B478" i="29"/>
  <c r="B65" i="13" l="1"/>
  <c r="B482" i="14"/>
  <c r="B117" i="9"/>
  <c r="B117" i="11"/>
  <c r="B179" i="22"/>
  <c r="B134" i="19"/>
  <c r="B179" i="20"/>
  <c r="B106" i="12"/>
  <c r="B140" i="14"/>
  <c r="B186" i="13"/>
  <c r="B473" i="18"/>
  <c r="B196" i="29"/>
  <c r="B16" i="29"/>
  <c r="B43" i="29" s="1"/>
  <c r="B65" i="14"/>
  <c r="B132" i="28"/>
  <c r="B348" i="29"/>
  <c r="B402" i="18"/>
  <c r="B405" i="18" s="1"/>
  <c r="B636" i="14"/>
  <c r="B477" i="28"/>
  <c r="B128" i="18"/>
  <c r="B149" i="18" s="1"/>
  <c r="AP76" i="1"/>
  <c r="B87" i="20" s="1"/>
  <c r="B63" i="20"/>
  <c r="B236" i="20"/>
  <c r="B388" i="20"/>
  <c r="B73" i="18"/>
  <c r="B72" i="18"/>
  <c r="B172" i="13"/>
  <c r="B178" i="13" s="1"/>
  <c r="B556" i="13"/>
  <c r="P36" i="1"/>
  <c r="B90" i="14"/>
  <c r="B111" i="14" s="1"/>
  <c r="B71" i="18"/>
  <c r="B251" i="14"/>
  <c r="Q53" i="1"/>
  <c r="AL53" i="1" s="1"/>
  <c r="B256" i="16" s="1"/>
  <c r="B242" i="16"/>
  <c r="B186" i="18"/>
  <c r="B187" i="18"/>
  <c r="B224" i="17"/>
  <c r="B225" i="17"/>
  <c r="Q64" i="1"/>
  <c r="AL64" i="1" s="1"/>
  <c r="B641" i="17" s="1"/>
  <c r="B627" i="17"/>
  <c r="B148" i="18"/>
  <c r="B16" i="16"/>
  <c r="B28" i="16" s="1"/>
  <c r="B208" i="17"/>
  <c r="B216" i="17" s="1"/>
  <c r="B319" i="18"/>
  <c r="B328" i="18" s="1"/>
  <c r="Q66" i="1"/>
  <c r="AL66" i="1" s="1"/>
  <c r="B333" i="18" s="1"/>
  <c r="B102" i="18"/>
  <c r="B57" i="18"/>
  <c r="B65" i="18" s="1"/>
  <c r="B631" i="17"/>
  <c r="B556" i="17"/>
  <c r="B172" i="17"/>
  <c r="B178" i="17" s="1"/>
  <c r="B224" i="18"/>
  <c r="B225" i="18"/>
  <c r="B274" i="8"/>
  <c r="B161" i="9"/>
  <c r="B224" i="13"/>
  <c r="B473" i="22"/>
  <c r="B28" i="14"/>
  <c r="B29" i="15"/>
  <c r="B136" i="8"/>
  <c r="B232" i="9"/>
  <c r="B225" i="13"/>
  <c r="B175" i="9"/>
  <c r="B174" i="9"/>
  <c r="B142" i="8"/>
  <c r="B227" i="6"/>
  <c r="B237" i="6" s="1"/>
  <c r="B20" i="6"/>
  <c r="B61" i="6"/>
  <c r="B86" i="6" s="1"/>
  <c r="P3" i="1"/>
  <c r="B18" i="6" s="1"/>
  <c r="B44" i="6" s="1"/>
  <c r="B192" i="6"/>
  <c r="B462" i="9"/>
  <c r="B195" i="8"/>
  <c r="B204" i="8" s="1"/>
  <c r="B52" i="8"/>
  <c r="Q8" i="1"/>
  <c r="AL8" i="1" s="1"/>
  <c r="B209" i="8" s="1"/>
  <c r="B164" i="19"/>
  <c r="B178" i="19"/>
  <c r="B86" i="11"/>
  <c r="B178" i="18"/>
  <c r="B29" i="10"/>
  <c r="B251" i="18"/>
  <c r="B73" i="10"/>
  <c r="B148" i="16"/>
  <c r="B276" i="11"/>
  <c r="B43" i="15"/>
  <c r="B482" i="17"/>
  <c r="B359" i="22"/>
  <c r="B140" i="16"/>
  <c r="B251" i="16"/>
  <c r="B43" i="11"/>
  <c r="B396" i="12"/>
  <c r="B140" i="17"/>
  <c r="B239" i="8"/>
  <c r="B28" i="13"/>
  <c r="B282" i="15"/>
  <c r="B314" i="9"/>
  <c r="B434" i="15"/>
  <c r="B119" i="19"/>
  <c r="B424" i="11"/>
  <c r="B274" i="6"/>
  <c r="B425" i="9"/>
  <c r="B224" i="12"/>
  <c r="B203" i="9"/>
  <c r="B277" i="9"/>
  <c r="B358" i="15"/>
  <c r="B225" i="14"/>
  <c r="B350" i="12"/>
  <c r="B353" i="12" s="1"/>
  <c r="B328" i="13"/>
  <c r="B202" i="10"/>
  <c r="B216" i="18"/>
  <c r="B65" i="17"/>
  <c r="B73" i="14"/>
  <c r="B72" i="14"/>
  <c r="B29" i="9"/>
  <c r="B102" i="14"/>
  <c r="B482" i="13"/>
  <c r="B42" i="9"/>
  <c r="B206" i="15"/>
  <c r="B34" i="8"/>
  <c r="B216" i="14"/>
  <c r="B73" i="17"/>
  <c r="B72" i="17"/>
  <c r="B36" i="18"/>
  <c r="B35" i="18"/>
  <c r="B559" i="18"/>
  <c r="B472" i="19"/>
  <c r="B73" i="11"/>
  <c r="B328" i="14"/>
  <c r="B434" i="19"/>
  <c r="B387" i="11"/>
  <c r="B206" i="22"/>
  <c r="B636" i="13"/>
  <c r="B117" i="6"/>
  <c r="B119" i="15"/>
  <c r="B130" i="6"/>
  <c r="B251" i="13"/>
  <c r="B202" i="11"/>
  <c r="B328" i="16"/>
  <c r="B320" i="22"/>
  <c r="B350" i="10"/>
  <c r="B164" i="20"/>
  <c r="B350" i="11"/>
  <c r="B29" i="11"/>
  <c r="B239" i="10"/>
  <c r="B282" i="20"/>
  <c r="B556" i="16"/>
  <c r="B559" i="16" s="1"/>
  <c r="B172" i="16"/>
  <c r="B178" i="16" s="1"/>
  <c r="B392" i="10"/>
  <c r="Q6" i="1"/>
  <c r="AL6" i="1" s="1"/>
  <c r="B318" i="6" s="1"/>
  <c r="B147" i="6"/>
  <c r="B160" i="6" s="1"/>
  <c r="B301" i="6"/>
  <c r="B311" i="6" s="1"/>
  <c r="B106" i="29"/>
  <c r="B119" i="29" s="1"/>
  <c r="B351" i="9"/>
  <c r="B234" i="22"/>
  <c r="B244" i="22" s="1"/>
  <c r="B387" i="22"/>
  <c r="B397" i="22" s="1"/>
  <c r="Q84" i="1"/>
  <c r="AL84" i="1" s="1"/>
  <c r="B61" i="22"/>
  <c r="B424" i="29"/>
  <c r="B434" i="29" s="1"/>
  <c r="B67" i="12"/>
  <c r="B282" i="21"/>
  <c r="B239" i="11"/>
  <c r="B386" i="29"/>
  <c r="B396" i="29" s="1"/>
  <c r="B164" i="22"/>
  <c r="B134" i="21"/>
  <c r="B442" i="21"/>
  <c r="Q76" i="1"/>
  <c r="AL76" i="1" s="1"/>
  <c r="B234" i="20"/>
  <c r="B61" i="20"/>
  <c r="B386" i="20"/>
  <c r="B186" i="16"/>
  <c r="B187" i="16"/>
  <c r="Q43" i="1"/>
  <c r="AL43" i="1" s="1"/>
  <c r="B564" i="14" s="1"/>
  <c r="B550" i="14"/>
  <c r="B559" i="14" s="1"/>
  <c r="B166" i="14"/>
  <c r="B87" i="10"/>
  <c r="B86" i="10"/>
  <c r="B234" i="29"/>
  <c r="B244" i="29" s="1"/>
  <c r="B53" i="16"/>
  <c r="Q54" i="1"/>
  <c r="AL54" i="1" s="1"/>
  <c r="B333" i="16" s="1"/>
  <c r="Q29" i="1"/>
  <c r="AL29" i="1" s="1"/>
  <c r="B410" i="13" s="1"/>
  <c r="B396" i="13"/>
  <c r="B405" i="13" s="1"/>
  <c r="B90" i="13"/>
  <c r="B102" i="13" s="1"/>
  <c r="B61" i="29"/>
  <c r="B89" i="29" s="1"/>
  <c r="B272" i="29"/>
  <c r="B282" i="29" s="1"/>
  <c r="B119" i="21"/>
  <c r="B148" i="17"/>
  <c r="B149" i="17"/>
  <c r="B405" i="14"/>
  <c r="B282" i="19"/>
  <c r="B28" i="12"/>
  <c r="B387" i="10"/>
  <c r="B28" i="18"/>
  <c r="B320" i="20"/>
  <c r="B204" i="16"/>
  <c r="B216" i="16" s="1"/>
  <c r="Q58" i="1"/>
  <c r="AL58" i="1" s="1"/>
  <c r="B641" i="16" s="1"/>
  <c r="B627" i="16"/>
  <c r="B636" i="16" s="1"/>
  <c r="P72" i="1"/>
  <c r="B236" i="19"/>
  <c r="AP72" i="1"/>
  <c r="B87" i="19" s="1"/>
  <c r="B453" i="11"/>
  <c r="B150" i="11"/>
  <c r="B305" i="11"/>
  <c r="Q80" i="1"/>
  <c r="AL80" i="1" s="1"/>
  <c r="B234" i="21"/>
  <c r="B244" i="21" s="1"/>
  <c r="B386" i="21"/>
  <c r="B396" i="21" s="1"/>
  <c r="B61" i="21"/>
  <c r="B242" i="17"/>
  <c r="B251" i="17" s="1"/>
  <c r="Q59" i="1"/>
  <c r="AL59" i="1" s="1"/>
  <c r="B256" i="17" s="1"/>
  <c r="B16" i="17"/>
  <c r="AP85" i="1"/>
  <c r="B132" i="22" s="1"/>
  <c r="B274" i="22"/>
  <c r="P85" i="1"/>
  <c r="B108" i="22"/>
  <c r="P12" i="1"/>
  <c r="B62" i="9"/>
  <c r="AP12" i="1"/>
  <c r="B85" i="9" s="1"/>
  <c r="B211" i="29"/>
  <c r="B363" i="29"/>
  <c r="B186" i="17"/>
  <c r="B187" i="17"/>
  <c r="Q71" i="1"/>
  <c r="AL71" i="1" s="1"/>
  <c r="B348" i="19"/>
  <c r="B358" i="19" s="1"/>
  <c r="B16" i="19"/>
  <c r="B196" i="19"/>
  <c r="B206" i="19" s="1"/>
  <c r="B303" i="10"/>
  <c r="B313" i="10" s="1"/>
  <c r="B451" i="10"/>
  <c r="B461" i="10" s="1"/>
  <c r="B148" i="10"/>
  <c r="Q18" i="1"/>
  <c r="AL18" i="1" s="1"/>
  <c r="B348" i="20"/>
  <c r="B16" i="20"/>
  <c r="B196" i="20"/>
  <c r="B206" i="20" s="1"/>
  <c r="B477" i="29"/>
  <c r="B325" i="29"/>
  <c r="B424" i="20"/>
  <c r="B434" i="20" s="1"/>
  <c r="Q77" i="1"/>
  <c r="AL77" i="1" s="1"/>
  <c r="B106" i="20"/>
  <c r="B119" i="20" s="1"/>
  <c r="B434" i="21"/>
  <c r="B96" i="16"/>
  <c r="B102" i="16" s="1"/>
  <c r="B402" i="16"/>
  <c r="B405" i="16" s="1"/>
  <c r="B104" i="10"/>
  <c r="Q17" i="1"/>
  <c r="AL17" i="1" s="1"/>
  <c r="B266" i="10"/>
  <c r="B276" i="10" s="1"/>
  <c r="B414" i="10"/>
  <c r="B424" i="10" s="1"/>
  <c r="B132" i="18"/>
  <c r="AS68" i="1"/>
  <c r="B477" i="18"/>
  <c r="B178" i="12"/>
  <c r="B181" i="12" s="1"/>
  <c r="B43" i="22"/>
  <c r="B29" i="22"/>
  <c r="B462" i="21"/>
  <c r="B472" i="21" s="1"/>
  <c r="B151" i="21"/>
  <c r="B164" i="21" s="1"/>
  <c r="B310" i="21"/>
  <c r="B320" i="21" s="1"/>
  <c r="Q82" i="1"/>
  <c r="AL82" i="1" s="1"/>
  <c r="B287" i="29"/>
  <c r="B439" i="29"/>
  <c r="B72" i="13"/>
  <c r="B73" i="13"/>
  <c r="B367" i="22"/>
  <c r="B214" i="22"/>
  <c r="B366" i="20"/>
  <c r="B214" i="20"/>
  <c r="B320" i="15"/>
  <c r="B559" i="13"/>
  <c r="B133" i="15"/>
  <c r="B134" i="15"/>
  <c r="B348" i="21"/>
  <c r="B16" i="21"/>
  <c r="B29" i="21" s="1"/>
  <c r="B196" i="21"/>
  <c r="B206" i="21" s="1"/>
  <c r="Q79" i="1"/>
  <c r="AL79" i="1" s="1"/>
  <c r="B148" i="11"/>
  <c r="B303" i="11"/>
  <c r="Q22" i="1"/>
  <c r="AL22" i="1" s="1"/>
  <c r="B451" i="11"/>
  <c r="B479" i="28"/>
  <c r="B134" i="28"/>
  <c r="B439" i="15"/>
  <c r="B287" i="15"/>
  <c r="B249" i="29"/>
  <c r="B401" i="29"/>
  <c r="Q52" i="1"/>
  <c r="AL52" i="1" s="1"/>
  <c r="B462" i="15"/>
  <c r="B472" i="15" s="1"/>
  <c r="B151" i="15"/>
  <c r="B164" i="15" s="1"/>
  <c r="B307" i="12"/>
  <c r="B310" i="12" s="1"/>
  <c r="B479" i="12"/>
  <c r="B482" i="12" s="1"/>
  <c r="B139" i="12"/>
  <c r="B145" i="12" s="1"/>
  <c r="B110" i="18"/>
  <c r="B111" i="18"/>
  <c r="Q61" i="1"/>
  <c r="AL61" i="1" s="1"/>
  <c r="B410" i="17" s="1"/>
  <c r="B396" i="17"/>
  <c r="B405" i="17" s="1"/>
  <c r="B90" i="17"/>
  <c r="B102" i="17" s="1"/>
  <c r="B386" i="15"/>
  <c r="B396" i="15" s="1"/>
  <c r="Q50" i="1"/>
  <c r="AL50" i="1" s="1"/>
  <c r="B234" i="15"/>
  <c r="B244" i="15" s="1"/>
  <c r="B61" i="15"/>
  <c r="B290" i="19"/>
  <c r="B442" i="19"/>
  <c r="B636" i="18"/>
  <c r="B563" i="17"/>
  <c r="B559" i="17"/>
  <c r="B320" i="19"/>
  <c r="B248" i="22"/>
  <c r="B204" i="6"/>
  <c r="B28" i="8"/>
  <c r="B328" i="17"/>
  <c r="B472" i="20"/>
  <c r="B362" i="29"/>
  <c r="B358" i="29"/>
  <c r="B29" i="29"/>
  <c r="B102" i="28"/>
  <c r="B178" i="28"/>
  <c r="B251" i="28"/>
  <c r="B28" i="28"/>
  <c r="B110" i="28"/>
  <c r="B111" i="28"/>
  <c r="B405" i="28"/>
  <c r="B36" i="28"/>
  <c r="B35" i="28"/>
  <c r="B225" i="28"/>
  <c r="B224" i="28"/>
  <c r="B559" i="28"/>
  <c r="B73" i="28"/>
  <c r="B72" i="28"/>
  <c r="B636" i="28"/>
  <c r="B133" i="29"/>
  <c r="B216" i="28"/>
  <c r="B164" i="29"/>
  <c r="B187" i="28"/>
  <c r="B186" i="28"/>
  <c r="B328" i="28"/>
  <c r="B178" i="29"/>
  <c r="B179" i="29"/>
  <c r="B65" i="28"/>
  <c r="B320" i="29"/>
  <c r="B206" i="29"/>
  <c r="B472" i="29"/>
  <c r="B244" i="20" l="1"/>
  <c r="B396" i="20"/>
  <c r="B35" i="16"/>
  <c r="B36" i="16"/>
  <c r="B44" i="29"/>
  <c r="B110" i="14"/>
  <c r="B636" i="17"/>
  <c r="Q3" i="1"/>
  <c r="AL3" i="1" s="1"/>
  <c r="B207" i="6" s="1"/>
  <c r="Q36" i="1"/>
  <c r="AL36" i="1" s="1"/>
  <c r="B487" i="28" s="1"/>
  <c r="B473" i="28"/>
  <c r="B482" i="28" s="1"/>
  <c r="B128" i="28"/>
  <c r="B140" i="28" s="1"/>
  <c r="B190" i="6"/>
  <c r="B200" i="6" s="1"/>
  <c r="B134" i="29"/>
  <c r="B74" i="6"/>
  <c r="B43" i="6"/>
  <c r="B31" i="6"/>
  <c r="B87" i="6"/>
  <c r="B74" i="29"/>
  <c r="B88" i="29"/>
  <c r="B71" i="8"/>
  <c r="B70" i="8"/>
  <c r="B64" i="8"/>
  <c r="B358" i="21"/>
  <c r="B461" i="11"/>
  <c r="B358" i="20"/>
  <c r="B313" i="11"/>
  <c r="B88" i="20"/>
  <c r="B89" i="20"/>
  <c r="B72" i="16"/>
  <c r="B73" i="16"/>
  <c r="B65" i="16"/>
  <c r="B111" i="13"/>
  <c r="B110" i="13"/>
  <c r="B404" i="20"/>
  <c r="B252" i="20"/>
  <c r="B88" i="22"/>
  <c r="B89" i="22"/>
  <c r="B74" i="22"/>
  <c r="B74" i="20"/>
  <c r="B186" i="14"/>
  <c r="B178" i="14"/>
  <c r="B187" i="14"/>
  <c r="B405" i="22"/>
  <c r="B252" i="22"/>
  <c r="B173" i="6"/>
  <c r="B172" i="6"/>
  <c r="B252" i="21"/>
  <c r="B404" i="21"/>
  <c r="Q72" i="1"/>
  <c r="AL72" i="1" s="1"/>
  <c r="B61" i="19"/>
  <c r="B386" i="19"/>
  <c r="B396" i="19" s="1"/>
  <c r="B234" i="19"/>
  <c r="B244" i="19" s="1"/>
  <c r="B60" i="9"/>
  <c r="Q12" i="1"/>
  <c r="AL12" i="1" s="1"/>
  <c r="B378" i="9"/>
  <c r="B388" i="9" s="1"/>
  <c r="B230" i="9"/>
  <c r="B240" i="9" s="1"/>
  <c r="B36" i="17"/>
  <c r="B35" i="17"/>
  <c r="B225" i="16"/>
  <c r="B224" i="16"/>
  <c r="B106" i="22"/>
  <c r="B272" i="22"/>
  <c r="B282" i="22" s="1"/>
  <c r="Q85" i="1"/>
  <c r="AL85" i="1" s="1"/>
  <c r="B425" i="22"/>
  <c r="B435" i="22" s="1"/>
  <c r="B28" i="17"/>
  <c r="B88" i="21"/>
  <c r="B89" i="21"/>
  <c r="B74" i="21"/>
  <c r="B44" i="20"/>
  <c r="B29" i="20"/>
  <c r="B43" i="20"/>
  <c r="B44" i="19"/>
  <c r="B43" i="19"/>
  <c r="B29" i="19"/>
  <c r="B281" i="10"/>
  <c r="B429" i="10"/>
  <c r="B134" i="20"/>
  <c r="B133" i="20"/>
  <c r="B131" i="10"/>
  <c r="B117" i="10"/>
  <c r="B130" i="10"/>
  <c r="B290" i="20"/>
  <c r="B442" i="20"/>
  <c r="B214" i="19"/>
  <c r="B366" i="19"/>
  <c r="B318" i="10"/>
  <c r="B466" i="10"/>
  <c r="B134" i="18"/>
  <c r="B140" i="18" s="1"/>
  <c r="B479" i="18"/>
  <c r="B482" i="18" s="1"/>
  <c r="B175" i="10"/>
  <c r="B161" i="10"/>
  <c r="B174" i="10"/>
  <c r="B466" i="11"/>
  <c r="B318" i="11"/>
  <c r="B44" i="21"/>
  <c r="B43" i="21"/>
  <c r="B249" i="15"/>
  <c r="B401" i="15"/>
  <c r="B174" i="11"/>
  <c r="B175" i="11"/>
  <c r="B161" i="11"/>
  <c r="B88" i="15"/>
  <c r="B89" i="15"/>
  <c r="B480" i="21"/>
  <c r="B328" i="21"/>
  <c r="B110" i="17"/>
  <c r="B111" i="17"/>
  <c r="B178" i="15"/>
  <c r="B179" i="15"/>
  <c r="B74" i="15"/>
  <c r="B179" i="21"/>
  <c r="B178" i="21"/>
  <c r="B325" i="15"/>
  <c r="B477" i="15"/>
  <c r="B214" i="21"/>
  <c r="B366" i="21"/>
  <c r="B149" i="28" l="1"/>
  <c r="B148" i="28"/>
  <c r="B245" i="9"/>
  <c r="B393" i="9"/>
  <c r="B134" i="22"/>
  <c r="B133" i="22"/>
  <c r="B119" i="22"/>
  <c r="B73" i="9"/>
  <c r="B86" i="9"/>
  <c r="B87" i="9"/>
  <c r="B88" i="19"/>
  <c r="B89" i="19"/>
  <c r="B74" i="19"/>
  <c r="B404" i="19"/>
  <c r="B252" i="19"/>
  <c r="B443" i="22"/>
  <c r="B290" i="22"/>
</calcChain>
</file>

<file path=xl/comments1.xml><?xml version="1.0" encoding="utf-8"?>
<comments xmlns="http://schemas.openxmlformats.org/spreadsheetml/2006/main">
  <authors>
    <author>Sacchi Romain</author>
  </authors>
  <commentList>
    <comment ref="AT2" authorId="0" shapeId="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<sst xmlns="http://schemas.openxmlformats.org/spreadsheetml/2006/main" count="26533" uniqueCount="721">
  <si>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</si>
  <si>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</si>
  <si>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</si>
  <si>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</si>
  <si>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</si>
  <si>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</si>
  <si>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</si>
  <si>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</si>
  <si>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</si>
  <si>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</si>
  <si>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</si>
  <si>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</si>
  <si>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</si>
  <si>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</si>
  <si>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</si>
  <si>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</si>
  <si>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</si>
  <si>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</si>
  <si>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</si>
  <si>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</si>
  <si>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</si>
  <si>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</si>
  <si>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</si>
  <si>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</si>
  <si>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</si>
  <si>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</si>
  <si>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</si>
  <si>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</si>
  <si>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</si>
  <si>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</si>
  <si>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</si>
  <si>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</si>
  <si>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</si>
  <si>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</si>
  <si>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</si>
  <si>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</si>
  <si>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</si>
  <si>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</si>
  <si>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</si>
  <si>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</si>
  <si>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</si>
  <si>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</si>
  <si>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</si>
  <si>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</si>
  <si>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energy battery cell density [kg/kWH]</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</si>
  <si>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</si>
  <si>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</si>
  <si>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</si>
  <si>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</si>
  <si>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</si>
  <si>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</si>
  <si>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</si>
  <si>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</si>
  <si>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</si>
  <si>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</si>
  <si>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</si>
  <si>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</si>
  <si>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</si>
  <si>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</si>
  <si>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</si>
  <si>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</si>
  <si>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</si>
  <si>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</si>
  <si>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</si>
  <si>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</si>
  <si>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</si>
  <si>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</si>
  <si>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</si>
  <si>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</si>
  <si>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</si>
  <si>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</si>
  <si>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</si>
  <si>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</si>
  <si>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</si>
  <si>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</si>
  <si>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</si>
  <si>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</si>
  <si>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</si>
  <si>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</si>
  <si>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</si>
  <si>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</si>
  <si>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</si>
  <si>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</si>
  <si>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</si>
  <si>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</si>
  <si>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</si>
  <si>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</si>
  <si>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</si>
  <si>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</si>
  <si>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</si>
  <si>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t>
  </si>
  <si>
    <t>technosphere</t>
  </si>
  <si>
    <t>names</t>
  </si>
  <si>
    <t>bicycle production</t>
  </si>
  <si>
    <t>RER</t>
  </si>
  <si>
    <t>bicycle</t>
  </si>
  <si>
    <t>multiplication factor</t>
  </si>
  <si>
    <t>Battery cell, NMC</t>
  </si>
  <si>
    <t>GLO</t>
  </si>
  <si>
    <t>Battery cell</t>
  </si>
  <si>
    <t>Battery BoP</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</si>
  <si>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</si>
  <si>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</si>
  <si>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</si>
  <si>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</si>
  <si>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</si>
  <si>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</si>
  <si>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</si>
  <si>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</si>
  <si>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</si>
  <si>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</si>
  <si>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</si>
  <si>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</si>
  <si>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</si>
  <si>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low voltage, label-certified</t>
  </si>
  <si>
    <t>market for electricity, medium voltage</t>
  </si>
  <si>
    <t>electricity, low voltage, label-certified</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</si>
  <si>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</si>
  <si>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</si>
  <si>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</si>
  <si>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</si>
  <si>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</si>
  <si>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</si>
  <si>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</si>
  <si>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</si>
  <si>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</si>
  <si>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</si>
  <si>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</si>
  <si>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</si>
  <si>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</si>
  <si>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</si>
  <si>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</si>
  <si>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</si>
  <si>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</si>
  <si>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</si>
  <si>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</si>
  <si>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</si>
  <si>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</si>
  <si>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</si>
  <si>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</si>
  <si>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</si>
  <si>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</si>
  <si>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</si>
  <si>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</si>
  <si>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glider lightweighting</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</si>
  <si>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</si>
  <si>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</si>
  <si>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</si>
  <si>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</si>
  <si>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</si>
  <si>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</si>
  <si>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</si>
  <si>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</si>
  <si>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</si>
  <si>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</si>
  <si>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</si>
  <si>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</si>
  <si>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</si>
  <si>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</si>
  <si>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</si>
  <si>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</si>
  <si>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</si>
  <si>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</si>
  <si>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</si>
  <si>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</si>
  <si>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</si>
  <si>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</si>
  <si>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</si>
  <si>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</si>
  <si>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</si>
  <si>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</si>
  <si>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</si>
  <si>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</si>
  <si>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</si>
  <si>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</si>
  <si>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</si>
  <si>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</si>
  <si>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</si>
  <si>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</si>
  <si>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</si>
  <si>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</si>
  <si>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</si>
  <si>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</si>
  <si>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</si>
  <si>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</si>
  <si>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</si>
  <si>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</si>
  <si>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</si>
  <si>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</si>
  <si>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</si>
  <si>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carculator export</t>
  </si>
  <si>
    <t>aluminium alloy, AlLi</t>
  </si>
  <si>
    <t>market for steel, low-alloyed, hot rolled</t>
  </si>
  <si>
    <t>ecoinvent 3.5 cutoff</t>
  </si>
  <si>
    <t>steel, low-alloyed, hot rolled</t>
  </si>
  <si>
    <t>Every kg of glider saved is achieved by replacing 4 mass units of steel by 3 of aluminium.</t>
  </si>
  <si>
    <t>charging station, 500W</t>
  </si>
  <si>
    <t>charging station, 3kW</t>
  </si>
  <si>
    <t>market for electric powertrain, for electric scooter</t>
  </si>
  <si>
    <t>market for glider, for electric scooter</t>
  </si>
  <si>
    <t>market for maintenance, electric scooter, without battery</t>
  </si>
  <si>
    <t>Positive active material</t>
  </si>
  <si>
    <t>code</t>
  </si>
  <si>
    <t>Positive active material = Li(Ni1/3Co1/3Mn1/3)O2, this inventory is adapted from Majeau-Bettez 2011 and Ellingsen 2014</t>
  </si>
  <si>
    <t>worksheet name</t>
  </si>
  <si>
    <t>Heat, waste</t>
  </si>
  <si>
    <t>megajoule</t>
  </si>
  <si>
    <t>Ni1/3Co1/3Mn1/3(OH)2</t>
  </si>
  <si>
    <t>market for chemical factory, organics</t>
  </si>
  <si>
    <t>chemical factory, organics</t>
  </si>
  <si>
    <t>market for heat, future</t>
  </si>
  <si>
    <t>heat, future</t>
  </si>
  <si>
    <t>market for lithium hydroxide</t>
  </si>
  <si>
    <t>lithium hydroxide</t>
  </si>
  <si>
    <t>Positive current collector Al</t>
  </si>
  <si>
    <t>ad7cfb16e845c17e641cc73bbf2cd2b3</t>
  </si>
  <si>
    <t>aluminium ingot, primary, to aluminium, wrought alloy market</t>
  </si>
  <si>
    <t>aluminium, wrought alloy</t>
  </si>
  <si>
    <t>market for aluminium casting facility</t>
  </si>
  <si>
    <t>aluminium casting facility</t>
  </si>
  <si>
    <t>market for sheet rolling, aluminium</t>
  </si>
  <si>
    <t>sheet rolling, aluminium</t>
  </si>
  <si>
    <t>Positive electrode paste</t>
  </si>
  <si>
    <t>fff9c695cfe79bfee417575d00f5d869</t>
  </si>
  <si>
    <t>market for N-methyl-2-pyrrolidone</t>
  </si>
  <si>
    <t>N-methyl-2-pyrrolidone</t>
  </si>
  <si>
    <t>market for carbon black</t>
  </si>
  <si>
    <t>carbon black</t>
  </si>
  <si>
    <t>market for polyvinylfluoride</t>
  </si>
  <si>
    <t>polyvinylfluoride</t>
  </si>
  <si>
    <t>Anode</t>
  </si>
  <si>
    <t>e4615b23eff12908952e4e82fd21272d</t>
  </si>
  <si>
    <t>Negative current collector Cu</t>
  </si>
  <si>
    <t>Negative electrode paste</t>
  </si>
  <si>
    <t>f5073a2e-ca78-11e9-9899-2079186002a1</t>
  </si>
  <si>
    <t>Contains everything except the cell</t>
  </si>
  <si>
    <t>Battery management system</t>
  </si>
  <si>
    <t>Battery packaging</t>
  </si>
  <si>
    <t>Cooling system</t>
  </si>
  <si>
    <t>market for precious metal refinery</t>
  </si>
  <si>
    <t>precious metal refinery</t>
  </si>
  <si>
    <t>market for transport, freight, lorry 16-32 metric ton, EURO3</t>
  </si>
  <si>
    <t>RoW</t>
  </si>
  <si>
    <t>ton kilometer</t>
  </si>
  <si>
    <t>transport, freight, lorry 16-32 metric ton, EURO3</t>
  </si>
  <si>
    <t>market for transport, freight, sea, tanker for petroleum</t>
  </si>
  <si>
    <t>transport, freight, sea, tanker for petroleum</t>
  </si>
  <si>
    <t>market group for electricity, medium voltage</t>
  </si>
  <si>
    <t>Comment</t>
  </si>
  <si>
    <t>Cathode</t>
  </si>
  <si>
    <t>Cell container</t>
  </si>
  <si>
    <t>Electrolyte</t>
  </si>
  <si>
    <t>Separator</t>
  </si>
  <si>
    <t>market for heat, district or industrial, natural gas</t>
  </si>
  <si>
    <t>heat, district or industrial, natural gas</t>
  </si>
  <si>
    <t>market for water, decarbonised</t>
  </si>
  <si>
    <t>water, decarbonised</t>
  </si>
  <si>
    <t>This value is quite variable and drives the results.</t>
  </si>
  <si>
    <t>d89248a205e9a49775ca374b5adb9a57</t>
  </si>
  <si>
    <t>Battery management system (BMS)</t>
  </si>
  <si>
    <t>High voltage system</t>
  </si>
  <si>
    <t>IBIS</t>
  </si>
  <si>
    <t>IBIS fasteners</t>
  </si>
  <si>
    <t>Low voltage system</t>
  </si>
  <si>
    <t>market for printed wiring board, through-hole mounted, unspecified, Pb free</t>
  </si>
  <si>
    <t>BMB (Battery module board)</t>
  </si>
  <si>
    <t>printed wiring board, through-hole mounted, unspecified, Pb free</t>
  </si>
  <si>
    <t>market for transport, freight train</t>
  </si>
  <si>
    <t>Europe without Switzerland</t>
  </si>
  <si>
    <t>transport, freight train</t>
  </si>
  <si>
    <t>market for transport, freight, lorry &gt;32 metric ton, EURO3</t>
  </si>
  <si>
    <t>transport, freight, lorry &gt;32 metric ton, EURO3</t>
  </si>
  <si>
    <t>240c7384fbd6fe21b36448ede1e43999</t>
  </si>
  <si>
    <t>Battery retention</t>
  </si>
  <si>
    <t>Battery tray</t>
  </si>
  <si>
    <t>Module packaging</t>
  </si>
  <si>
    <t>c0a7f46edbcdd1bdaf083803277f862f</t>
  </si>
  <si>
    <t>Heat transfer plate</t>
  </si>
  <si>
    <t>Lower retention</t>
  </si>
  <si>
    <t>Strap retention</t>
  </si>
  <si>
    <t>market for synthetic rubber</t>
  </si>
  <si>
    <t>synthetic rubber</t>
  </si>
  <si>
    <t>d92dbab286303d5826577362ee6a99df</t>
  </si>
  <si>
    <t>Tray lid</t>
  </si>
  <si>
    <t>Tray seal</t>
  </si>
  <si>
    <t>Tray with fasteners</t>
  </si>
  <si>
    <t>Bimetallic busbars and washers</t>
  </si>
  <si>
    <t>11970fef2e9cc5161b92a44ac5513cd9</t>
  </si>
  <si>
    <t>market for acrylonitrile-butadiene-styrene copolymer</t>
  </si>
  <si>
    <t>acrylonitrile-butadiene-styrene copolymer</t>
  </si>
  <si>
    <t>market for copper, anode</t>
  </si>
  <si>
    <t>copper, anode</t>
  </si>
  <si>
    <t>market for injection moulding</t>
  </si>
  <si>
    <t>injection moulding</t>
  </si>
  <si>
    <t>market for metal working factory</t>
  </si>
  <si>
    <t>metal working factory</t>
  </si>
  <si>
    <t>market for metal working, average for aluminium product manufacturing</t>
  </si>
  <si>
    <t>metal working, average for aluminium product manufacturing</t>
  </si>
  <si>
    <t>market for metal working, average for copper product manufacturing</t>
  </si>
  <si>
    <t>metal working, average for copper product manufacturing</t>
  </si>
  <si>
    <t>market for plastic processing factory</t>
  </si>
  <si>
    <t>plastic processing factory</t>
  </si>
  <si>
    <t>c414409de1752fbaa66ce440295ba4ca</t>
  </si>
  <si>
    <t>Cobalt sulfate</t>
  </si>
  <si>
    <t>82b6cd1339f30ca98adb599789412b6e</t>
  </si>
  <si>
    <t>this inventory is adapted from Majeau-Bettez 2011</t>
  </si>
  <si>
    <t>market for blasting</t>
  </si>
  <si>
    <t>blasting</t>
  </si>
  <si>
    <t>market for carbon monoxide</t>
  </si>
  <si>
    <t>carbon monoxide</t>
  </si>
  <si>
    <t>market for cobalt</t>
  </si>
  <si>
    <t>cobalt</t>
  </si>
  <si>
    <t>market for hydrogen, liquid</t>
  </si>
  <si>
    <t>hydrogen, liquid</t>
  </si>
  <si>
    <t>4436c877aea82a5834ad25de3af6522c</t>
  </si>
  <si>
    <t>Integrated Battery Interface System (IBIS)</t>
  </si>
  <si>
    <t>market for brass</t>
  </si>
  <si>
    <t>brass</t>
  </si>
  <si>
    <t>market for casting, brass</t>
  </si>
  <si>
    <t>casting, brass</t>
  </si>
  <si>
    <t>market for electric connector, wire clamp</t>
  </si>
  <si>
    <t>electric connector, wire clamp</t>
  </si>
  <si>
    <t>market for electronic component factory</t>
  </si>
  <si>
    <t>electronic component factory</t>
  </si>
  <si>
    <t>market for integrated circuit, logic type</t>
  </si>
  <si>
    <t>integrated circuit, logic type</t>
  </si>
  <si>
    <t>market for metal working, average for steel product manufacturing</t>
  </si>
  <si>
    <t>metal working, average for steel product manufacturing</t>
  </si>
  <si>
    <t>market for nylon 6</t>
  </si>
  <si>
    <t>nylon 6</t>
  </si>
  <si>
    <t>market for polyethylene terephthalate, granulate, amorphous</t>
  </si>
  <si>
    <t>polyethylene terephthalate, granulate, amorphous</t>
  </si>
  <si>
    <t>market for steel, low-alloyed</t>
  </si>
  <si>
    <t>steel, low-alloyed</t>
  </si>
  <si>
    <t>6c73b27a210af2a318c4215073955e83</t>
  </si>
  <si>
    <t>4062da13e83f763e37db6eac23ce1a99</t>
  </si>
  <si>
    <t>market for sheet rolling, copper</t>
  </si>
  <si>
    <t>sheet rolling, copper</t>
  </si>
  <si>
    <t>c006e221a75622269637efbd88f9472d</t>
  </si>
  <si>
    <t>market for acrylic acid</t>
  </si>
  <si>
    <t>acrylic acid</t>
  </si>
  <si>
    <t>market for anode, graphite, for lithium-ion battery</t>
  </si>
  <si>
    <t>anode, graphite, for lithium-ion battery</t>
  </si>
  <si>
    <t>market for carboxymethyl cellulose, powder</t>
  </si>
  <si>
    <t>carboxymethyl cellulose, powder</t>
  </si>
  <si>
    <t>60ec908272f0eb0bb772be5cdb17de0f</t>
  </si>
  <si>
    <t>this inventory is adapted from Majeau-Bettez 2011 and Ellingsen 2014</t>
  </si>
  <si>
    <t>Sulfate</t>
  </si>
  <si>
    <t>water</t>
  </si>
  <si>
    <t>"sodium sulfate" does not exisit in ecoinvent 3.5 cutoff , therefore sulfate was chosen so far using the emission amount specified by Ellingsen 2014)</t>
  </si>
  <si>
    <t>market for manganese sulfate</t>
  </si>
  <si>
    <t>production of manganese sulfate is available as a unit process in ecoenvent and the data is therefore not taken from Majeau-Bettez 2011</t>
  </si>
  <si>
    <t>manganese sulfate</t>
  </si>
  <si>
    <t>market for nickel sulfate</t>
  </si>
  <si>
    <t>production of nickel sulfate is available as a unit process in ecoenvent and the data is therefore not taken from Majeau-Bettez 2011</t>
  </si>
  <si>
    <t>nickel sulfate</t>
  </si>
  <si>
    <t>market for soda ash, light, crystalline, heptahydrate</t>
  </si>
  <si>
    <t>soda ash, light, crystalline, heptahydrate</t>
  </si>
  <si>
    <t>market for styrene butadiene rubber (SBR)</t>
  </si>
  <si>
    <t>095664b384537b91d8e3e63ab94a9948</t>
  </si>
  <si>
    <t>styrene butadiene rubber (SBR)</t>
  </si>
  <si>
    <t>refined</t>
  </si>
  <si>
    <t>biosphere3</t>
  </si>
  <si>
    <t>NMVOC, non-methane volatile organic compounds, unspecified origin</t>
  </si>
  <si>
    <t>Water, cooling, unspecified natural origin</t>
  </si>
  <si>
    <t>cubic meter</t>
  </si>
  <si>
    <t>natural resource::in water</t>
  </si>
  <si>
    <t>NMC battery import</t>
  </si>
  <si>
    <t>market for butadiene</t>
  </si>
  <si>
    <t>ecoinvent 3.3 cutoff</t>
  </si>
  <si>
    <t>butadiene</t>
  </si>
  <si>
    <t>market for cyclohexane</t>
  </si>
  <si>
    <t>cyclohexane</t>
  </si>
  <si>
    <t>market for soap</t>
  </si>
  <si>
    <t>soap</t>
  </si>
  <si>
    <t>market for sodium persulfate</t>
  </si>
  <si>
    <t>sodium persulfate</t>
  </si>
  <si>
    <t>market for styrene</t>
  </si>
  <si>
    <t>styrene</t>
  </si>
  <si>
    <t>market for water, deionised</t>
  </si>
  <si>
    <t>water, deionised</t>
  </si>
  <si>
    <t>market group for heat, central or small-scale, natural gas</t>
  </si>
  <si>
    <t>heat, central or small-scale, natural gas</t>
  </si>
  <si>
    <t>treatment of wastewater, unpolluted, capacity 5E9l/year</t>
  </si>
  <si>
    <t>wastewater, unpolluted</t>
  </si>
  <si>
    <t>e57e3b636cdadcdd4605c1a6c044ff8a</t>
  </si>
  <si>
    <t>Multilayer pouch</t>
  </si>
  <si>
    <t>Tab Aluminum</t>
  </si>
  <si>
    <t>Tab Copper</t>
  </si>
  <si>
    <t>ad0a2fa2697e7eba2c8b897ac5e9e599</t>
  </si>
  <si>
    <t>market for packaging film, low density polyethylene</t>
  </si>
  <si>
    <t>packaging film, low density polyethylene</t>
  </si>
  <si>
    <t>specifications (amorphous vs. bottle grade) are missing in Ellingsen 2014</t>
  </si>
  <si>
    <t>market for polypropylene, granulate</t>
  </si>
  <si>
    <t>polypropylene, granulate</t>
  </si>
  <si>
    <t>b096e06a9d87a89df6ed78739716cbb1</t>
  </si>
  <si>
    <t>474a28ea70e58630fd607e26e4c76a34</t>
  </si>
  <si>
    <t>04dd0f277fea2558316d5b7a8da24ad6</t>
  </si>
  <si>
    <t>Clamps and fasteners</t>
  </si>
  <si>
    <t>Manifolds</t>
  </si>
  <si>
    <t>Pipe fitting</t>
  </si>
  <si>
    <t>Radiator</t>
  </si>
  <si>
    <t>Thermal pad</t>
  </si>
  <si>
    <t>market for ethylene glycol</t>
  </si>
  <si>
    <t>ethylene glycol</t>
  </si>
  <si>
    <t>7d8dd74315915158cccb758a15be5cf3</t>
  </si>
  <si>
    <t>30d8ce62df48564bd63c4601218f4b28</t>
  </si>
  <si>
    <t>market for polyvinylchloride, suspension polymerised</t>
  </si>
  <si>
    <t>Ellingsen 2014 don't specify the polymerization method, here suspension polymerization was assumed</t>
  </si>
  <si>
    <t>polyvinylchloride, suspension polymerised</t>
  </si>
  <si>
    <t>f05e0c6e300f7625b028184e178b8940</t>
  </si>
  <si>
    <t>193066a770c19cd70c0bbd569cac241c</t>
  </si>
  <si>
    <t>f1e38682ea4c91fa2b012cd0ac83b960</t>
  </si>
  <si>
    <t>market for ethylene carbonate</t>
  </si>
  <si>
    <t>ethylene carbonate</t>
  </si>
  <si>
    <t>market for lithium hexafluorophosphate</t>
  </si>
  <si>
    <t>lithium hexafluorophosphate</t>
  </si>
  <si>
    <t>0b22f7b8d0063e18fa013f884185c677</t>
  </si>
  <si>
    <t>End-busbar aluminum</t>
  </si>
  <si>
    <t>End-busbar copper</t>
  </si>
  <si>
    <t>Inner frame</t>
  </si>
  <si>
    <t>Module fasteners</t>
  </si>
  <si>
    <t>Module lid</t>
  </si>
  <si>
    <t>Outer frame</t>
  </si>
  <si>
    <t>24cfc476945b0f9da27197821510e899</t>
  </si>
  <si>
    <t>f690d07f93708b7c3039d3da781f4dcc</t>
  </si>
  <si>
    <t>65ea350baea7e133bdb865b7acfe0ff5</t>
  </si>
  <si>
    <t>deae9e4eb5b26a3f21214d886c7799be</t>
  </si>
  <si>
    <t>market for anodising, aluminium sheet</t>
  </si>
  <si>
    <t>square meter</t>
  </si>
  <si>
    <t>anodising, aluminium sheet</t>
  </si>
  <si>
    <t>market for nylon 6-6, glass-filled</t>
  </si>
  <si>
    <t>nylon 6-6, glass-filled</t>
  </si>
  <si>
    <t>75660369e43fb42a1604bbedac268b24</t>
  </si>
  <si>
    <t>market for electronic component, passive, unspecified</t>
  </si>
  <si>
    <t>electronic component, passive, unspecified</t>
  </si>
  <si>
    <t>267ba4fc5f3c1df48c369c35650e563b</t>
  </si>
  <si>
    <t>84ce10d5e5ff409bc1e0b17df3f163dc</t>
  </si>
  <si>
    <t>7921b51ea9bf120745d9fa262fc5188f</t>
  </si>
  <si>
    <t>66d33c5c012e0ba8bcddbad8e3e577f0</t>
  </si>
  <si>
    <t>market for cable, ribbon cable, 20-pin, with plugs</t>
  </si>
  <si>
    <t>cable, ribbon cable, 20-pin, with plugs</t>
  </si>
  <si>
    <t>market for metal working, average for metal product manufacturing</t>
  </si>
  <si>
    <t>metal working, average for metal product manufacturing</t>
  </si>
  <si>
    <t>market for polyphenylene sulfide</t>
  </si>
  <si>
    <t>polyphenylene sulfide</t>
  </si>
  <si>
    <t>market for tin</t>
  </si>
  <si>
    <t>tin</t>
  </si>
  <si>
    <t>8594a373d2c41aae69ed551aeaf6b0da</t>
  </si>
  <si>
    <t>market for aluminium scrap, new</t>
  </si>
  <si>
    <t>aluminium scrap, new</t>
  </si>
  <si>
    <t>50df478fcb80435f93cc2e6081fba40b</t>
  </si>
  <si>
    <t>242e01805b2baf56b0e2663acc55c9e0</t>
  </si>
  <si>
    <t>a7583de34c84bdd20d6f8a2547f9205c</t>
  </si>
  <si>
    <t>market for glass fibre</t>
  </si>
  <si>
    <t>glass fibre</t>
  </si>
  <si>
    <t>market for silicon, electronics grade</t>
  </si>
  <si>
    <t>silicon, electronics grade</t>
  </si>
  <si>
    <t>c3735927f615c190f783182e27c2f9f2</t>
  </si>
  <si>
    <t>15d9a5378ba6ae876173c2eacc9cc78b</t>
  </si>
  <si>
    <t>market for butyl acrylate</t>
  </si>
  <si>
    <t>butyl acrylate</t>
  </si>
  <si>
    <t>Sulfur dioxide</t>
  </si>
  <si>
    <t>Dinitrogen monoxide</t>
  </si>
  <si>
    <t>Particulates, &lt; 2.5 um</t>
  </si>
  <si>
    <t>market for manual dismantling of electric scooter</t>
  </si>
  <si>
    <t>Uses an electric scooter charger from ecoinvent 3.7 as a proxy. Shipping from Guangzhou to Amsterdam (15,900 km). Lorry within Europe (1,000 km).</t>
  </si>
  <si>
    <t>transport, freight, sea, container ship</t>
  </si>
  <si>
    <t>market for transport, freight, lorry 16-32 metric ton, EURO5</t>
  </si>
  <si>
    <t>transport, freight, lorry 16-32 metric ton, EURO5</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</si>
  <si>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</si>
  <si>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</si>
  <si>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</si>
  <si>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</si>
  <si>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</si>
  <si>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</si>
  <si>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</si>
  <si>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</si>
  <si>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</si>
  <si>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</si>
  <si>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</si>
  <si>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</si>
  <si>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</si>
  <si>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</si>
  <si>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</si>
  <si>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</si>
  <si>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</si>
  <si>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</si>
  <si>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</si>
  <si>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</si>
  <si>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</si>
  <si>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</si>
  <si>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</si>
  <si>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</si>
  <si>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</si>
  <si>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</si>
  <si>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</si>
  <si>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</si>
  <si>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</si>
  <si>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</si>
  <si>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</si>
  <si>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</si>
  <si>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</si>
  <si>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</si>
  <si>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</si>
  <si>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</si>
  <si>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</si>
  <si>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</si>
  <si>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</si>
  <si>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</si>
  <si>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</si>
  <si>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</si>
  <si>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</si>
  <si>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</si>
  <si>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</si>
  <si>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</si>
  <si>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</si>
  <si>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</si>
  <si>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</si>
  <si>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</si>
  <si>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</si>
  <si>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</si>
  <si>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</si>
  <si>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</si>
  <si>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</si>
  <si>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Bicycle, electric, cargo bike - 2020 - CH</t>
  </si>
  <si>
    <t>Bicycle, electric, cargo bike - 2030 - CH</t>
  </si>
  <si>
    <t>Bicycle, electric, cargo bike - 2040 - CH</t>
  </si>
  <si>
    <t>Bicycle, electric, cargo bike - 2050 - CH</t>
  </si>
  <si>
    <t>Bicycle, electric (&lt;25 km/h) - 2020 - CH</t>
  </si>
  <si>
    <t>Bicycle, electric (&lt;25 km/h) - 2030 - CH</t>
  </si>
  <si>
    <t>Bicycle, electric (&lt;25 km/h) - 2040 - CH</t>
  </si>
  <si>
    <t>Bicycle, electric (&lt;25 km/h) - 2050 - CH</t>
  </si>
  <si>
    <t>Bicycle, electric (&lt;45 km/h) - 2020 - CH</t>
  </si>
  <si>
    <t>Bicycle, electric (&lt;45 km/h) - 2030 - CH</t>
  </si>
  <si>
    <t>Bicycle, electric (&lt;45 km/h) - 2040 - CH</t>
  </si>
  <si>
    <t>Bicycle, electric (&lt;45 km/h) - 2050 - CH</t>
  </si>
  <si>
    <t>Tram, electric - 2020 - CH</t>
  </si>
  <si>
    <t>Tram, electric - 2030 - CH</t>
  </si>
  <si>
    <t>Tram, electric - 2040 - CH</t>
  </si>
  <si>
    <t>Tram, electric - 2050 - CH</t>
  </si>
  <si>
    <t>Motorbike, electric, &lt;4kW - 2020 - CH</t>
  </si>
  <si>
    <t>Motorbike, electric, &lt;4kW - 2030 - CH</t>
  </si>
  <si>
    <t>Motorbike, electric, &lt;4kW - 2040 - CH</t>
  </si>
  <si>
    <t>Motorbike, electric, &lt;4kW - 2050 - CH</t>
  </si>
  <si>
    <t>Motorbike, electric, 4-11kW - 2020 - CH</t>
  </si>
  <si>
    <t>Motorbike, electric, 4-11kW - 2030 - CH</t>
  </si>
  <si>
    <t>Motorbike, electric, 4-11kW - 2040 - CH</t>
  </si>
  <si>
    <t>Motorbike, electric, 4-11kW - 2050 - CH</t>
  </si>
  <si>
    <t>Motorbike, electric, 11-35kW - 2020 - CH</t>
  </si>
  <si>
    <t>Motorbike, electric, 11-35kW - 2030 - CH</t>
  </si>
  <si>
    <t>Motorbike, electric, 11-35kW - 2040 - CH</t>
  </si>
  <si>
    <t>Motorbike, electric, 11-35kW - 2050 - CH</t>
  </si>
  <si>
    <t>Motorbike, electric, &gt;35kW - 2020 - CH</t>
  </si>
  <si>
    <t>Motorbike, electric, &gt;35kW - 2030 - CH</t>
  </si>
  <si>
    <t>Motorbike, electric, &gt;35kW - 2040 - CH</t>
  </si>
  <si>
    <t>Motorbike, electric, &gt;35kW - 2050 - CH</t>
  </si>
  <si>
    <t>Electric powertrain mass [kg]</t>
  </si>
  <si>
    <t>Europe</t>
  </si>
  <si>
    <t>Title</t>
  </si>
  <si>
    <t>Authors</t>
  </si>
  <si>
    <t>Reviewed by</t>
  </si>
  <si>
    <t>Cox B. (INFRAS)</t>
  </si>
  <si>
    <t>Adapted from</t>
  </si>
  <si>
    <t>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t>
  </si>
  <si>
    <t>2021 UVEK life-cycle inventories update of on-road vehicles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</si>
  <si>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</si>
  <si>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</si>
  <si>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</si>
  <si>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</si>
  <si>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</si>
  <si>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</si>
  <si>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</si>
  <si>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</si>
  <si>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</si>
  <si>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</si>
  <si>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</si>
  <si>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</si>
  <si>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</si>
  <si>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</si>
  <si>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</si>
  <si>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</si>
  <si>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</si>
  <si>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</si>
  <si>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</si>
  <si>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</si>
  <si>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</si>
  <si>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</si>
  <si>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</si>
  <si>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</si>
  <si>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</si>
  <si>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</si>
  <si>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</si>
  <si>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</si>
  <si>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</si>
  <si>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Tire wear emissions (kg emission/vehicle/km)</t>
  </si>
  <si>
    <t>Brake wear emissions (kg emission/vehicle/km)</t>
  </si>
  <si>
    <t>Road wear emissions (kg emission/vehicle/km)</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</si>
  <si>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</si>
  <si>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</si>
  <si>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</si>
  <si>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</si>
  <si>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</si>
  <si>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</si>
  <si>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</si>
  <si>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</si>
  <si>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</si>
  <si>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</si>
  <si>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</si>
  <si>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</si>
  <si>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</si>
  <si>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</si>
  <si>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</si>
  <si>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</si>
  <si>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</si>
  <si>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</si>
  <si>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</si>
  <si>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</si>
  <si>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</si>
  <si>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</si>
  <si>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</si>
  <si>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</si>
  <si>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</si>
  <si>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</si>
  <si>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</si>
  <si>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</si>
  <si>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</si>
  <si>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</si>
  <si>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</si>
  <si>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</si>
  <si>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</si>
  <si>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</si>
  <si>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electric, 4-11kW - 2020 - CH</t>
  </si>
  <si>
    <t>Scooter, electric, 4-11kW - 2030 - CH</t>
  </si>
  <si>
    <t>Scooter, electric, 4-11kW - 2040 - CH</t>
  </si>
  <si>
    <t>Scooter, electric, 4-11kW - 2050 - CH</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</si>
  <si>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</si>
  <si>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</si>
  <si>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</si>
  <si>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</si>
  <si>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</si>
  <si>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</si>
  <si>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</si>
  <si>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</si>
  <si>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</si>
  <si>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</si>
  <si>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</si>
  <si>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</si>
  <si>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</si>
  <si>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</si>
  <si>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</si>
  <si>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</si>
  <si>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</si>
  <si>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</si>
  <si>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</si>
  <si>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</si>
  <si>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</si>
  <si>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</si>
  <si>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</si>
  <si>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</si>
  <si>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</si>
  <si>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</si>
  <si>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</si>
  <si>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</si>
  <si>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</si>
  <si>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</si>
  <si>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</si>
  <si>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</si>
  <si>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</si>
  <si>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</si>
  <si>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</si>
  <si>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</si>
  <si>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</si>
  <si>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</si>
  <si>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</si>
  <si>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</si>
  <si>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</si>
  <si>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</si>
  <si>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electric, &lt;4kW - 2020 - CH</t>
  </si>
  <si>
    <t>Scooter, electric, &lt;4kW - 2030 - CH</t>
  </si>
  <si>
    <t>Scooter, electric, &lt;4kW - 2040 - CH</t>
  </si>
  <si>
    <t>Scooter, electric, &lt;4kW - 2050 - CH</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</si>
  <si>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</si>
  <si>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</si>
  <si>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</si>
  <si>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</si>
  <si>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</si>
  <si>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</si>
  <si>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</si>
  <si>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Kick Scooter, electric, &lt;1kW - 2020 - CH</t>
  </si>
  <si>
    <t>Kick Scooter, electric, &lt;1kW - 2030 - CH</t>
  </si>
  <si>
    <t>Kick Scooter, electric, &lt;1kW - 2040 - CH</t>
  </si>
  <si>
    <t>Kick Scooter, electric, &lt;1kW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</si>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</sst>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0"/>
    <numFmt numFmtId="166" formatCode="0.000"/>
    <numFmt numFmtId="167" formatCode="0.00000"/>
    <numFmt numFmtId="168" formatCode="0.000000000"/>
    <numFmt numFmtId="169" formatCode="0.0E+00"/>
  </numFmts>
  <fonts count="8"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35">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0" fillId="0" borderId="0" xfId="0" applyFill="1"/>
    <xf numFmtId="0" fontId="5" fillId="0" borderId="0" xfId="0" applyFont="1"/>
    <xf numFmtId="164" fontId="5" fillId="0" borderId="0" xfId="0" applyNumberFormat="1" applyFont="1"/>
    <xf numFmtId="0" fontId="6" fillId="0" borderId="0" xfId="0" applyFont="1"/>
    <xf numFmtId="0" fontId="0" fillId="0" borderId="0" xfId="0" applyFont="1"/>
    <xf numFmtId="0" fontId="0" fillId="0" borderId="0" xfId="0" applyAlignment="1"/>
    <xf numFmtId="165" fontId="0" fillId="0" borderId="0" xfId="0" applyNumberFormat="1" applyFont="1"/>
    <xf numFmtId="11" fontId="0" fillId="0" borderId="0" xfId="0" applyNumberFormat="1" applyFont="1"/>
    <xf numFmtId="167" fontId="0" fillId="0" borderId="0" xfId="0" applyNumberFormat="1" applyFont="1"/>
    <xf numFmtId="168" fontId="0" fillId="0" borderId="0" xfId="0" applyNumberFormat="1" applyFont="1"/>
    <xf numFmtId="1" fontId="0" fillId="0" borderId="0" xfId="0" applyNumberFormat="1" applyFont="1"/>
    <xf numFmtId="0" fontId="7" fillId="0" borderId="0" xfId="0" applyFont="1"/>
    <xf numFmtId="166" fontId="0" fillId="0" borderId="0" xfId="0" applyNumberFormat="1" applyFont="1"/>
    <xf numFmtId="0" fontId="0" fillId="0" borderId="0" xfId="0"/>
    <xf numFmtId="0" fontId="7" fillId="0" borderId="0" xfId="0" applyFont="1"/>
    <xf numFmtId="164" fontId="0" fillId="0" borderId="0" xfId="0" applyNumberFormat="1" applyFont="1"/>
    <xf numFmtId="169" fontId="0" fillId="0" borderId="0" xfId="0" applyNumberFormat="1" applyFont="1"/>
    <xf numFmtId="14" fontId="0" fillId="0" borderId="0" xfId="0" applyNumberFormat="1"/>
    <xf numFmtId="10" fontId="0" fillId="0" borderId="0" xfId="0" applyNumberFormat="1"/>
    <xf numFmtId="11" fontId="4" fillId="0" borderId="0" xfId="1" applyNumberFormat="1" applyFont="1"/>
    <xf numFmtId="166" fontId="0" fillId="0" borderId="0" xfId="0" applyNumberFormat="1" applyFill="1"/>
    <xf numFmtId="2" fontId="0" fillId="0" borderId="0" xfId="0" applyNumberFormat="1" applyFill="1"/>
    <xf numFmtId="165" fontId="0" fillId="0" borderId="0" xfId="0" applyNumberFormat="1" applyFill="1"/>
    <xf numFmtId="11" fontId="4" fillId="0" borderId="0" xfId="1" applyNumberFormat="1" applyFont="1" applyFill="1"/>
    <xf numFmtId="11" fontId="0" fillId="0" borderId="0" xfId="0" applyNumberFormat="1" applyFill="1"/>
    <xf numFmtId="10" fontId="0" fillId="0" borderId="0" xfId="0" applyNumberFormat="1" applyFill="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4" sqref="A14"/>
    </sheetView>
  </sheetViews>
  <sheetFormatPr defaultRowHeight="14.4" x14ac:dyDescent="0.3"/>
  <cols>
    <col min="1" max="1" width="12.21875" bestFit="1" customWidth="1"/>
    <col min="2" max="2" width="10.109375" bestFit="1" customWidth="1"/>
  </cols>
  <sheetData>
    <row r="1" spans="1:2" x14ac:dyDescent="0.3">
      <c r="A1" t="s">
        <v>69</v>
      </c>
    </row>
    <row r="2" spans="1:2" x14ac:dyDescent="0.3">
      <c r="A2" s="9" t="s">
        <v>559</v>
      </c>
      <c r="B2" s="9" t="s">
        <v>565</v>
      </c>
    </row>
    <row r="3" spans="1:2" x14ac:dyDescent="0.3">
      <c r="A3" t="s">
        <v>560</v>
      </c>
      <c r="B3" t="s">
        <v>669</v>
      </c>
    </row>
    <row r="4" spans="1:2" x14ac:dyDescent="0.3">
      <c r="A4" t="s">
        <v>561</v>
      </c>
      <c r="B4" t="s">
        <v>562</v>
      </c>
    </row>
    <row r="5" spans="1:2" x14ac:dyDescent="0.3">
      <c r="A5" t="s">
        <v>563</v>
      </c>
      <c r="B5" s="21" t="s">
        <v>564</v>
      </c>
    </row>
    <row r="6" spans="1:2" x14ac:dyDescent="0.3">
      <c r="A6" t="s">
        <v>599</v>
      </c>
      <c r="B6" s="25">
        <v>44245</v>
      </c>
    </row>
    <row r="7" spans="1:2" s="21" customFormat="1" x14ac:dyDescent="0.3"/>
    <row r="8" spans="1:2" x14ac:dyDescent="0.3">
      <c r="A8" t="s">
        <v>566</v>
      </c>
    </row>
    <row r="9" spans="1:2" x14ac:dyDescent="0.3">
      <c r="A9" t="s">
        <v>598</v>
      </c>
    </row>
    <row r="10" spans="1:2" x14ac:dyDescent="0.3">
      <c r="A10" t="s">
        <v>567</v>
      </c>
    </row>
    <row r="11" spans="1:2" x14ac:dyDescent="0.3">
      <c r="A11" t="s">
        <v>600</v>
      </c>
    </row>
    <row r="12" spans="1:2" x14ac:dyDescent="0.3">
      <c r="A12" t="s">
        <v>672</v>
      </c>
    </row>
    <row r="13" spans="1:2" x14ac:dyDescent="0.3">
      <c r="A13" t="s">
        <v>673</v>
      </c>
    </row>
    <row r="14" spans="1:2" x14ac:dyDescent="0.3">
      <c r="A14" t="s">
        <v>601</v>
      </c>
    </row>
    <row r="15" spans="1:2" x14ac:dyDescent="0.3">
      <c r="A15" t="s">
        <v>602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3"/>
  <sheetViews>
    <sheetView topLeftCell="A187" workbookViewId="0">
      <selection activeCell="B195" sqref="B195"/>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electric, 4-11kW, 2020</v>
      </c>
    </row>
    <row r="2" spans="1:2" x14ac:dyDescent="0.3">
      <c r="A2" t="s">
        <v>73</v>
      </c>
      <c r="B2" t="s">
        <v>37</v>
      </c>
    </row>
    <row r="3" spans="1:2" x14ac:dyDescent="0.3">
      <c r="A3" t="s">
        <v>87</v>
      </c>
      <c r="B3" t="s">
        <v>521</v>
      </c>
    </row>
    <row r="4" spans="1:2" x14ac:dyDescent="0.3">
      <c r="A4" t="s">
        <v>88</v>
      </c>
      <c r="B4" s="12"/>
    </row>
    <row r="5" spans="1:2" x14ac:dyDescent="0.3">
      <c r="A5" t="s">
        <v>89</v>
      </c>
      <c r="B5" s="12">
        <v>2020</v>
      </c>
    </row>
    <row r="6" spans="1:2" x14ac:dyDescent="0.3">
      <c r="A6" t="s">
        <v>131</v>
      </c>
      <c r="B6" s="12" t="str">
        <f>B3&amp;" - "&amp;B5&amp;" - "&amp;B2</f>
        <v>Motorbike, electric, 4-11kW - 2020 - CH</v>
      </c>
    </row>
    <row r="7" spans="1:2" x14ac:dyDescent="0.3">
      <c r="A7" t="s">
        <v>74</v>
      </c>
      <c r="B7" t="str">
        <f>B3</f>
        <v>Motorbike, electric, 4-11kW</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39800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0.79600000000000004</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2731</v>
      </c>
    </row>
    <row r="16" spans="1:2" x14ac:dyDescent="0.3">
      <c r="A16" t="s">
        <v>137</v>
      </c>
      <c r="B16" s="2">
        <f>INDEX('vehicles specifications'!$B$3:$CK$86,MATCH(B6,'vehicles specifications'!$A$3:$A$86,0),MATCH("Curb mass [kg]",'vehicles specifications'!$B$2:$CK$2,0))</f>
        <v>103.63382696032849</v>
      </c>
    </row>
    <row r="17" spans="1:8" x14ac:dyDescent="0.3">
      <c r="A17" t="s">
        <v>138</v>
      </c>
      <c r="B17">
        <f>INDEX('vehicles specifications'!$B$3:$CK$86,MATCH(B6,'vehicles specifications'!$A$3:$A$86,0),MATCH("Power [kW]",'vehicles specifications'!$B$2:$CK$2,0))</f>
        <v>4.7</v>
      </c>
    </row>
    <row r="18" spans="1:8" x14ac:dyDescent="0.3">
      <c r="A18" t="s">
        <v>139</v>
      </c>
      <c r="B18">
        <f>INDEX('vehicles specifications'!$B$3:$CK$86,MATCH(B6,'vehicles specifications'!$A$3:$A$86,0),MATCH("Energy battery mass [kg]",'vehicles specifications'!$B$2:$CK$2,0))</f>
        <v>17.399999999999999</v>
      </c>
    </row>
    <row r="19" spans="1:8" x14ac:dyDescent="0.3">
      <c r="A19" t="s">
        <v>140</v>
      </c>
      <c r="B19">
        <f>INDEX('vehicles specifications'!$B$3:$CK$86,MATCH(B6,'vehicles specifications'!$A$3:$A$86,0),MATCH("Electric energy stored [kWh]",'vehicles specifications'!$B$2:$CK$2,0))</f>
        <v>2.9</v>
      </c>
    </row>
    <row r="20" spans="1:8" s="21" customFormat="1" x14ac:dyDescent="0.3">
      <c r="A20" s="21" t="s">
        <v>654</v>
      </c>
      <c r="B20" s="21">
        <f>INDEX('vehicles specifications'!$B$3:$CK$86,MATCH(B6,'vehicles specifications'!$A$3:$A$86,0),MATCH("Electric energy available [kWh]",'vehicles specifications'!$B$2:$CK$2,0))</f>
        <v>2.3199999999999998</v>
      </c>
    </row>
    <row r="21" spans="1:8" x14ac:dyDescent="0.3">
      <c r="A21" t="s">
        <v>143</v>
      </c>
      <c r="B21" s="2">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45.890109890109891</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4.7 kW. Lifetime: 39800 km. Annual kilometers: 2731 km. Number of passengers: 1.1. Curb mass: 103.6 kg. Lightweighting of glider: 0%. Emission standard: None. Service visits throughout lifetime: 0.8. Range: 46 km. Battery capacity: 2.9 kWh. Available battery capacity: 2.32 kWh. Battery mass: 17.4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Motorbike, electric, 4-11kW, 2020</v>
      </c>
      <c r="B32" s="23">
        <v>1</v>
      </c>
      <c r="C32" s="12" t="str">
        <f>B2</f>
        <v>CH</v>
      </c>
      <c r="D32" s="12" t="str">
        <f>B9</f>
        <v>unit</v>
      </c>
      <c r="E32" s="12"/>
      <c r="F32" s="12" t="s">
        <v>85</v>
      </c>
      <c r="G32" s="12" t="s">
        <v>86</v>
      </c>
      <c r="H32" s="12" t="str">
        <f>B3</f>
        <v>Motorbike, electric, 4-11kW</v>
      </c>
    </row>
    <row r="33" spans="1:8" x14ac:dyDescent="0.3">
      <c r="A33" s="12" t="str">
        <f>INDEX('ei names mapping'!$B$4:$R$33,MATCH(B3,'ei names mapping'!$A$4:$A$33,0),MATCH(G33,'ei names mapping'!$B$3:$R$3,0))</f>
        <v>market for glider, for electric scooter</v>
      </c>
      <c r="B33" s="23">
        <f>INDEX('vehicles specifications'!$B$3:$CK$86,MATCH(B6,'vehicles specifications'!$A$3:$A$86,0),MATCH(G33,'vehicles specifications'!$B$2:$CK$2,0))*INDEX('ei names mapping'!$B$137:$BK$220,MATCH(B6,'ei names mapping'!$A$137:$A$220,0),MATCH(G33,'ei names mapping'!$B$136:$BK$136,0))</f>
        <v>65.433826960328489</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s="21" customFormat="1" x14ac:dyDescent="0.3">
      <c r="A34" s="12" t="str">
        <f>INDEX('ei names mapping'!$B$4:$R$33,MATCH(B3,'ei names mapping'!$A$4:$A$33,0),MATCH(G34,'ei names mapping'!$B$3:$R$3,0))</f>
        <v>glider lightweighting</v>
      </c>
      <c r="B34" s="23">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23">
        <f>INDEX('vehicles specifications'!$B$3:$CK$86,MATCH(B6,'vehicles specifications'!$A$3:$A$86,0),MATCH(G35,'vehicles specifications'!$B$2:$CK$2,0))*INDEX('ei names mapping'!$B$137:$BK$220,MATCH(B6,'ei names mapping'!$A$137:$A$220,0),MATCH(G35,'ei names mapping'!$B$136:$BK$136,0))</f>
        <v>7.8</v>
      </c>
      <c r="C35" s="12" t="str">
        <f>INDEX('ei names mapping'!$B$38:$R$67,MATCH(B3,'ei names mapping'!$A$4:$A$33,0),MATCH(G35,'ei names mapping'!$B$3:$R$3,0))</f>
        <v>GLO</v>
      </c>
      <c r="D35" s="12" t="str">
        <f>INDEX('ei names mapping'!$B$104:$R$133,MATCH(B3,'ei names mapping'!$A$104:$A$133,0),MATCH(G35,'ei names mapping'!$B$3:$R$3,0))</f>
        <v>kilogram</v>
      </c>
      <c r="E35" s="12"/>
      <c r="F35" s="12" t="s">
        <v>91</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23">
        <f>INDEX('vehicles specifications'!$B$3:$CK$86,MATCH(B6,'vehicles specifications'!$A$3:$A$86,0),MATCH(G36,'vehicles specifications'!$B$2:$CK$2,0))*INDEX('ei names mapping'!$B$137:$BK$220,MATCH(B6,'ei names mapping'!$A$137:$A$220,0),MATCH(G36,'ei names mapping'!$B$136:$BK$136,0))</f>
        <v>13</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23">
        <f>INDEX('vehicles specifications'!$B$3:$CK$86,MATCH(B6,'vehicles specifications'!$A$3:$A$86,0),MATCH(G37,'vehicles specifications'!$B$2:$CK$2,0))*INDEX('ei names mapping'!$B$137:$BK$220,MATCH(B6,'ei names mapping'!$A$137:$A$220,0),MATCH(G37,'ei names mapping'!$B$136:$BK$136,0))</f>
        <v>28.999999999999996</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23">
        <f>INDEX('vehicles specifications'!$B$3:$CK$86,MATCH(B6,'vehicles specifications'!$A$3:$A$86,0),MATCH(G38,'vehicles specifications'!$B$2:$CK$2,0))*INDEX('ei names mapping'!$B$137:$BK$220,MATCH(B6,'ei names mapping'!$A$137:$A$220,0),MATCH(G38,'ei names mapping'!$B$136:$BK$136,0))</f>
        <v>5.8</v>
      </c>
      <c r="C38" s="12" t="str">
        <f>INDEX('ei names mapping'!$B$38:$R$67,MATCH(B3,'ei names mapping'!$A$4:$A$33,0),MATCH(G38,'ei names mapping'!$B$3:$R$3,0))</f>
        <v>GLO</v>
      </c>
      <c r="D38" s="12" t="str">
        <f>INDEX('ei names mapping'!$B$104:$R$133,MATCH(B3,'ei names mapping'!$A$104:$A$133,0),MATCH(G38,'ei names mapping'!$B$3:$R$3,0))</f>
        <v>kilogram</v>
      </c>
      <c r="E38" s="12"/>
      <c r="F38" s="12" t="s">
        <v>91</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23">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23">
        <f>INDEX('vehicles specifications'!$B$3:$CK$86,MATCH(B6,'vehicles specifications'!$A$3:$A$86,0),MATCH(G40,'vehicles specifications'!$B$2:$CK$2,0))*INDEX('ei names mapping'!$B$137:$BK$220,MATCH(B6,'ei names mapping'!$A$137:$A$220,0),MATCH(G40,'ei names mapping'!$B$136:$BK$136,0))</f>
        <v>65.433826960328489</v>
      </c>
      <c r="C40" s="12" t="str">
        <f>INDEX('ei names mapping'!$B$38:$R$67,MATCH(B3,'ei names mapping'!$A$4:$A$33,0),MATCH(G40,'ei names mapping'!$B$3:$R$3,0))</f>
        <v>GLO</v>
      </c>
      <c r="D40" s="12" t="str">
        <f>INDEX('ei names mapping'!$B$104:$R$133,MATCH(B3,'ei names mapping'!$A$104:$A$133,0),MATCH(G40,'ei names mapping'!$B$3:$R$3,0))</f>
        <v>unit</v>
      </c>
      <c r="E40" s="12"/>
      <c r="F40" s="12" t="s">
        <v>91</v>
      </c>
      <c r="G40"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23">
        <f>INDEX('vehicles specifications'!$B$3:$CK$86,MATCH(B6,'vehicles specifications'!$A$3:$A$86,0),MATCH(G41,'vehicles specifications'!$B$2:$CK$2,0))*INDEX('ei names mapping'!$B$137:$BK$220,MATCH(B6,'ei names mapping'!$A$137:$A$220,0),MATCH(G41,'ei names mapping'!$B$136:$BK$136,0))</f>
        <v>20.8</v>
      </c>
      <c r="C41" s="12" t="str">
        <f>INDEX('ei names mapping'!$B$38:$R$67,MATCH(B3,'ei names mapping'!$A$4:$A$33,0),MATCH(G41,'ei names mapping'!$B$3:$R$3,0))</f>
        <v>GLO</v>
      </c>
      <c r="D41" s="12" t="str">
        <f>INDEX('ei names mapping'!$B$104:$R$133,MATCH(B3,'ei names mapping'!$A$104:$A$133,0),MATCH(G41,'ei names mapping'!$B$3:$R$3,0))</f>
        <v>unit</v>
      </c>
      <c r="E41" s="12"/>
      <c r="F41" s="12" t="s">
        <v>91</v>
      </c>
      <c r="G4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23">
        <f>INDEX('vehicles specifications'!$B$3:$CK$86,MATCH(B6,'vehicles specifications'!$A$3:$A$86,0),MATCH(G42,'vehicles specifications'!$B$2:$CK$2,0))*INDEX('ei names mapping'!$B$137:$BK$220,MATCH(B6,'ei names mapping'!$A$137:$A$220,0),MATCH(G42,'ei names mapping'!$B$136:$BK$136,0))</f>
        <v>-34.799999999999997</v>
      </c>
      <c r="C42" s="12" t="str">
        <f>INDEX('ei names mapping'!$B$38:$R$67,MATCH(B3,'ei names mapping'!$A$4:$A$33,0),MATCH(G42,'ei names mapping'!$B$3:$R$3,0))</f>
        <v>GLO</v>
      </c>
      <c r="D42" s="12" t="str">
        <f>INDEX('ei names mapping'!$B$104:$R$133,MATCH(B3,'ei names mapping'!$A$104:$A$133,0),MATCH(G42,'ei names mapping'!$B$3:$R$3,0))</f>
        <v>kilogram</v>
      </c>
      <c r="E42" s="12"/>
      <c r="F42" s="12" t="s">
        <v>91</v>
      </c>
      <c r="G42" t="s">
        <v>152</v>
      </c>
      <c r="H42" s="12" t="str">
        <f>INDEX('ei names mapping'!$B$71:$R$100,MATCH(B3,'ei names mapping'!$A$4:$A$33,0),MATCH(G42,'ei names mapping'!$B$3:$R$3,0))</f>
        <v>used Li-ion battery</v>
      </c>
    </row>
    <row r="43" spans="1:8" s="21" customFormat="1" x14ac:dyDescent="0.3">
      <c r="A43" s="22" t="s">
        <v>468</v>
      </c>
      <c r="B43" s="3">
        <f>(B16/1000)*B28</f>
        <v>103.63382696032849</v>
      </c>
      <c r="C43" s="21" t="s">
        <v>94</v>
      </c>
      <c r="D43" s="21" t="s">
        <v>243</v>
      </c>
      <c r="F43" s="21" t="s">
        <v>91</v>
      </c>
      <c r="H43" s="22" t="s">
        <v>469</v>
      </c>
    </row>
    <row r="44" spans="1:8" s="21" customFormat="1" x14ac:dyDescent="0.3">
      <c r="A44" s="22" t="s">
        <v>467</v>
      </c>
      <c r="B44" s="3">
        <f>(B16/1000)*B27</f>
        <v>1647.777848669223</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Motorbike, electric, 4-11kW, 2030</v>
      </c>
    </row>
    <row r="47" spans="1:8" x14ac:dyDescent="0.3">
      <c r="A47" t="s">
        <v>73</v>
      </c>
      <c r="B47" t="s">
        <v>37</v>
      </c>
    </row>
    <row r="48" spans="1:8" x14ac:dyDescent="0.3">
      <c r="A48" t="s">
        <v>87</v>
      </c>
      <c r="B48" t="s">
        <v>521</v>
      </c>
    </row>
    <row r="49" spans="1:2" x14ac:dyDescent="0.3">
      <c r="A49" t="s">
        <v>88</v>
      </c>
      <c r="B49" s="12"/>
    </row>
    <row r="50" spans="1:2" x14ac:dyDescent="0.3">
      <c r="A50" t="s">
        <v>89</v>
      </c>
      <c r="B50" s="12">
        <v>2030</v>
      </c>
    </row>
    <row r="51" spans="1:2" x14ac:dyDescent="0.3">
      <c r="A51" t="s">
        <v>131</v>
      </c>
      <c r="B51" s="12" t="str">
        <f>B48&amp;" - "&amp;B50&amp;" - "&amp;B47</f>
        <v>Motorbike, electric, 4-11kW - 2030 - CH</v>
      </c>
    </row>
    <row r="52" spans="1:2" x14ac:dyDescent="0.3">
      <c r="A52" t="s">
        <v>74</v>
      </c>
      <c r="B52" t="str">
        <f>B48</f>
        <v>Motorbike, electric, 4-11kW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specifications'!$B$3:$CK$86,MATCH(B51,'vehicles specifications'!$A$3:$A$86,0),MATCH("Lifetime [km]",'vehicles specifications'!$B$2:$CK$2,0))</f>
        <v>39800</v>
      </c>
    </row>
    <row r="57" spans="1:2" x14ac:dyDescent="0.3">
      <c r="A57" t="s">
        <v>133</v>
      </c>
      <c r="B57">
        <f>INDEX('vehicles specifications'!$B$3:$CK$86,MATCH(B51,'vehicles specifications'!$A$3:$A$86,0),MATCH("Passengers [unit]",'vehicles specifications'!$B$2:$CK$2,0))</f>
        <v>1.1000000000000001</v>
      </c>
    </row>
    <row r="58" spans="1:2" x14ac:dyDescent="0.3">
      <c r="A58" t="s">
        <v>134</v>
      </c>
      <c r="B58">
        <f>INDEX('vehicles specifications'!$B$3:$CK$86,MATCH(B51,'vehicles specifications'!$A$3:$A$86,0),MATCH("Servicing [unit]",'vehicles specifications'!$B$2:$CK$2,0))</f>
        <v>0.79600000000000004</v>
      </c>
    </row>
    <row r="59" spans="1:2" x14ac:dyDescent="0.3">
      <c r="A59" t="s">
        <v>135</v>
      </c>
      <c r="B59">
        <f>INDEX('vehicles specifications'!$B$3:$CK$86,MATCH(B51,'vehicles specifications'!$A$3:$A$86,0),MATCH("Energy battery replacement [unit]",'vehicles specifications'!$B$2:$CK$2,0))</f>
        <v>0.5</v>
      </c>
    </row>
    <row r="60" spans="1:2" x14ac:dyDescent="0.3">
      <c r="A60" t="s">
        <v>136</v>
      </c>
      <c r="B60">
        <f>INDEX('vehicles specifications'!$B$3:$CK$86,MATCH(B51,'vehicles specifications'!$A$3:$A$86,0),MATCH("Annual kilometers [km]",'vehicles specifications'!$B$2:$CK$2,0))</f>
        <v>2731</v>
      </c>
    </row>
    <row r="61" spans="1:2" x14ac:dyDescent="0.3">
      <c r="A61" t="s">
        <v>137</v>
      </c>
      <c r="B61" s="2">
        <f>INDEX('vehicles specifications'!$B$3:$CK$86,MATCH(B51,'vehicles specifications'!$A$3:$A$86,0),MATCH("Curb mass [kg]",'vehicles specifications'!$B$2:$CK$2,0))</f>
        <v>104.27081215151863</v>
      </c>
    </row>
    <row r="62" spans="1:2" x14ac:dyDescent="0.3">
      <c r="A62" t="s">
        <v>138</v>
      </c>
      <c r="B62">
        <f>INDEX('vehicles specifications'!$B$3:$CK$86,MATCH(B51,'vehicles specifications'!$A$3:$A$86,0),MATCH("Power [kW]",'vehicles specifications'!$B$2:$CK$2,0))</f>
        <v>4.7</v>
      </c>
    </row>
    <row r="63" spans="1:2" x14ac:dyDescent="0.3">
      <c r="A63" t="s">
        <v>139</v>
      </c>
      <c r="B63">
        <f>INDEX('vehicles specifications'!$B$3:$CK$86,MATCH(B51,'vehicles specifications'!$A$3:$A$86,0),MATCH("Energy battery mass [kg]",'vehicles specifications'!$B$2:$CK$2,0))</f>
        <v>20</v>
      </c>
    </row>
    <row r="64" spans="1:2" x14ac:dyDescent="0.3">
      <c r="A64" t="s">
        <v>140</v>
      </c>
      <c r="B64" s="21">
        <f>INDEX('vehicles specifications'!$B$3:$CK$86,MATCH(B51,'vehicles specifications'!$A$3:$A$86,0),MATCH("Electric energy stored [kWh]",'vehicles specifications'!$B$2:$CK$2,0))</f>
        <v>5</v>
      </c>
    </row>
    <row r="65" spans="1:8" s="21" customFormat="1" x14ac:dyDescent="0.3">
      <c r="A65" s="21" t="s">
        <v>654</v>
      </c>
      <c r="B65" s="21">
        <f>INDEX('vehicles specifications'!$B$3:$CK$86,MATCH(B51,'vehicles specifications'!$A$3:$A$86,0),MATCH("Electric energy available [kWh]",'vehicles specifications'!$B$2:$CK$2,0))</f>
        <v>4</v>
      </c>
    </row>
    <row r="66" spans="1:8" x14ac:dyDescent="0.3">
      <c r="A66" t="s">
        <v>143</v>
      </c>
      <c r="B66" s="2">
        <f>INDEX('vehicles specifications'!$B$3:$CK$86,MATCH(B51,'vehicles specifications'!$A$3:$A$86,0),MATCH("Oxydation energy stored [kWh]",'vehicles specifications'!$B$2:$CK$2,0))</f>
        <v>0</v>
      </c>
    </row>
    <row r="67" spans="1:8" x14ac:dyDescent="0.3">
      <c r="A67" t="s">
        <v>145</v>
      </c>
      <c r="B67">
        <f>INDEX('vehicles specifications'!$B$3:$CK$86,MATCH(B51,'vehicles specifications'!$A$3:$A$86,0),MATCH("Fuel mass [kg]",'vehicles specifications'!$B$2:$CK$2,0))</f>
        <v>0</v>
      </c>
    </row>
    <row r="68" spans="1:8" x14ac:dyDescent="0.3">
      <c r="A68" t="s">
        <v>141</v>
      </c>
      <c r="B68" s="2">
        <f>INDEX('vehicles specifications'!$B$3:$CK$86,MATCH(B51,'vehicles specifications'!$A$3:$A$86,0),MATCH("Range [km]",'vehicles specifications'!$B$2:$CK$2,0))</f>
        <v>79.120879120879124</v>
      </c>
    </row>
    <row r="69" spans="1:8" x14ac:dyDescent="0.3">
      <c r="A69" t="s">
        <v>142</v>
      </c>
      <c r="B69" t="str">
        <f>INDEX('vehicles specifications'!$B$3:$CK$86,MATCH(B51,'vehicles specifications'!$A$3:$A$86,0),MATCH("Emission standard",'vehicles specifications'!$B$2:$CK$2,0))</f>
        <v>None</v>
      </c>
    </row>
    <row r="70" spans="1:8" x14ac:dyDescent="0.3">
      <c r="A70" t="s">
        <v>144</v>
      </c>
      <c r="B70" s="6">
        <f>INDEX('vehicles specifications'!$B$3:$CK$86,MATCH(B51,'vehicles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scooter'!B56</f>
        <v>Power: 4.7 kW. Lifetime: 39800 km. Annual kilometers: 2731 km. Number of passengers: 1.1. Curb mass: 104.3 kg. Lightweighting of glider: 3%. Emission standard: None. Service visits throughout lifetime: 0.8. Range: 79 km. Battery capacity: 5 kWh. Available battery capacity: 4 kWh. Battery mass: 20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1785</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Motorbike, electric, 4-11kW, 2030</v>
      </c>
      <c r="B77" s="12">
        <v>1</v>
      </c>
      <c r="C77" s="12" t="str">
        <f>B47</f>
        <v>CH</v>
      </c>
      <c r="D77" s="12" t="str">
        <f>B54</f>
        <v>unit</v>
      </c>
      <c r="E77" s="12"/>
      <c r="F77" s="12" t="s">
        <v>85</v>
      </c>
      <c r="G77" s="12" t="s">
        <v>86</v>
      </c>
      <c r="H77" s="12" t="str">
        <f>B48</f>
        <v>Motorbike, electric, 4-11kW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65.433826960328489</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s="21" customFormat="1"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1.9630148088098547</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7.8</v>
      </c>
      <c r="C80" s="12" t="str">
        <f>INDEX('ei names mapping'!$B$38:$R$67,MATCH(B48,'ei names mapping'!$A$4:$A$33,0),MATCH(G80,'ei names mapping'!$B$3:$R$3,0))</f>
        <v>GLO</v>
      </c>
      <c r="D80" s="12" t="str">
        <f>INDEX('ei names mapping'!$B$104:$R$133,MATCH(B48,'ei names mapping'!$A$104:$A$133,0),MATCH(G80,'ei names mapping'!$B$3:$R$3,0))</f>
        <v>kilogram</v>
      </c>
      <c r="E80" s="12"/>
      <c r="F80" s="12" t="s">
        <v>91</v>
      </c>
      <c r="G80"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13</v>
      </c>
      <c r="C81" s="12" t="str">
        <f>INDEX('ei names mapping'!$B$38:$R$67,MATCH(B48,'ei names mapping'!$A$4:$A$33,0),MATCH(G81,'ei names mapping'!$B$3:$R$3,0))</f>
        <v>GLO</v>
      </c>
      <c r="D81" s="12" t="str">
        <f>INDEX('ei names mapping'!$B$104:$R$133,MATCH(B48,'ei names mapping'!$A$104:$A$133,0),MATCH(G81,'ei names mapping'!$B$3:$R$3,0))</f>
        <v>kilogram</v>
      </c>
      <c r="E81" s="12"/>
      <c r="F81" s="12" t="s">
        <v>91</v>
      </c>
      <c r="G8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25</v>
      </c>
      <c r="C82" s="12" t="str">
        <f>INDEX('ei names mapping'!$B$38:$R$67,MATCH(B48,'ei names mapping'!$A$4:$A$33,0),MATCH(G82,'ei names mapping'!$B$3:$R$3,0))</f>
        <v>GLO</v>
      </c>
      <c r="D82" s="12" t="str">
        <f>INDEX('ei names mapping'!$B$104:$R$133,MATCH(B48,'ei names mapping'!$A$104:$A$133,0),MATCH(G82,'ei names mapping'!$B$3:$R$3,0))</f>
        <v>kilogram</v>
      </c>
      <c r="E82" s="12"/>
      <c r="F82" s="12" t="s">
        <v>91</v>
      </c>
      <c r="G82"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5.0000000000000009</v>
      </c>
      <c r="C83" s="12" t="str">
        <f>INDEX('ei names mapping'!$B$38:$R$67,MATCH(B48,'ei names mapping'!$A$4:$A$33,0),MATCH(G83,'ei names mapping'!$B$3:$R$3,0))</f>
        <v>GLO</v>
      </c>
      <c r="D83" s="12" t="str">
        <f>INDEX('ei names mapping'!$B$104:$R$133,MATCH(B48,'ei names mapping'!$A$104:$A$133,0),MATCH(G83,'ei names mapping'!$B$3:$R$3,0))</f>
        <v>kilogram</v>
      </c>
      <c r="E83" s="12"/>
      <c r="F83" s="12" t="s">
        <v>91</v>
      </c>
      <c r="G83"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manual dismantling of used electric scooter</v>
      </c>
      <c r="B85" s="16">
        <f>INDEX('vehicles specifications'!$B$3:$CK$86,MATCH(B51,'vehicles specifications'!$A$3:$A$86,0),MATCH(G85,'vehicles specifications'!$B$2:$CK$2,0))*INDEX('ei names mapping'!$B$137:$BK$220,MATCH(B51,'ei names mapping'!$A$137:$A$220,0),MATCH(G85,'ei names mapping'!$B$136:$BK$136,0))</f>
        <v>63.470812151518629</v>
      </c>
      <c r="C85" s="12" t="str">
        <f>INDEX('ei names mapping'!$B$38:$R$67,MATCH(B48,'ei names mapping'!$A$4:$A$33,0),MATCH(G85,'ei names mapping'!$B$3:$R$3,0))</f>
        <v>GLO</v>
      </c>
      <c r="D85" s="12" t="str">
        <f>INDEX('ei names mapping'!$B$104:$R$133,MATCH(B48,'ei names mapping'!$A$104:$A$133,0),MATCH(G85,'ei names mapping'!$B$3:$R$3,0))</f>
        <v>unit</v>
      </c>
      <c r="E85" s="12"/>
      <c r="F85" s="12" t="s">
        <v>91</v>
      </c>
      <c r="G85"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manual dismantling of used electric scooter</v>
      </c>
      <c r="B86" s="16">
        <f>INDEX('vehicles specifications'!$B$3:$CK$86,MATCH(B51,'vehicles specifications'!$A$3:$A$86,0),MATCH(G86,'vehicles specifications'!$B$2:$CK$2,0))*INDEX('ei names mapping'!$B$137:$BK$220,MATCH(B51,'ei names mapping'!$A$137:$A$220,0),MATCH(G86,'ei names mapping'!$B$136:$BK$136,0))</f>
        <v>20.8</v>
      </c>
      <c r="C86" s="12" t="str">
        <f>INDEX('ei names mapping'!$B$38:$R$67,MATCH(B48,'ei names mapping'!$A$4:$A$33,0),MATCH(G86,'ei names mapping'!$B$3:$R$3,0))</f>
        <v>GLO</v>
      </c>
      <c r="D86" s="12" t="str">
        <f>INDEX('ei names mapping'!$B$104:$R$133,MATCH(B48,'ei names mapping'!$A$104:$A$133,0),MATCH(G86,'ei names mapping'!$B$3:$R$3,0))</f>
        <v>unit</v>
      </c>
      <c r="E86" s="12"/>
      <c r="F86" s="12" t="s">
        <v>91</v>
      </c>
      <c r="G86"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-30</v>
      </c>
      <c r="C87" s="12" t="str">
        <f>INDEX('ei names mapping'!$B$38:$R$67,MATCH(B48,'ei names mapping'!$A$4:$A$33,0),MATCH(G87,'ei names mapping'!$B$3:$R$3,0))</f>
        <v>GLO</v>
      </c>
      <c r="D87" s="12" t="str">
        <f>INDEX('ei names mapping'!$B$104:$R$133,MATCH(B48,'ei names mapping'!$A$104:$A$133,0),MATCH(G87,'ei names mapping'!$B$3:$R$3,0))</f>
        <v>kilogram</v>
      </c>
      <c r="E87" s="12"/>
      <c r="F87" s="12" t="s">
        <v>91</v>
      </c>
      <c r="G87" t="s">
        <v>152</v>
      </c>
      <c r="H87" s="12" t="str">
        <f>INDEX('ei names mapping'!$B$71:$R$100,MATCH(B48,'ei names mapping'!$A$4:$A$33,0),MATCH(G87,'ei names mapping'!$B$3:$R$3,0))</f>
        <v>used Li-ion battery</v>
      </c>
    </row>
    <row r="88" spans="1:8" s="21" customFormat="1" x14ac:dyDescent="0.3">
      <c r="A88" s="22" t="s">
        <v>468</v>
      </c>
      <c r="B88" s="21">
        <f>(B61/1000)*B73</f>
        <v>104.27081215151863</v>
      </c>
      <c r="C88" s="21" t="s">
        <v>94</v>
      </c>
      <c r="D88" s="21" t="s">
        <v>243</v>
      </c>
      <c r="F88" s="21" t="s">
        <v>91</v>
      </c>
      <c r="H88" s="22" t="s">
        <v>469</v>
      </c>
    </row>
    <row r="89" spans="1:8" s="21" customFormat="1" x14ac:dyDescent="0.3">
      <c r="A89" s="22" t="s">
        <v>467</v>
      </c>
      <c r="B89" s="2">
        <f>(B61/1000)*B72</f>
        <v>1657.9059132091461</v>
      </c>
      <c r="C89" s="21" t="s">
        <v>98</v>
      </c>
      <c r="D89" s="21" t="s">
        <v>243</v>
      </c>
      <c r="F89" s="21" t="s">
        <v>91</v>
      </c>
      <c r="H89" s="22" t="s">
        <v>467</v>
      </c>
    </row>
    <row r="90" spans="1:8" x14ac:dyDescent="0.3">
      <c r="B90" s="12"/>
    </row>
    <row r="91" spans="1:8" ht="15.6" x14ac:dyDescent="0.3">
      <c r="A91" s="11" t="s">
        <v>72</v>
      </c>
      <c r="B91" s="9" t="str">
        <f>B93&amp;", "&amp;B95</f>
        <v>Motorbike, electric, 4-11kW, 2040</v>
      </c>
    </row>
    <row r="92" spans="1:8" x14ac:dyDescent="0.3">
      <c r="A92" t="s">
        <v>73</v>
      </c>
      <c r="B92" t="s">
        <v>37</v>
      </c>
    </row>
    <row r="93" spans="1:8" x14ac:dyDescent="0.3">
      <c r="A93" t="s">
        <v>87</v>
      </c>
      <c r="B93" t="s">
        <v>521</v>
      </c>
    </row>
    <row r="94" spans="1:8" x14ac:dyDescent="0.3">
      <c r="A94" t="s">
        <v>88</v>
      </c>
      <c r="B94" s="12"/>
    </row>
    <row r="95" spans="1:8" x14ac:dyDescent="0.3">
      <c r="A95" t="s">
        <v>89</v>
      </c>
      <c r="B95" s="12">
        <v>2040</v>
      </c>
    </row>
    <row r="96" spans="1:8" x14ac:dyDescent="0.3">
      <c r="A96" t="s">
        <v>131</v>
      </c>
      <c r="B96" s="12" t="str">
        <f>B93&amp;" - "&amp;B95&amp;" - "&amp;B92</f>
        <v>Motorbike, electric, 4-11kW - 2040 - CH</v>
      </c>
    </row>
    <row r="97" spans="1:2" x14ac:dyDescent="0.3">
      <c r="A97" t="s">
        <v>74</v>
      </c>
      <c r="B97" t="str">
        <f>B93</f>
        <v>Motorbike, electric, 4-11kW</v>
      </c>
    </row>
    <row r="98" spans="1:2" x14ac:dyDescent="0.3">
      <c r="A98" t="s">
        <v>75</v>
      </c>
      <c r="B98" t="s">
        <v>76</v>
      </c>
    </row>
    <row r="99" spans="1:2" x14ac:dyDescent="0.3">
      <c r="A99" t="s">
        <v>77</v>
      </c>
      <c r="B99" t="s">
        <v>77</v>
      </c>
    </row>
    <row r="100" spans="1:2" x14ac:dyDescent="0.3">
      <c r="A100" t="s">
        <v>79</v>
      </c>
      <c r="B100" t="s">
        <v>90</v>
      </c>
    </row>
    <row r="101" spans="1:2" x14ac:dyDescent="0.3">
      <c r="A101" t="s">
        <v>132</v>
      </c>
      <c r="B101">
        <f>INDEX('vehicles specifications'!$B$3:$CK$86,MATCH(B96,'vehicles specifications'!$A$3:$A$86,0),MATCH("Lifetime [km]",'vehicles specifications'!$B$2:$CK$2,0))</f>
        <v>39800</v>
      </c>
    </row>
    <row r="102" spans="1:2" x14ac:dyDescent="0.3">
      <c r="A102" t="s">
        <v>133</v>
      </c>
      <c r="B102">
        <f>INDEX('vehicles specifications'!$B$3:$CK$86,MATCH(B96,'vehicles specifications'!$A$3:$A$86,0),MATCH("Passengers [unit]",'vehicles specifications'!$B$2:$CK$2,0))</f>
        <v>1.1000000000000001</v>
      </c>
    </row>
    <row r="103" spans="1:2" x14ac:dyDescent="0.3">
      <c r="A103" t="s">
        <v>134</v>
      </c>
      <c r="B103">
        <f>INDEX('vehicles specifications'!$B$3:$CK$86,MATCH(B96,'vehicles specifications'!$A$3:$A$86,0),MATCH("Servicing [unit]",'vehicles specifications'!$B$2:$CK$2,0))</f>
        <v>0.79600000000000004</v>
      </c>
    </row>
    <row r="104" spans="1:2" x14ac:dyDescent="0.3">
      <c r="A104" t="s">
        <v>135</v>
      </c>
      <c r="B104">
        <f>INDEX('vehicles specifications'!$B$3:$CK$86,MATCH(B96,'vehicles specifications'!$A$3:$A$86,0),MATCH("Energy battery replacement [unit]",'vehicles specifications'!$B$2:$CK$2,0))</f>
        <v>0.25</v>
      </c>
    </row>
    <row r="105" spans="1:2" x14ac:dyDescent="0.3">
      <c r="A105" t="s">
        <v>136</v>
      </c>
      <c r="B105">
        <f>INDEX('vehicles specifications'!$B$3:$CK$86,MATCH(B96,'vehicles specifications'!$A$3:$A$86,0),MATCH("Annual kilometers [km]",'vehicles specifications'!$B$2:$CK$2,0))</f>
        <v>2731</v>
      </c>
    </row>
    <row r="106" spans="1:2" x14ac:dyDescent="0.3">
      <c r="A106" t="s">
        <v>137</v>
      </c>
      <c r="B106" s="2">
        <f>INDEX('vehicles specifications'!$B$3:$CK$86,MATCH(B96,'vehicles specifications'!$A$3:$A$86,0),MATCH("Curb mass [kg]",'vehicles specifications'!$B$2:$CK$2,0))</f>
        <v>103.96213561231207</v>
      </c>
    </row>
    <row r="107" spans="1:2" x14ac:dyDescent="0.3">
      <c r="A107" t="s">
        <v>138</v>
      </c>
      <c r="B107">
        <f>INDEX('vehicles specifications'!$B$3:$CK$86,MATCH(B96,'vehicles specifications'!$A$3:$A$86,0),MATCH("Power [kW]",'vehicles specifications'!$B$2:$CK$2,0))</f>
        <v>4.7</v>
      </c>
    </row>
    <row r="108" spans="1:2" x14ac:dyDescent="0.3">
      <c r="A108" t="s">
        <v>139</v>
      </c>
      <c r="B108">
        <f>INDEX('vehicles specifications'!$B$3:$CK$86,MATCH(B96,'vehicles specifications'!$A$3:$A$86,0),MATCH("Energy battery mass [kg]",'vehicles specifications'!$B$2:$CK$2,0))</f>
        <v>21</v>
      </c>
    </row>
    <row r="109" spans="1:2" x14ac:dyDescent="0.3">
      <c r="A109" t="s">
        <v>140</v>
      </c>
      <c r="B109" s="21">
        <f>INDEX('vehicles specifications'!$B$3:$CK$86,MATCH(B96,'vehicles specifications'!$A$3:$A$86,0),MATCH("Electric energy stored [kWh]",'vehicles specifications'!$B$2:$CK$2,0))</f>
        <v>7</v>
      </c>
    </row>
    <row r="110" spans="1:2" s="21" customFormat="1" x14ac:dyDescent="0.3">
      <c r="A110" s="21" t="s">
        <v>654</v>
      </c>
      <c r="B110" s="21">
        <f>INDEX('vehicles specifications'!$B$3:$CK$86,MATCH(B96,'vehicles specifications'!$A$3:$A$86,0),MATCH("Electric energy available [kWh]",'vehicles specifications'!$B$2:$CK$2,0))</f>
        <v>5.6000000000000005</v>
      </c>
    </row>
    <row r="111" spans="1:2" x14ac:dyDescent="0.3">
      <c r="A111" t="s">
        <v>143</v>
      </c>
      <c r="B111" s="2">
        <f>INDEX('vehicles specifications'!$B$3:$CK$86,MATCH(B96,'vehicles specifications'!$A$3:$A$86,0),MATCH("Oxydation energy stored [kWh]",'vehicles specifications'!$B$2:$CK$2,0))</f>
        <v>0</v>
      </c>
    </row>
    <row r="112" spans="1:2" x14ac:dyDescent="0.3">
      <c r="A112" t="s">
        <v>145</v>
      </c>
      <c r="B112">
        <f>INDEX('vehicles specifications'!$B$3:$CK$86,MATCH(B96,'vehicles specifications'!$A$3:$A$86,0),MATCH("Fuel mass [kg]",'vehicles specifications'!$B$2:$CK$2,0))</f>
        <v>0</v>
      </c>
    </row>
    <row r="113" spans="1:8" x14ac:dyDescent="0.3">
      <c r="A113" t="s">
        <v>141</v>
      </c>
      <c r="B113" s="2">
        <f>INDEX('vehicles specifications'!$B$3:$CK$86,MATCH(B96,'vehicles specifications'!$A$3:$A$86,0),MATCH("Range [km]",'vehicles specifications'!$B$2:$CK$2,0))</f>
        <v>110.76923076923079</v>
      </c>
    </row>
    <row r="114" spans="1:8" x14ac:dyDescent="0.3">
      <c r="A114" t="s">
        <v>142</v>
      </c>
      <c r="B114" t="str">
        <f>INDEX('vehicles specifications'!$B$3:$CK$86,MATCH(B96,'vehicles specifications'!$A$3:$A$86,0),MATCH("Emission standard",'vehicles specifications'!$B$2:$CK$2,0))</f>
        <v>None</v>
      </c>
    </row>
    <row r="115" spans="1:8" x14ac:dyDescent="0.3">
      <c r="A115" t="s">
        <v>144</v>
      </c>
      <c r="B115" s="6">
        <f>INDEX('vehicles specifications'!$B$3:$CK$86,MATCH(B96,'vehicles specifications'!$A$3:$A$86,0),MATCH("Lightweighting rate [%]",'vehicles specifications'!$B$2:$CK$2,0))</f>
        <v>0.05</v>
      </c>
    </row>
    <row r="116" spans="1:8" s="21" customFormat="1" x14ac:dyDescent="0.3">
      <c r="A116" s="21" t="s">
        <v>513</v>
      </c>
      <c r="B116" s="6" t="s">
        <v>514</v>
      </c>
    </row>
    <row r="117" spans="1:8" s="21" customFormat="1" x14ac:dyDescent="0.3">
      <c r="A117" s="21" t="s">
        <v>515</v>
      </c>
      <c r="B117" s="2">
        <v>15900</v>
      </c>
    </row>
    <row r="118" spans="1:8" s="21" customFormat="1" x14ac:dyDescent="0.3">
      <c r="A118" s="21" t="s">
        <v>516</v>
      </c>
      <c r="B118" s="2">
        <v>1000</v>
      </c>
    </row>
    <row r="119" spans="1:8" s="21" customFormat="1" x14ac:dyDescent="0.3">
      <c r="A119" s="21"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scooter'!B102</f>
        <v>Power: 4.7 kW. Lifetime: 39800 km. Annual kilometers: 2731 km. Number of passengers: 1.1. Curb mass: 104 kg. Lightweighting of glider: 5%. Emission standard: None. Service visits throughout lifetime: 0.8. Range: 111 km. Battery capacity: 7 kWh. Available battery capacity: 5.6 kWh. Battery mass: 21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0</v>
      </c>
    </row>
    <row r="120" spans="1:8" ht="15.6" x14ac:dyDescent="0.3">
      <c r="A120" s="11" t="s">
        <v>80</v>
      </c>
    </row>
    <row r="121" spans="1:8" x14ac:dyDescent="0.3">
      <c r="A121" t="s">
        <v>81</v>
      </c>
      <c r="B121" t="s">
        <v>82</v>
      </c>
      <c r="C121" t="s">
        <v>73</v>
      </c>
      <c r="D121" t="s">
        <v>77</v>
      </c>
      <c r="E121" t="s">
        <v>83</v>
      </c>
      <c r="F121" t="s">
        <v>75</v>
      </c>
      <c r="G121" t="s">
        <v>84</v>
      </c>
      <c r="H121" t="s">
        <v>74</v>
      </c>
    </row>
    <row r="122" spans="1:8" x14ac:dyDescent="0.3">
      <c r="A122" s="12" t="str">
        <f>B91</f>
        <v>Motorbike, electric, 4-11kW, 2040</v>
      </c>
      <c r="B122" s="12">
        <v>1</v>
      </c>
      <c r="C122" s="12" t="str">
        <f>B92</f>
        <v>CH</v>
      </c>
      <c r="D122" s="12" t="str">
        <f>B99</f>
        <v>unit</v>
      </c>
      <c r="E122" s="12"/>
      <c r="F122" s="12" t="s">
        <v>85</v>
      </c>
      <c r="G122" s="12" t="s">
        <v>86</v>
      </c>
      <c r="H122" s="12" t="str">
        <f>B93</f>
        <v>Motorbike, electric, 4-11kW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65.433826960328489</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s="21" customFormat="1"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3.2716913480164247</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7.8</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13</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21.875</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4.375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manual dismantling of used electric scooter</v>
      </c>
      <c r="B130" s="16">
        <f>INDEX('vehicles specifications'!$B$3:$CK$86,MATCH(B96,'vehicles specifications'!$A$3:$A$86,0),MATCH(G130,'vehicles specifications'!$B$2:$CK$2,0))*INDEX('ei names mapping'!$B$137:$BK$220,MATCH(B96,'ei names mapping'!$A$137:$A$220,0),MATCH(G130,'ei names mapping'!$B$136:$BK$136,0))</f>
        <v>62.162135612312063</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manual dismantling of used electric scooter</v>
      </c>
      <c r="B131" s="16">
        <f>INDEX('vehicles specifications'!$B$3:$CK$86,MATCH(B96,'vehicles specifications'!$A$3:$A$86,0),MATCH(G131,'vehicles specifications'!$B$2:$CK$2,0))*INDEX('ei names mapping'!$B$137:$BK$220,MATCH(B96,'ei names mapping'!$A$137:$A$220,0),MATCH(G131,'ei names mapping'!$B$136:$BK$136,0))</f>
        <v>20.8</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-26.25</v>
      </c>
      <c r="C132" s="12" t="str">
        <f>INDEX('ei names mapping'!$B$38:$R$67,MATCH(B93,'ei names mapping'!$A$4:$A$33,0),MATCH(G132,'ei names mapping'!$B$3:$R$3,0))</f>
        <v>GLO</v>
      </c>
      <c r="D132" s="12" t="str">
        <f>INDEX('ei names mapping'!$B$104:$R$133,MATCH(B93,'ei names mapping'!$A$104:$A$133,0),MATCH(G132,'ei names mapping'!$B$3:$R$3,0))</f>
        <v>kilogram</v>
      </c>
      <c r="E132" s="12"/>
      <c r="F132" s="12" t="s">
        <v>91</v>
      </c>
      <c r="G132" t="s">
        <v>152</v>
      </c>
      <c r="H132" s="12" t="str">
        <f>INDEX('ei names mapping'!$B$71:$R$100,MATCH(B93,'ei names mapping'!$A$4:$A$33,0),MATCH(G132,'ei names mapping'!$B$3:$R$3,0))</f>
        <v>used Li-ion battery</v>
      </c>
    </row>
    <row r="133" spans="1:8" s="21" customFormat="1" x14ac:dyDescent="0.3">
      <c r="A133" s="22" t="s">
        <v>468</v>
      </c>
      <c r="B133" s="21">
        <f>(B106/1000)*B118</f>
        <v>103.96213561231207</v>
      </c>
      <c r="C133" s="21" t="s">
        <v>94</v>
      </c>
      <c r="D133" s="21" t="s">
        <v>243</v>
      </c>
      <c r="F133" s="21" t="s">
        <v>91</v>
      </c>
      <c r="H133" s="22" t="s">
        <v>469</v>
      </c>
    </row>
    <row r="134" spans="1:8" s="21" customFormat="1" x14ac:dyDescent="0.3">
      <c r="A134" s="22" t="s">
        <v>467</v>
      </c>
      <c r="B134" s="2">
        <f>(B106/1000)*B117</f>
        <v>1652.9979562357619</v>
      </c>
      <c r="C134" s="21" t="s">
        <v>98</v>
      </c>
      <c r="D134" s="21" t="s">
        <v>243</v>
      </c>
      <c r="F134" s="21" t="s">
        <v>91</v>
      </c>
      <c r="H134" s="22" t="s">
        <v>467</v>
      </c>
    </row>
    <row r="136" spans="1:8" ht="15.6" x14ac:dyDescent="0.3">
      <c r="A136" s="11" t="s">
        <v>72</v>
      </c>
      <c r="B136" s="9" t="str">
        <f>B138&amp;", "&amp;B140</f>
        <v>Motorbike, electric, 4-11kW, 2050</v>
      </c>
    </row>
    <row r="137" spans="1:8" x14ac:dyDescent="0.3">
      <c r="A137" t="s">
        <v>73</v>
      </c>
      <c r="B137" t="s">
        <v>37</v>
      </c>
    </row>
    <row r="138" spans="1:8" x14ac:dyDescent="0.3">
      <c r="A138" t="s">
        <v>87</v>
      </c>
      <c r="B138" t="s">
        <v>521</v>
      </c>
    </row>
    <row r="139" spans="1:8" x14ac:dyDescent="0.3">
      <c r="A139" t="s">
        <v>88</v>
      </c>
      <c r="B139" s="12"/>
    </row>
    <row r="140" spans="1:8" x14ac:dyDescent="0.3">
      <c r="A140" t="s">
        <v>89</v>
      </c>
      <c r="B140" s="12">
        <v>2050</v>
      </c>
    </row>
    <row r="141" spans="1:8" x14ac:dyDescent="0.3">
      <c r="A141" t="s">
        <v>131</v>
      </c>
      <c r="B141" s="12" t="str">
        <f>B138&amp;" - "&amp;B140&amp;" - "&amp;B137</f>
        <v>Motorbike, electric, 4-11kW - 2050 - CH</v>
      </c>
    </row>
    <row r="142" spans="1:8" x14ac:dyDescent="0.3">
      <c r="A142" t="s">
        <v>74</v>
      </c>
      <c r="B142" t="str">
        <f>B138</f>
        <v>Motorbike, electric, 4-11kW</v>
      </c>
    </row>
    <row r="143" spans="1:8" x14ac:dyDescent="0.3">
      <c r="A143" t="s">
        <v>75</v>
      </c>
      <c r="B143" t="s">
        <v>76</v>
      </c>
    </row>
    <row r="144" spans="1:8" x14ac:dyDescent="0.3">
      <c r="A144" t="s">
        <v>77</v>
      </c>
      <c r="B144" t="s">
        <v>77</v>
      </c>
    </row>
    <row r="145" spans="1:2" x14ac:dyDescent="0.3">
      <c r="A145" t="s">
        <v>79</v>
      </c>
      <c r="B145" t="s">
        <v>90</v>
      </c>
    </row>
    <row r="146" spans="1:2" x14ac:dyDescent="0.3">
      <c r="A146" t="s">
        <v>132</v>
      </c>
      <c r="B146">
        <f>INDEX('vehicles specifications'!$B$3:$CK$86,MATCH(B141,'vehicles specifications'!$A$3:$A$86,0),MATCH("Lifetime [km]",'vehicles specifications'!$B$2:$CK$2,0))</f>
        <v>39800</v>
      </c>
    </row>
    <row r="147" spans="1:2" x14ac:dyDescent="0.3">
      <c r="A147" t="s">
        <v>133</v>
      </c>
      <c r="B147">
        <f>INDEX('vehicles specifications'!$B$3:$CK$86,MATCH(B141,'vehicles specifications'!$A$3:$A$86,0),MATCH("Passengers [unit]",'vehicles specifications'!$B$2:$CK$2,0))</f>
        <v>1.1000000000000001</v>
      </c>
    </row>
    <row r="148" spans="1:2" x14ac:dyDescent="0.3">
      <c r="A148" t="s">
        <v>134</v>
      </c>
      <c r="B148">
        <f>INDEX('vehicles specifications'!$B$3:$CK$86,MATCH(B141,'vehicles specifications'!$A$3:$A$86,0),MATCH("Servicing [unit]",'vehicles specifications'!$B$2:$CK$2,0))</f>
        <v>0.79600000000000004</v>
      </c>
    </row>
    <row r="149" spans="1:2" x14ac:dyDescent="0.3">
      <c r="A149" t="s">
        <v>135</v>
      </c>
      <c r="B149">
        <f>INDEX('vehicles specifications'!$B$3:$CK$86,MATCH(B141,'vehicles specifications'!$A$3:$A$86,0),MATCH("Energy battery replacement [unit]",'vehicles specifications'!$B$2:$CK$2,0))</f>
        <v>0</v>
      </c>
    </row>
    <row r="150" spans="1:2" x14ac:dyDescent="0.3">
      <c r="A150" t="s">
        <v>136</v>
      </c>
      <c r="B150">
        <f>INDEX('vehicles specifications'!$B$3:$CK$86,MATCH(B141,'vehicles specifications'!$A$3:$A$86,0),MATCH("Annual kilometers [km]",'vehicles specifications'!$B$2:$CK$2,0))</f>
        <v>2731</v>
      </c>
    </row>
    <row r="151" spans="1:2" x14ac:dyDescent="0.3">
      <c r="A151" t="s">
        <v>137</v>
      </c>
      <c r="B151" s="2">
        <f>INDEX('vehicles specifications'!$B$3:$CK$86,MATCH(B141,'vehicles specifications'!$A$3:$A$86,0),MATCH("Curb mass [kg]",'vehicles specifications'!$B$2:$CK$2,0))</f>
        <v>104.45345907310549</v>
      </c>
    </row>
    <row r="152" spans="1:2" x14ac:dyDescent="0.3">
      <c r="A152" t="s">
        <v>138</v>
      </c>
      <c r="B152">
        <f>INDEX('vehicles specifications'!$B$3:$CK$86,MATCH(B141,'vehicles specifications'!$A$3:$A$86,0),MATCH("Power [kW]",'vehicles specifications'!$B$2:$CK$2,0))</f>
        <v>4.7</v>
      </c>
    </row>
    <row r="153" spans="1:2" x14ac:dyDescent="0.3">
      <c r="A153" t="s">
        <v>139</v>
      </c>
      <c r="B153">
        <f>INDEX('vehicles specifications'!$B$3:$CK$86,MATCH(B141,'vehicles specifications'!$A$3:$A$86,0),MATCH("Energy battery mass [kg]",'vehicles specifications'!$B$2:$CK$2,0))</f>
        <v>22.8</v>
      </c>
    </row>
    <row r="154" spans="1:2" x14ac:dyDescent="0.3">
      <c r="A154" t="s">
        <v>140</v>
      </c>
      <c r="B154" s="21">
        <f>INDEX('vehicles specifications'!$B$3:$CK$86,MATCH(B141,'vehicles specifications'!$A$3:$A$86,0),MATCH("Electric energy stored [kWh]",'vehicles specifications'!$B$2:$CK$2,0))</f>
        <v>9.5</v>
      </c>
    </row>
    <row r="155" spans="1:2" s="21" customFormat="1" x14ac:dyDescent="0.3">
      <c r="A155" s="21" t="s">
        <v>654</v>
      </c>
      <c r="B155" s="21">
        <f>INDEX('vehicles specifications'!$B$3:$CK$86,MATCH(B141,'vehicles specifications'!$A$3:$A$86,0),MATCH("Electric energy available [kWh]",'vehicles specifications'!$B$2:$CK$2,0))</f>
        <v>7.6000000000000005</v>
      </c>
    </row>
    <row r="156" spans="1:2" x14ac:dyDescent="0.3">
      <c r="A156" t="s">
        <v>143</v>
      </c>
      <c r="B156" s="2">
        <f>INDEX('vehicles specifications'!$B$3:$CK$86,MATCH(B141,'vehicles specifications'!$A$3:$A$86,0),MATCH("Oxydation energy stored [kWh]",'vehicles specifications'!$B$2:$CK$2,0))</f>
        <v>0</v>
      </c>
    </row>
    <row r="157" spans="1:2" x14ac:dyDescent="0.3">
      <c r="A157" t="s">
        <v>145</v>
      </c>
      <c r="B157">
        <f>INDEX('vehicles specifications'!$B$3:$CK$86,MATCH(B141,'vehicles specifications'!$A$3:$A$86,0),MATCH("Fuel mass [kg]",'vehicles specifications'!$B$2:$CK$2,0))</f>
        <v>0</v>
      </c>
    </row>
    <row r="158" spans="1:2" x14ac:dyDescent="0.3">
      <c r="A158" t="s">
        <v>141</v>
      </c>
      <c r="B158" s="2">
        <f>INDEX('vehicles specifications'!$B$3:$CK$86,MATCH(B141,'vehicles specifications'!$A$3:$A$86,0),MATCH("Range [km]",'vehicles specifications'!$B$2:$CK$2,0))</f>
        <v>150.32967032967034</v>
      </c>
    </row>
    <row r="159" spans="1:2" x14ac:dyDescent="0.3">
      <c r="A159" t="s">
        <v>142</v>
      </c>
      <c r="B159" t="str">
        <f>INDEX('vehicles specifications'!$B$3:$CK$86,MATCH(B141,'vehicles specifications'!$A$3:$A$86,0),MATCH("Emission standard",'vehicles specifications'!$B$2:$CK$2,0))</f>
        <v>None</v>
      </c>
    </row>
    <row r="160" spans="1:2" x14ac:dyDescent="0.3">
      <c r="A160" t="s">
        <v>144</v>
      </c>
      <c r="B160" s="6">
        <f>INDEX('vehicles specifications'!$B$3:$CK$86,MATCH(B141,'vehicles specifications'!$A$3:$A$86,0),MATCH("Lightweighting rate [%]",'vehicles specifications'!$B$2:$CK$2,0))</f>
        <v>7.0000000000000007E-2</v>
      </c>
    </row>
    <row r="161" spans="1:8" s="21" customFormat="1" x14ac:dyDescent="0.3">
      <c r="A161" s="21" t="s">
        <v>513</v>
      </c>
      <c r="B161" s="6" t="s">
        <v>514</v>
      </c>
    </row>
    <row r="162" spans="1:8" s="21" customFormat="1" x14ac:dyDescent="0.3">
      <c r="A162" s="21" t="s">
        <v>515</v>
      </c>
      <c r="B162" s="2">
        <v>15900</v>
      </c>
    </row>
    <row r="163" spans="1:8" s="21" customFormat="1" x14ac:dyDescent="0.3">
      <c r="A163" s="21" t="s">
        <v>516</v>
      </c>
      <c r="B163" s="2">
        <v>1000</v>
      </c>
    </row>
    <row r="164" spans="1:8" s="21" customFormat="1" x14ac:dyDescent="0.3">
      <c r="A164" s="21"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scooter'!B148</f>
        <v>Power: 4.7 kW. Lifetime: 39800 km. Annual kilometers: 2731 km. Number of passengers: 1.1. Curb mass: 104.5 kg. Lightweighting of glider: 7%. Emission standard: None. Service visits throughout lifetime: 0.8. Range: 150 km. Battery capacity: 9.5 kWh. Available battery capacity: 7.6 kWh. Battery mass: 22.8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0.25</v>
      </c>
    </row>
    <row r="165" spans="1:8" ht="15.6" x14ac:dyDescent="0.3">
      <c r="A165" s="11" t="s">
        <v>80</v>
      </c>
    </row>
    <row r="166" spans="1:8" x14ac:dyDescent="0.3">
      <c r="A166" t="s">
        <v>81</v>
      </c>
      <c r="B166" t="s">
        <v>82</v>
      </c>
      <c r="C166" t="s">
        <v>73</v>
      </c>
      <c r="D166" t="s">
        <v>77</v>
      </c>
      <c r="E166" t="s">
        <v>83</v>
      </c>
      <c r="F166" t="s">
        <v>75</v>
      </c>
      <c r="G166" t="s">
        <v>84</v>
      </c>
      <c r="H166" t="s">
        <v>74</v>
      </c>
    </row>
    <row r="167" spans="1:8" x14ac:dyDescent="0.3">
      <c r="A167" s="12" t="str">
        <f>B136</f>
        <v>Motorbike, electric, 4-11kW, 2050</v>
      </c>
      <c r="B167" s="12">
        <v>1</v>
      </c>
      <c r="C167" s="12" t="str">
        <f>B137</f>
        <v>CH</v>
      </c>
      <c r="D167" s="12" t="str">
        <f>B144</f>
        <v>unit</v>
      </c>
      <c r="E167" s="12"/>
      <c r="F167" s="12" t="s">
        <v>85</v>
      </c>
      <c r="G167" s="12" t="s">
        <v>86</v>
      </c>
      <c r="H167" s="12" t="str">
        <f>B138</f>
        <v>Motorbike, electric, 4-11kW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65.433826960328489</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s="21" customFormat="1"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4.5803678872229945</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7.8</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13</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19</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3.8000000000000003</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manual dismantling of used electric scooter</v>
      </c>
      <c r="B175" s="16">
        <f>INDEX('vehicles specifications'!$B$3:$CK$86,MATCH(B141,'vehicles specifications'!$A$3:$A$86,0),MATCH(G175,'vehicles specifications'!$B$2:$CK$2,0))*INDEX('ei names mapping'!$B$137:$BK$220,MATCH(B141,'ei names mapping'!$A$137:$A$220,0),MATCH(G175,'ei names mapping'!$B$136:$BK$136,0))</f>
        <v>60.853459073105491</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manual dismantling of used electric scooter</v>
      </c>
      <c r="B176" s="16">
        <f>INDEX('vehicles specifications'!$B$3:$CK$86,MATCH(B141,'vehicles specifications'!$A$3:$A$86,0),MATCH(G176,'vehicles specifications'!$B$2:$CK$2,0))*INDEX('ei names mapping'!$B$137:$BK$220,MATCH(B141,'ei names mapping'!$A$137:$A$220,0),MATCH(G176,'ei names mapping'!$B$136:$BK$136,0))</f>
        <v>20.8</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-22.8</v>
      </c>
      <c r="C177" s="12" t="str">
        <f>INDEX('ei names mapping'!$B$38:$R$67,MATCH(B138,'ei names mapping'!$A$4:$A$33,0),MATCH(G177,'ei names mapping'!$B$3:$R$3,0))</f>
        <v>GLO</v>
      </c>
      <c r="D177" s="12" t="str">
        <f>INDEX('ei names mapping'!$B$104:$R$133,MATCH(B138,'ei names mapping'!$A$104:$A$133,0),MATCH(G177,'ei names mapping'!$B$3:$R$3,0))</f>
        <v>kilogram</v>
      </c>
      <c r="E177" s="12"/>
      <c r="F177" s="12" t="s">
        <v>91</v>
      </c>
      <c r="G177" t="s">
        <v>152</v>
      </c>
      <c r="H177" s="12" t="str">
        <f>INDEX('ei names mapping'!$B$71:$R$100,MATCH(B138,'ei names mapping'!$A$4:$A$33,0),MATCH(G177,'ei names mapping'!$B$3:$R$3,0))</f>
        <v>used Li-ion battery</v>
      </c>
    </row>
    <row r="178" spans="1:8" s="21" customFormat="1" x14ac:dyDescent="0.3">
      <c r="A178" s="22" t="s">
        <v>468</v>
      </c>
      <c r="B178" s="21">
        <f>(B151/1000)*B163</f>
        <v>104.45345907310549</v>
      </c>
      <c r="C178" s="21" t="s">
        <v>94</v>
      </c>
      <c r="D178" s="21" t="s">
        <v>243</v>
      </c>
      <c r="F178" s="21" t="s">
        <v>91</v>
      </c>
      <c r="H178" s="22" t="s">
        <v>469</v>
      </c>
    </row>
    <row r="179" spans="1:8" s="21" customFormat="1" x14ac:dyDescent="0.3">
      <c r="A179" s="22" t="s">
        <v>467</v>
      </c>
      <c r="B179" s="2">
        <f>(B151/1000)*B162</f>
        <v>1660.8099992623772</v>
      </c>
      <c r="C179" s="21" t="s">
        <v>98</v>
      </c>
      <c r="D179" s="21" t="s">
        <v>243</v>
      </c>
      <c r="F179" s="21" t="s">
        <v>91</v>
      </c>
      <c r="H179" s="22" t="s">
        <v>467</v>
      </c>
    </row>
    <row r="180" spans="1:8" x14ac:dyDescent="0.3">
      <c r="B180" s="2"/>
    </row>
    <row r="181" spans="1:8" ht="15.6" x14ac:dyDescent="0.3">
      <c r="A181" s="11" t="s">
        <v>72</v>
      </c>
      <c r="B181" s="9" t="str">
        <f>"transport, "&amp;B183&amp;", "&amp;B185</f>
        <v>transport, Motorbike, electric, 4-11kW, 2020</v>
      </c>
    </row>
    <row r="182" spans="1:8" x14ac:dyDescent="0.3">
      <c r="A182" t="s">
        <v>73</v>
      </c>
      <c r="B182" t="s">
        <v>37</v>
      </c>
    </row>
    <row r="183" spans="1:8" x14ac:dyDescent="0.3">
      <c r="A183" t="s">
        <v>87</v>
      </c>
      <c r="B183" t="s">
        <v>521</v>
      </c>
    </row>
    <row r="184" spans="1:8" x14ac:dyDescent="0.3">
      <c r="A184" t="s">
        <v>88</v>
      </c>
      <c r="B184" s="12"/>
    </row>
    <row r="185" spans="1:8" x14ac:dyDescent="0.3">
      <c r="A185" t="s">
        <v>89</v>
      </c>
      <c r="B185" s="12">
        <v>2020</v>
      </c>
    </row>
    <row r="186" spans="1:8" x14ac:dyDescent="0.3">
      <c r="A186" t="s">
        <v>131</v>
      </c>
      <c r="B186" s="12" t="str">
        <f>B183&amp;" - "&amp;B185&amp;" - "&amp;B182</f>
        <v>Motorbike, electric, 4-11kW - 2020 - CH</v>
      </c>
    </row>
    <row r="187" spans="1:8" x14ac:dyDescent="0.3">
      <c r="A187" t="s">
        <v>74</v>
      </c>
      <c r="B187" s="12" t="str">
        <f>"transport, "&amp;B183</f>
        <v>transport, Motorbike, electric, 4-11kW</v>
      </c>
    </row>
    <row r="188" spans="1:8" x14ac:dyDescent="0.3">
      <c r="A188" t="s">
        <v>75</v>
      </c>
      <c r="B188" t="s">
        <v>76</v>
      </c>
    </row>
    <row r="189" spans="1:8" x14ac:dyDescent="0.3">
      <c r="A189" t="s">
        <v>77</v>
      </c>
      <c r="B189" t="s">
        <v>172</v>
      </c>
    </row>
    <row r="190" spans="1:8" x14ac:dyDescent="0.3">
      <c r="A190" t="s">
        <v>79</v>
      </c>
      <c r="B190" t="s">
        <v>90</v>
      </c>
    </row>
    <row r="191" spans="1:8" x14ac:dyDescent="0.3">
      <c r="A191" t="s">
        <v>132</v>
      </c>
      <c r="B191">
        <f>INDEX('vehicles specifications'!$B$3:$CK$86,MATCH(B186,'vehicles specifications'!$A$3:$A$86,0),MATCH("Lifetime [km]",'vehicles specifications'!$B$2:$CK$2,0))</f>
        <v>39800</v>
      </c>
    </row>
    <row r="192" spans="1:8" x14ac:dyDescent="0.3">
      <c r="A192" t="s">
        <v>133</v>
      </c>
      <c r="B192">
        <f>INDEX('vehicles specifications'!$B$3:$CK$86,MATCH(B186,'vehicles specifications'!$A$3:$A$86,0),MATCH("Passengers [unit]",'vehicles specifications'!$B$2:$CK$2,0))</f>
        <v>1.1000000000000001</v>
      </c>
    </row>
    <row r="193" spans="1:8" x14ac:dyDescent="0.3">
      <c r="A193" t="s">
        <v>134</v>
      </c>
      <c r="B193">
        <f>INDEX('vehicles specifications'!$B$3:$CK$86,MATCH(B186,'vehicles specifications'!$A$3:$A$86,0),MATCH("Servicing [unit]",'vehicles specifications'!$B$2:$CK$2,0))</f>
        <v>0.79600000000000004</v>
      </c>
    </row>
    <row r="194" spans="1:8" x14ac:dyDescent="0.3">
      <c r="A194" t="s">
        <v>135</v>
      </c>
      <c r="B194">
        <f>INDEX('vehicles specifications'!$B$3:$CK$86,MATCH(B186,'vehicles specifications'!$A$3:$A$86,0),MATCH("Energy battery replacement [unit]",'vehicles specifications'!$B$2:$CK$2,0))</f>
        <v>1</v>
      </c>
    </row>
    <row r="195" spans="1:8" x14ac:dyDescent="0.3">
      <c r="A195" t="s">
        <v>136</v>
      </c>
      <c r="B195">
        <f>INDEX('vehicles specifications'!$B$3:$CK$86,MATCH(B186,'vehicles specifications'!$A$3:$A$86,0),MATCH("Annual kilometers [km]",'vehicles specifications'!$B$2:$CK$2,0))</f>
        <v>2731</v>
      </c>
    </row>
    <row r="196" spans="1:8" x14ac:dyDescent="0.3">
      <c r="A196" t="s">
        <v>137</v>
      </c>
      <c r="B196" s="2">
        <f>INDEX('vehicles specifications'!$B$3:$CK$86,MATCH(B186,'vehicles specifications'!$A$3:$A$86,0),MATCH("Curb mass [kg]",'vehicles specifications'!$B$2:$CK$2,0))</f>
        <v>103.63382696032849</v>
      </c>
    </row>
    <row r="197" spans="1:8" x14ac:dyDescent="0.3">
      <c r="A197" t="s">
        <v>138</v>
      </c>
      <c r="B197">
        <f>INDEX('vehicles specifications'!$B$3:$CK$86,MATCH(B186,'vehicles specifications'!$A$3:$A$86,0),MATCH("Power [kW]",'vehicles specifications'!$B$2:$CK$2,0))</f>
        <v>4.7</v>
      </c>
    </row>
    <row r="198" spans="1:8" x14ac:dyDescent="0.3">
      <c r="A198" t="s">
        <v>139</v>
      </c>
      <c r="B198">
        <f>INDEX('vehicles specifications'!$B$3:$CK$86,MATCH(B186,'vehicles specifications'!$A$3:$A$86,0),MATCH("Energy battery mass [kg]",'vehicles specifications'!$B$2:$CK$2,0))</f>
        <v>17.399999999999999</v>
      </c>
    </row>
    <row r="199" spans="1:8" x14ac:dyDescent="0.3">
      <c r="A199" t="s">
        <v>140</v>
      </c>
      <c r="B199" s="21">
        <f>INDEX('vehicles specifications'!$B$3:$CK$86,MATCH(B186,'vehicles specifications'!$A$3:$A$86,0),MATCH("Electric energy stored [kWh]",'vehicles specifications'!$B$2:$CK$2,0))</f>
        <v>2.9</v>
      </c>
    </row>
    <row r="200" spans="1:8" s="21" customFormat="1" x14ac:dyDescent="0.3">
      <c r="A200" s="21" t="s">
        <v>654</v>
      </c>
      <c r="B200" s="21">
        <f>INDEX('vehicles specifications'!$B$3:$CK$86,MATCH(B186,'vehicles specifications'!$A$3:$A$86,0),MATCH("Electric energy available [kWh]",'vehicles specifications'!$B$2:$CK$2,0))</f>
        <v>2.3199999999999998</v>
      </c>
    </row>
    <row r="201" spans="1:8" x14ac:dyDescent="0.3">
      <c r="A201" t="s">
        <v>143</v>
      </c>
      <c r="B201" s="2">
        <f>INDEX('vehicles specifications'!$B$3:$CK$86,MATCH(B186,'vehicles specifications'!$A$3:$A$86,0),MATCH("Oxydation energy stored [kWh]",'vehicles specifications'!$B$2:$CK$2,0))</f>
        <v>0</v>
      </c>
    </row>
    <row r="202" spans="1:8" x14ac:dyDescent="0.3">
      <c r="A202" t="s">
        <v>145</v>
      </c>
      <c r="B202">
        <f>INDEX('vehicles specifications'!$B$3:$CK$86,MATCH(B186,'vehicles specifications'!$A$3:$A$86,0),MATCH("Fuel mass [kg]",'vehicles specifications'!$B$2:$CK$2,0))</f>
        <v>0</v>
      </c>
    </row>
    <row r="203" spans="1:8" x14ac:dyDescent="0.3">
      <c r="A203" t="s">
        <v>141</v>
      </c>
      <c r="B203" s="2">
        <f>INDEX('vehicles specifications'!$B$3:$CK$86,MATCH(B186,'vehicles specifications'!$A$3:$A$86,0),MATCH("Range [km]",'vehicles specifications'!$B$2:$CK$2,0))</f>
        <v>45.890109890109891</v>
      </c>
    </row>
    <row r="204" spans="1:8" x14ac:dyDescent="0.3">
      <c r="A204" t="s">
        <v>142</v>
      </c>
      <c r="B204" t="str">
        <f>INDEX('vehicles specifications'!$B$3:$CK$86,MATCH(B186,'vehicles specifications'!$A$3:$A$86,0),MATCH("Emission standard",'vehicles specifications'!$B$2:$CK$2,0))</f>
        <v>None</v>
      </c>
    </row>
    <row r="205" spans="1:8" x14ac:dyDescent="0.3">
      <c r="A205" t="s">
        <v>144</v>
      </c>
      <c r="B205" s="6">
        <f>INDEX('vehicles specifications'!$B$3:$CK$86,MATCH(B186,'vehicles specifications'!$A$3:$A$86,0),MATCH("Lightweighting rate [%]",'vehicles specifications'!$B$2:$CK$2,0))</f>
        <v>0</v>
      </c>
    </row>
    <row r="206" spans="1:8" x14ac:dyDescent="0.3">
      <c r="A206"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"&amp;'lci-kick scooter'!B149</f>
        <v>Power: 4.7 kW. Lifetime: 39800 km. Annual kilometers: 2731 km. Number of passengers: 1.1. Curb mass: 103.6 kg. Lightweighting of glider: 0%. Emission standard: None. Service visits throughout lifetime: 0.8. Range: 46 km. Battery capacity: 2.9 kWh. Available battery capacity: 2.32 kWh. Battery mass: 17.4 kg. Battery replacement throughout lifetime: 1. Fuel tank capacity: 0 kWh. Fuel mass: 0 kg. Documentation: 2021 UVEK life-cycle inventories update of on-road vehicles, Sacchi R. (PSI), Bauer C. (PSI), 2021. 2.6</v>
      </c>
    </row>
    <row r="207" spans="1:8" ht="15.6" x14ac:dyDescent="0.3">
      <c r="A207" s="11" t="s">
        <v>80</v>
      </c>
    </row>
    <row r="208" spans="1:8" x14ac:dyDescent="0.3">
      <c r="A208" t="s">
        <v>81</v>
      </c>
      <c r="B208" t="s">
        <v>82</v>
      </c>
      <c r="C208" t="s">
        <v>73</v>
      </c>
      <c r="D208" t="s">
        <v>77</v>
      </c>
      <c r="E208" t="s">
        <v>83</v>
      </c>
      <c r="F208" t="s">
        <v>75</v>
      </c>
      <c r="G208" t="s">
        <v>84</v>
      </c>
      <c r="H208" t="s">
        <v>74</v>
      </c>
    </row>
    <row r="209" spans="1:8" x14ac:dyDescent="0.3">
      <c r="A209" s="12" t="str">
        <f>B181</f>
        <v>transport, Motorbike, electric, 4-11kW, 2020</v>
      </c>
      <c r="B209" s="12">
        <v>1</v>
      </c>
      <c r="C209" s="12" t="str">
        <f>B182</f>
        <v>CH</v>
      </c>
      <c r="D209" s="12" t="s">
        <v>172</v>
      </c>
      <c r="E209" s="12"/>
      <c r="F209" s="12" t="s">
        <v>85</v>
      </c>
      <c r="G209" s="12" t="s">
        <v>86</v>
      </c>
      <c r="H209" s="12" t="str">
        <f>B187</f>
        <v>transport, Motorbike, electric, 4-11kW</v>
      </c>
    </row>
    <row r="210" spans="1:8" x14ac:dyDescent="0.3">
      <c r="A210" s="12" t="str">
        <f>RIGHT(A209,LEN(A209)-11)</f>
        <v>Motorbike, electric, 4-11kW, 2020</v>
      </c>
      <c r="B210" s="15">
        <f>1/B191</f>
        <v>2.5125628140703518E-5</v>
      </c>
      <c r="C210" s="12" t="str">
        <f>B182</f>
        <v>CH</v>
      </c>
      <c r="D210" s="12" t="s">
        <v>77</v>
      </c>
      <c r="E210" s="12"/>
      <c r="F210" s="12" t="s">
        <v>91</v>
      </c>
      <c r="G210" s="12"/>
      <c r="H210" s="12" t="str">
        <f>RIGHT(H209,LEN(H209)-11)</f>
        <v>Motorbike, electric, 4-11kW</v>
      </c>
    </row>
    <row r="211" spans="1:8" x14ac:dyDescent="0.3">
      <c r="A211" s="12" t="str">
        <f>INDEX('ei names mapping'!$B$4:$R$33,MATCH(B183,'ei names mapping'!$A$4:$A$33,0),MATCH(G211,'ei names mapping'!$B$3:$R$3,0))</f>
        <v>road maintenance</v>
      </c>
      <c r="B211" s="16">
        <f>INDEX('vehicles specifications'!$B$3:$CK$86,MATCH(B186,'vehicles specifications'!$A$3:$A$86,0),MATCH(G211,'vehicles specifications'!$B$2:$CK$2,0))*INDEX('ei names mapping'!$B$137:$BK$220,MATCH(B186,'ei names mapping'!$A$137:$A$220,0),MATCH(G211,'ei names mapping'!$B$136:$BK$136,0))</f>
        <v>1.2899999999999999E-3</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t="s">
        <v>117</v>
      </c>
      <c r="H211" s="12" t="str">
        <f>INDEX('ei names mapping'!$B$71:$BK$100,MATCH(B183,'ei names mapping'!$A$4:$A$33,0),MATCH(G211,'ei names mapping'!$B$3:$BK$3,0))</f>
        <v>road maintenance</v>
      </c>
    </row>
    <row r="212" spans="1:8" x14ac:dyDescent="0.3">
      <c r="A212" s="12" t="str">
        <f>INDEX('ei names mapping'!$B$4:$R$33,MATCH(B183,'ei names mapping'!$A$4:$A$33,0),MATCH(G212,'ei names mapping'!$B$3:$R$3,0))</f>
        <v>market for electricity, low voltage</v>
      </c>
      <c r="B212" s="14">
        <f>INDEX('vehicles specifications'!$B$3:$CK$86,MATCH(B186,'vehicles specifications'!$A$3:$A$86,0),MATCH(G212,'vehicles specifications'!$B$2:$CK$2,0))*INDEX('ei names mapping'!$B$137:$BK$220,MATCH(B186,'ei names mapping'!$A$137:$A$220,0),MATCH(G212,'ei names mapping'!$B$136:$BK$136,0))</f>
        <v>5.5611111111111111E-2</v>
      </c>
      <c r="C212" s="12" t="str">
        <f>INDEX('ei names mapping'!$B$38:$R$67,MATCH($B$3,'ei names mapping'!$A$4:$A$33,0),MATCH(G212,'ei names mapping'!$B$3:$R$3,0))</f>
        <v>CH</v>
      </c>
      <c r="D212" s="12" t="str">
        <f>INDEX('ei names mapping'!$B$104:$R$133,MATCH($B$3,'ei names mapping'!$A$4:$A$33,0),MATCH(G212,'ei names mapping'!$B$3:$R$3,0))</f>
        <v>kilowatt hour</v>
      </c>
      <c r="E212" s="12"/>
      <c r="F212" s="12" t="s">
        <v>91</v>
      </c>
      <c r="G212" t="s">
        <v>28</v>
      </c>
      <c r="H212" s="12" t="str">
        <f>INDEX('ei names mapping'!$B$71:$R$100,MATCH(B183,'ei names mapping'!$A$4:$A$33,0),MATCH(G212,'ei names mapping'!$B$3:$R$3,0))</f>
        <v>electricity, low voltage</v>
      </c>
    </row>
    <row r="213" spans="1:8" x14ac:dyDescent="0.3">
      <c r="A213" s="12" t="str">
        <f>INDEX('ei names mapping'!$B$4:$R$33,MATCH(B183,'ei names mapping'!$A$4:$A$33,0),MATCH(G213,'ei names mapping'!$B$3:$R$3,0))</f>
        <v>market for maintenance, electric scooter, without battery</v>
      </c>
      <c r="B213" s="16">
        <f>INDEX('vehicles specifications'!$B$3:$CK$86,MATCH(B186,'vehicles specifications'!$A$3:$A$86,0),MATCH(G213,'vehicles specifications'!$B$2:$CK$2,0))*INDEX('ei names mapping'!$B$137:$BK$220,MATCH(B186,'ei names mapping'!$A$137:$A$220,0),MATCH(G213,'ei names mapping'!$B$136:$BK$136,0))</f>
        <v>2.0000000000000002E-5</v>
      </c>
      <c r="C213" s="12" t="str">
        <f>INDEX('ei names mapping'!$B$38:$BK$67,MATCH(B183,'ei names mapping'!$A$4:$A$33,0),MATCH(G213,'ei names mapping'!$B$3:$BK$3,0))</f>
        <v>GLO</v>
      </c>
      <c r="D213" s="12" t="str">
        <f>INDEX('ei names mapping'!$B$104:$BK$133,MATCH(B183,'ei names mapping'!$A$4:$A$33,0),MATCH(G213,'ei names mapping'!$B$3:$BK$3,0))</f>
        <v>unit</v>
      </c>
      <c r="F213" s="12" t="s">
        <v>91</v>
      </c>
      <c r="G213" s="12" t="s">
        <v>123</v>
      </c>
      <c r="H213" s="12" t="str">
        <f>INDEX('ei names mapping'!$B$71:$BK$100,MATCH(B183,'ei names mapping'!$A$4:$A$33,0),MATCH(G213,'ei names mapping'!$B$3:$BK$3,0))</f>
        <v>maintenance, electric scooter, without battery</v>
      </c>
    </row>
    <row r="214" spans="1:8" s="21" customFormat="1" x14ac:dyDescent="0.3">
      <c r="A214" s="12" t="str">
        <f>INDEX('ei names mapping'!$B$4:$R$33,MATCH(B183,'ei names mapping'!$A$4:$A$33,0),MATCH(G214,'ei names mapping'!$B$3:$R$3,0))</f>
        <v>road construction</v>
      </c>
      <c r="B214" s="16">
        <f>INDEX('vehicles specifications'!$B$3:$CK$86,MATCH(B186,'vehicles specifications'!$A$3:$A$86,0),MATCH(G214,'vehicles specifications'!$B$2:$CK$2,0))*INDEX('ei names mapping'!$B$137:$BK$220,MATCH(B186,'ei names mapping'!$A$137:$A$220,0),MATCH(G214,'ei names mapping'!$B$136:$BK$136,0))</f>
        <v>1.002223650776964E-4</v>
      </c>
      <c r="C214" s="12" t="str">
        <f>INDEX('ei names mapping'!$B$38:$R$67,MATCH(B183,'ei names mapping'!$A$4:$A$33,0),MATCH(G214,'ei names mapping'!$B$3:$R$3,0))</f>
        <v>CH</v>
      </c>
      <c r="D214" s="12" t="str">
        <f>INDEX('ei names mapping'!$B$104:$R$133,MATCH(B183,'ei names mapping'!$A$104:$A$133,0),MATCH(G214,'ei names mapping'!$B$3:$R$3,0))</f>
        <v>meter-year</v>
      </c>
      <c r="E214" s="12"/>
      <c r="F214" s="12" t="s">
        <v>91</v>
      </c>
      <c r="G214" s="21" t="s">
        <v>108</v>
      </c>
      <c r="H214" s="12" t="str">
        <f>INDEX('ei names mapping'!$B$71:$R$100,MATCH(B183,'ei names mapping'!$A$4:$A$33,0),MATCH(G214,'ei names mapping'!$B$3:$R$3,0))</f>
        <v>road</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-7.3669999999999991E-6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-4.1749999999999998E-6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Motorbike, electric, 4-11kW, 2030</v>
      </c>
    </row>
    <row r="220" spans="1:8" x14ac:dyDescent="0.3">
      <c r="A220" t="s">
        <v>73</v>
      </c>
      <c r="B220" t="s">
        <v>37</v>
      </c>
    </row>
    <row r="221" spans="1:8" x14ac:dyDescent="0.3">
      <c r="A221" t="s">
        <v>87</v>
      </c>
      <c r="B221" t="s">
        <v>521</v>
      </c>
    </row>
    <row r="222" spans="1:8" x14ac:dyDescent="0.3">
      <c r="A222" t="s">
        <v>88</v>
      </c>
      <c r="B222" s="12"/>
    </row>
    <row r="223" spans="1:8" x14ac:dyDescent="0.3">
      <c r="A223" t="s">
        <v>89</v>
      </c>
      <c r="B223" s="12">
        <v>2030</v>
      </c>
    </row>
    <row r="224" spans="1:8" x14ac:dyDescent="0.3">
      <c r="A224" t="s">
        <v>131</v>
      </c>
      <c r="B224" s="12" t="str">
        <f>B221&amp;" - "&amp;B223&amp;" - "&amp;B220</f>
        <v>Motorbike, electric, 4-11kW - 2030 - CH</v>
      </c>
    </row>
    <row r="225" spans="1:2" x14ac:dyDescent="0.3">
      <c r="A225" t="s">
        <v>74</v>
      </c>
      <c r="B225" s="12" t="str">
        <f>"transport, "&amp;B221</f>
        <v>transport, Motorbike, electric, 4-11kW</v>
      </c>
    </row>
    <row r="226" spans="1:2" x14ac:dyDescent="0.3">
      <c r="A226" t="s">
        <v>75</v>
      </c>
      <c r="B226" t="s">
        <v>76</v>
      </c>
    </row>
    <row r="227" spans="1:2" x14ac:dyDescent="0.3">
      <c r="A227" t="s">
        <v>77</v>
      </c>
      <c r="B227" t="s">
        <v>172</v>
      </c>
    </row>
    <row r="228" spans="1:2" x14ac:dyDescent="0.3">
      <c r="A228" t="s">
        <v>79</v>
      </c>
      <c r="B228" t="s">
        <v>90</v>
      </c>
    </row>
    <row r="229" spans="1:2" x14ac:dyDescent="0.3">
      <c r="A229" t="s">
        <v>132</v>
      </c>
      <c r="B229">
        <f>INDEX('vehicles specifications'!$B$3:$CK$86,MATCH(B224,'vehicles specifications'!$A$3:$A$86,0),MATCH("Lifetime [km]",'vehicles specifications'!$B$2:$CK$2,0))</f>
        <v>39800</v>
      </c>
    </row>
    <row r="230" spans="1:2" x14ac:dyDescent="0.3">
      <c r="A230" t="s">
        <v>133</v>
      </c>
      <c r="B230">
        <f>INDEX('vehicles specifications'!$B$3:$CK$86,MATCH(B224,'vehicles specifications'!$A$3:$A$86,0),MATCH("Passengers [unit]",'vehicles specifications'!$B$2:$CK$2,0))</f>
        <v>1.1000000000000001</v>
      </c>
    </row>
    <row r="231" spans="1:2" x14ac:dyDescent="0.3">
      <c r="A231" t="s">
        <v>134</v>
      </c>
      <c r="B231">
        <f>INDEX('vehicles specifications'!$B$3:$CK$86,MATCH(B224,'vehicles specifications'!$A$3:$A$86,0),MATCH("Servicing [unit]",'vehicles specifications'!$B$2:$CK$2,0))</f>
        <v>0.79600000000000004</v>
      </c>
    </row>
    <row r="232" spans="1:2" x14ac:dyDescent="0.3">
      <c r="A232" t="s">
        <v>135</v>
      </c>
      <c r="B232">
        <f>INDEX('vehicles specifications'!$B$3:$CK$86,MATCH(B224,'vehicles specifications'!$A$3:$A$86,0),MATCH("Energy battery replacement [unit]",'vehicles specifications'!$B$2:$CK$2,0))</f>
        <v>0.5</v>
      </c>
    </row>
    <row r="233" spans="1:2" x14ac:dyDescent="0.3">
      <c r="A233" t="s">
        <v>136</v>
      </c>
      <c r="B233">
        <f>INDEX('vehicles specifications'!$B$3:$CK$86,MATCH(B224,'vehicles specifications'!$A$3:$A$86,0),MATCH("Annual kilometers [km]",'vehicles specifications'!$B$2:$CK$2,0))</f>
        <v>2731</v>
      </c>
    </row>
    <row r="234" spans="1:2" x14ac:dyDescent="0.3">
      <c r="A234" t="s">
        <v>137</v>
      </c>
      <c r="B234" s="2">
        <f>INDEX('vehicles specifications'!$B$3:$CK$86,MATCH(B224,'vehicles specifications'!$A$3:$A$86,0),MATCH("Curb mass [kg]",'vehicles specifications'!$B$2:$CK$2,0))</f>
        <v>104.27081215151863</v>
      </c>
    </row>
    <row r="235" spans="1:2" x14ac:dyDescent="0.3">
      <c r="A235" t="s">
        <v>138</v>
      </c>
      <c r="B235">
        <f>INDEX('vehicles specifications'!$B$3:$CK$86,MATCH(B224,'vehicles specifications'!$A$3:$A$86,0),MATCH("Power [kW]",'vehicles specifications'!$B$2:$CK$2,0))</f>
        <v>4.7</v>
      </c>
    </row>
    <row r="236" spans="1:2" x14ac:dyDescent="0.3">
      <c r="A236" t="s">
        <v>139</v>
      </c>
      <c r="B236">
        <f>INDEX('vehicles specifications'!$B$3:$CK$86,MATCH(B224,'vehicles specifications'!$A$3:$A$86,0),MATCH("Energy battery mass [kg]",'vehicles specifications'!$B$2:$CK$2,0))</f>
        <v>20</v>
      </c>
    </row>
    <row r="237" spans="1:2" x14ac:dyDescent="0.3">
      <c r="A237" t="s">
        <v>140</v>
      </c>
      <c r="B237" s="21">
        <f>INDEX('vehicles specifications'!$B$3:$CK$86,MATCH(B224,'vehicles specifications'!$A$3:$A$86,0),MATCH("Electric energy stored [kWh]",'vehicles specifications'!$B$2:$CK$2,0))</f>
        <v>5</v>
      </c>
    </row>
    <row r="238" spans="1:2" s="21" customFormat="1" x14ac:dyDescent="0.3">
      <c r="A238" s="21" t="s">
        <v>654</v>
      </c>
      <c r="B238" s="21">
        <f>INDEX('vehicles specifications'!$B$3:$CK$86,MATCH(B224,'vehicles specifications'!$A$3:$A$86,0),MATCH("Electric energy available [kWh]",'vehicles specifications'!$B$2:$CK$2,0))</f>
        <v>4</v>
      </c>
    </row>
    <row r="239" spans="1:2" x14ac:dyDescent="0.3">
      <c r="A239" t="s">
        <v>143</v>
      </c>
      <c r="B239" s="2">
        <f>INDEX('vehicles specifications'!$B$3:$CK$86,MATCH(B224,'vehicles specifications'!$A$3:$A$86,0),MATCH("Oxydation energy stored [kWh]",'vehicles specifications'!$B$2:$CK$2,0))</f>
        <v>0</v>
      </c>
    </row>
    <row r="240" spans="1:2" x14ac:dyDescent="0.3">
      <c r="A240" t="s">
        <v>145</v>
      </c>
      <c r="B240">
        <f>INDEX('vehicles specifications'!$B$3:$CK$86,MATCH(B224,'vehicles specifications'!$A$3:$A$86,0),MATCH("Fuel mass [kg]",'vehicles specifications'!$B$2:$CK$2,0))</f>
        <v>0</v>
      </c>
    </row>
    <row r="241" spans="1:8" x14ac:dyDescent="0.3">
      <c r="A241" t="s">
        <v>141</v>
      </c>
      <c r="B241" s="2">
        <f>INDEX('vehicles specifications'!$B$3:$CK$86,MATCH(B224,'vehicles specifications'!$A$3:$A$86,0),MATCH("Range [km]",'vehicles specifications'!$B$2:$CK$2,0))</f>
        <v>79.120879120879124</v>
      </c>
    </row>
    <row r="242" spans="1:8" x14ac:dyDescent="0.3">
      <c r="A242" t="s">
        <v>142</v>
      </c>
      <c r="B242" t="str">
        <f>INDEX('vehicles specifications'!$B$3:$CK$86,MATCH(B224,'vehicles specifications'!$A$3:$A$86,0),MATCH("Emission standard",'vehicles specifications'!$B$2:$CK$2,0))</f>
        <v>None</v>
      </c>
    </row>
    <row r="243" spans="1:8" x14ac:dyDescent="0.3">
      <c r="A243" t="s">
        <v>144</v>
      </c>
      <c r="B243" s="6">
        <f>INDEX('vehicles specifications'!$B$3:$CK$86,MATCH(B224,'vehicles specifications'!$A$3:$A$86,0),MATCH("Lightweighting rate [%]",'vehicles specifications'!$B$2:$CK$2,0))</f>
        <v>0.03</v>
      </c>
    </row>
    <row r="244" spans="1:8" x14ac:dyDescent="0.3">
      <c r="A244"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"&amp;'lci-kick scooter'!B187</f>
        <v>Power: 4.7 kW. Lifetime: 39800 km. Annual kilometers: 2731 km. Number of passengers: 1.1. Curb mass: 104.3 kg. Lightweighting of glider: 3%. Emission standard: None. Service visits throughout lifetime: 0.8. Range: 79 km. Battery capacity: 5 kWh. Available battery capacity: 4 kWh. Battery mass: 20 kg. Battery replacement throughout lifetime: 0.5. Fuel tank capacity: 0 kWh. Fuel mass: 0 kg. Documentation: 2021 UVEK life-cycle inventories update of on-road vehicles, Sacchi R. (PSI), Bauer C. (PSI), 2021. 0.44625</v>
      </c>
    </row>
    <row r="245" spans="1:8" ht="15.6" x14ac:dyDescent="0.3">
      <c r="A245" s="11" t="s">
        <v>80</v>
      </c>
    </row>
    <row r="246" spans="1:8" x14ac:dyDescent="0.3">
      <c r="A246" t="s">
        <v>81</v>
      </c>
      <c r="B246" t="s">
        <v>82</v>
      </c>
      <c r="C246" t="s">
        <v>73</v>
      </c>
      <c r="D246" t="s">
        <v>77</v>
      </c>
      <c r="E246" t="s">
        <v>83</v>
      </c>
      <c r="F246" t="s">
        <v>75</v>
      </c>
      <c r="G246" t="s">
        <v>84</v>
      </c>
      <c r="H246" t="s">
        <v>74</v>
      </c>
    </row>
    <row r="247" spans="1:8" x14ac:dyDescent="0.3">
      <c r="A247" s="12" t="str">
        <f>B219</f>
        <v>transport, Motorbike, electric, 4-11kW, 2030</v>
      </c>
      <c r="B247" s="12">
        <v>1</v>
      </c>
      <c r="C247" s="12" t="str">
        <f>B220</f>
        <v>CH</v>
      </c>
      <c r="D247" s="12" t="s">
        <v>172</v>
      </c>
      <c r="E247" s="12"/>
      <c r="F247" s="12" t="s">
        <v>85</v>
      </c>
      <c r="G247" s="12" t="s">
        <v>86</v>
      </c>
      <c r="H247" s="12" t="str">
        <f>B225</f>
        <v>transport, Motorbike, electric, 4-11kW</v>
      </c>
    </row>
    <row r="248" spans="1:8" x14ac:dyDescent="0.3">
      <c r="A248" s="12" t="str">
        <f>RIGHT(A247,LEN(A247)-11)</f>
        <v>Motorbike, electric, 4-11kW, 2030</v>
      </c>
      <c r="B248" s="12">
        <f>1/B229</f>
        <v>2.5125628140703518E-5</v>
      </c>
      <c r="C248" s="12" t="str">
        <f>B220</f>
        <v>CH</v>
      </c>
      <c r="D248" s="12" t="s">
        <v>77</v>
      </c>
      <c r="E248" s="12"/>
      <c r="F248" s="12" t="s">
        <v>91</v>
      </c>
      <c r="G248" s="12"/>
      <c r="H248" s="12" t="str">
        <f>RIGHT(H247,LEN(H247)-11)</f>
        <v>Motorbike, electric, 4-11kW</v>
      </c>
    </row>
    <row r="249" spans="1:8" x14ac:dyDescent="0.3">
      <c r="A249" s="12" t="str">
        <f>INDEX('ei names mapping'!$B$4:$R$33,MATCH(B221,'ei names mapping'!$A$4:$A$33,0),MATCH(G249,'ei names mapping'!$B$3:$R$3,0))</f>
        <v>road maintenance</v>
      </c>
      <c r="B249" s="16">
        <f>INDEX('vehicles specifications'!$B$3:$CK$86,MATCH(B224,'vehicles specifications'!$A$3:$A$86,0),MATCH(G249,'vehicles specifications'!$B$2:$CK$2,0))*INDEX('ei names mapping'!$B$137:$BK$220,MATCH(B224,'ei names mapping'!$A$137:$A$220,0),MATCH(G249,'ei names mapping'!$B$136:$BK$136,0))</f>
        <v>1.2899999999999999E-3</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t="s">
        <v>117</v>
      </c>
      <c r="H249" s="12" t="str">
        <f>INDEX('ei names mapping'!$B$71:$BK$100,MATCH(B221,'ei names mapping'!$A$4:$A$33,0),MATCH(G249,'ei names mapping'!$B$3:$BK$3,0))</f>
        <v>road maintenance</v>
      </c>
    </row>
    <row r="250" spans="1:8" x14ac:dyDescent="0.3">
      <c r="A250" s="12" t="str">
        <f>INDEX('ei names mapping'!$B$4:$R$33,MATCH(B221,'ei names mapping'!$A$4:$A$33,0),MATCH(G250,'ei names mapping'!$B$3:$R$3,0))</f>
        <v>market for electricity, low voltage</v>
      </c>
      <c r="B250" s="14">
        <f>INDEX('vehicles specifications'!$B$3:$CK$86,MATCH(B224,'vehicles specifications'!$A$3:$A$86,0),MATCH(G250,'vehicles specifications'!$B$2:$CK$2,0))*INDEX('ei names mapping'!$B$137:$BK$220,MATCH(B224,'ei names mapping'!$A$137:$A$220,0),MATCH(G250,'ei names mapping'!$B$136:$BK$136,0))</f>
        <v>5.5611111111111111E-2</v>
      </c>
      <c r="C250" s="12" t="str">
        <f>INDEX('ei names mapping'!$B$38:$R$67,MATCH($B$3,'ei names mapping'!$A$4:$A$33,0),MATCH(G250,'ei names mapping'!$B$3:$R$3,0))</f>
        <v>CH</v>
      </c>
      <c r="D250" s="12" t="str">
        <f>INDEX('ei names mapping'!$B$104:$R$133,MATCH($B$3,'ei names mapping'!$A$4:$A$33,0),MATCH(G250,'ei names mapping'!$B$3:$R$3,0))</f>
        <v>kilowatt hour</v>
      </c>
      <c r="E250" s="12"/>
      <c r="F250" s="12" t="s">
        <v>91</v>
      </c>
      <c r="G250" t="s">
        <v>28</v>
      </c>
      <c r="H250" s="12" t="str">
        <f>INDEX('ei names mapping'!$B$71:$R$100,MATCH(B221,'ei names mapping'!$A$4:$A$33,0),MATCH(G250,'ei names mapping'!$B$3:$R$3,0))</f>
        <v>electricity, low voltage</v>
      </c>
    </row>
    <row r="251" spans="1:8" x14ac:dyDescent="0.3">
      <c r="A251" s="12" t="str">
        <f>INDEX('ei names mapping'!$B$4:$R$33,MATCH(B221,'ei names mapping'!$A$4:$A$33,0),MATCH(G251,'ei names mapping'!$B$3:$R$3,0))</f>
        <v>market for maintenance, electric scooter, without battery</v>
      </c>
      <c r="B251" s="16">
        <f>INDEX('vehicles specifications'!$B$3:$CK$86,MATCH(B224,'vehicles specifications'!$A$3:$A$86,0),MATCH(G251,'vehicles specifications'!$B$2:$CK$2,0))*INDEX('ei names mapping'!$B$137:$BK$220,MATCH(B224,'ei names mapping'!$A$137:$A$220,0),MATCH(G251,'ei names mapping'!$B$136:$BK$136,0))</f>
        <v>2.0000000000000002E-5</v>
      </c>
      <c r="C251" s="12" t="str">
        <f>INDEX('ei names mapping'!$B$38:$BK$67,MATCH(B221,'ei names mapping'!$A$4:$A$33,0),MATCH(G251,'ei names mapping'!$B$3:$BK$3,0))</f>
        <v>GLO</v>
      </c>
      <c r="D251" s="12" t="str">
        <f>INDEX('ei names mapping'!$B$104:$BK$133,MATCH(B221,'ei names mapping'!$A$4:$A$33,0),MATCH(G251,'ei names mapping'!$B$3:$BK$3,0))</f>
        <v>unit</v>
      </c>
      <c r="F251" s="12" t="s">
        <v>91</v>
      </c>
      <c r="G251" s="12" t="s">
        <v>123</v>
      </c>
      <c r="H251" s="12" t="str">
        <f>INDEX('ei names mapping'!$B$71:$BK$100,MATCH(B221,'ei names mapping'!$A$4:$A$33,0),MATCH(G251,'ei names mapping'!$B$3:$BK$3,0))</f>
        <v>maintenance, electric scooter, without battery</v>
      </c>
    </row>
    <row r="252" spans="1:8" s="21" customFormat="1" x14ac:dyDescent="0.3">
      <c r="A252" s="12" t="str">
        <f>INDEX('ei names mapping'!$B$4:$R$33,MATCH(B221,'ei names mapping'!$A$4:$A$33,0),MATCH(G252,'ei names mapping'!$B$3:$R$3,0))</f>
        <v>road construction</v>
      </c>
      <c r="B252" s="16">
        <f>INDEX('vehicles specifications'!$B$3:$CK$86,MATCH(B224,'vehicles specifications'!$A$3:$A$86,0),MATCH(G252,'vehicles specifications'!$B$2:$CK$2,0))*INDEX('ei names mapping'!$B$137:$BK$220,MATCH(B224,'ei names mapping'!$A$137:$A$220,0),MATCH(G252,'ei names mapping'!$B$136:$BK$136,0))</f>
        <v>1.005644261253655E-4</v>
      </c>
      <c r="C252" s="12" t="str">
        <f>INDEX('ei names mapping'!$B$38:$R$67,MATCH(B221,'ei names mapping'!$A$4:$A$33,0),MATCH(G252,'ei names mapping'!$B$3:$R$3,0))</f>
        <v>CH</v>
      </c>
      <c r="D252" s="12" t="str">
        <f>INDEX('ei names mapping'!$B$104:$R$133,MATCH(B221,'ei names mapping'!$A$104:$A$133,0),MATCH(G252,'ei names mapping'!$B$3:$R$3,0))</f>
        <v>meter-year</v>
      </c>
      <c r="E252" s="12"/>
      <c r="F252" s="12" t="s">
        <v>91</v>
      </c>
      <c r="G252" s="21" t="s">
        <v>108</v>
      </c>
      <c r="H252" s="12" t="str">
        <f>INDEX('ei names mapping'!$B$71:$R$100,MATCH(B221,'ei names mapping'!$A$4:$A$33,0),MATCH(G252,'ei names mapping'!$B$3:$R$3,0))</f>
        <v>road</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-7.3669999999999991E-6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-4.1749999999999998E-6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Motorbike, electric, 4-11kW, 2040</v>
      </c>
    </row>
    <row r="258" spans="1:2" x14ac:dyDescent="0.3">
      <c r="A258" t="s">
        <v>73</v>
      </c>
      <c r="B258" t="s">
        <v>37</v>
      </c>
    </row>
    <row r="259" spans="1:2" x14ac:dyDescent="0.3">
      <c r="A259" t="s">
        <v>87</v>
      </c>
      <c r="B259" t="s">
        <v>521</v>
      </c>
    </row>
    <row r="260" spans="1:2" x14ac:dyDescent="0.3">
      <c r="A260" t="s">
        <v>88</v>
      </c>
      <c r="B260" s="12"/>
    </row>
    <row r="261" spans="1:2" x14ac:dyDescent="0.3">
      <c r="A261" t="s">
        <v>89</v>
      </c>
      <c r="B261" s="12">
        <v>2040</v>
      </c>
    </row>
    <row r="262" spans="1:2" x14ac:dyDescent="0.3">
      <c r="A262" t="s">
        <v>131</v>
      </c>
      <c r="B262" s="12" t="str">
        <f>B259&amp;" - "&amp;B261&amp;" - "&amp;B258</f>
        <v>Motorbike, electric, 4-11kW - 2040 - CH</v>
      </c>
    </row>
    <row r="263" spans="1:2" x14ac:dyDescent="0.3">
      <c r="A263" t="s">
        <v>74</v>
      </c>
      <c r="B263" s="12" t="str">
        <f>"transport, "&amp;B259</f>
        <v>transport, Motorbike, electric, 4-11kW</v>
      </c>
    </row>
    <row r="264" spans="1:2" x14ac:dyDescent="0.3">
      <c r="A264" t="s">
        <v>75</v>
      </c>
      <c r="B264" t="s">
        <v>76</v>
      </c>
    </row>
    <row r="265" spans="1:2" x14ac:dyDescent="0.3">
      <c r="A265" t="s">
        <v>77</v>
      </c>
      <c r="B265" t="s">
        <v>172</v>
      </c>
    </row>
    <row r="266" spans="1:2" x14ac:dyDescent="0.3">
      <c r="A266" t="s">
        <v>79</v>
      </c>
      <c r="B266" t="s">
        <v>90</v>
      </c>
    </row>
    <row r="267" spans="1:2" x14ac:dyDescent="0.3">
      <c r="A267" t="s">
        <v>132</v>
      </c>
      <c r="B267">
        <f>INDEX('vehicles specifications'!$B$3:$CK$86,MATCH(B262,'vehicles specifications'!$A$3:$A$86,0),MATCH("Lifetime [km]",'vehicles specifications'!$B$2:$CK$2,0))</f>
        <v>39800</v>
      </c>
    </row>
    <row r="268" spans="1:2" x14ac:dyDescent="0.3">
      <c r="A268" t="s">
        <v>133</v>
      </c>
      <c r="B268">
        <f>INDEX('vehicles specifications'!$B$3:$CK$86,MATCH(B262,'vehicles specifications'!$A$3:$A$86,0),MATCH("Passengers [unit]",'vehicles specifications'!$B$2:$CK$2,0))</f>
        <v>1.1000000000000001</v>
      </c>
    </row>
    <row r="269" spans="1:2" x14ac:dyDescent="0.3">
      <c r="A269" t="s">
        <v>134</v>
      </c>
      <c r="B269">
        <f>INDEX('vehicles specifications'!$B$3:$CK$86,MATCH(B262,'vehicles specifications'!$A$3:$A$86,0),MATCH("Servicing [unit]",'vehicles specifications'!$B$2:$CK$2,0))</f>
        <v>0.79600000000000004</v>
      </c>
    </row>
    <row r="270" spans="1:2" x14ac:dyDescent="0.3">
      <c r="A270" t="s">
        <v>135</v>
      </c>
      <c r="B270">
        <f>INDEX('vehicles specifications'!$B$3:$CK$86,MATCH(B262,'vehicles specifications'!$A$3:$A$86,0),MATCH("Energy battery replacement [unit]",'vehicles specifications'!$B$2:$CK$2,0))</f>
        <v>0.25</v>
      </c>
    </row>
    <row r="271" spans="1:2" x14ac:dyDescent="0.3">
      <c r="A271" t="s">
        <v>136</v>
      </c>
      <c r="B271">
        <f>INDEX('vehicles specifications'!$B$3:$CK$86,MATCH(B262,'vehicles specifications'!$A$3:$A$86,0),MATCH("Annual kilometers [km]",'vehicles specifications'!$B$2:$CK$2,0))</f>
        <v>2731</v>
      </c>
    </row>
    <row r="272" spans="1:2" x14ac:dyDescent="0.3">
      <c r="A272" t="s">
        <v>137</v>
      </c>
      <c r="B272" s="2">
        <f>INDEX('vehicles specifications'!$B$3:$CK$86,MATCH(B262,'vehicles specifications'!$A$3:$A$86,0),MATCH("Curb mass [kg]",'vehicles specifications'!$B$2:$CK$2,0))</f>
        <v>103.96213561231207</v>
      </c>
    </row>
    <row r="273" spans="1:8" x14ac:dyDescent="0.3">
      <c r="A273" t="s">
        <v>138</v>
      </c>
      <c r="B273">
        <f>INDEX('vehicles specifications'!$B$3:$CK$86,MATCH(B262,'vehicles specifications'!$A$3:$A$86,0),MATCH("Power [kW]",'vehicles specifications'!$B$2:$CK$2,0))</f>
        <v>4.7</v>
      </c>
    </row>
    <row r="274" spans="1:8" x14ac:dyDescent="0.3">
      <c r="A274" t="s">
        <v>139</v>
      </c>
      <c r="B274">
        <f>INDEX('vehicles specifications'!$B$3:$CK$86,MATCH(B262,'vehicles specifications'!$A$3:$A$86,0),MATCH("Energy battery mass [kg]",'vehicles specifications'!$B$2:$CK$2,0))</f>
        <v>21</v>
      </c>
    </row>
    <row r="275" spans="1:8" x14ac:dyDescent="0.3">
      <c r="A275" t="s">
        <v>140</v>
      </c>
      <c r="B275" s="21">
        <f>INDEX('vehicles specifications'!$B$3:$CK$86,MATCH(B262,'vehicles specifications'!$A$3:$A$86,0),MATCH("Electric energy stored [kWh]",'vehicles specifications'!$B$2:$CK$2,0))</f>
        <v>7</v>
      </c>
    </row>
    <row r="276" spans="1:8" s="21" customFormat="1" x14ac:dyDescent="0.3">
      <c r="A276" s="21" t="s">
        <v>654</v>
      </c>
      <c r="B276" s="21">
        <f>INDEX('vehicles specifications'!$B$3:$CK$86,MATCH(B262,'vehicles specifications'!$A$3:$A$86,0),MATCH("Electric energy available [kWh]",'vehicles specifications'!$B$2:$CK$2,0))</f>
        <v>5.6000000000000005</v>
      </c>
    </row>
    <row r="277" spans="1:8" x14ac:dyDescent="0.3">
      <c r="A277" t="s">
        <v>143</v>
      </c>
      <c r="B277" s="2">
        <f>INDEX('vehicles specifications'!$B$3:$CK$86,MATCH(B262,'vehicles specifications'!$A$3:$A$86,0),MATCH("Oxydation energy stored [kWh]",'vehicles specifications'!$B$2:$CK$2,0))</f>
        <v>0</v>
      </c>
    </row>
    <row r="278" spans="1:8" x14ac:dyDescent="0.3">
      <c r="A278" t="s">
        <v>145</v>
      </c>
      <c r="B278">
        <f>INDEX('vehicles specifications'!$B$3:$CK$86,MATCH(B262,'vehicles specifications'!$A$3:$A$86,0),MATCH("Fuel mass [kg]",'vehicles specifications'!$B$2:$CK$2,0))</f>
        <v>0</v>
      </c>
    </row>
    <row r="279" spans="1:8" x14ac:dyDescent="0.3">
      <c r="A279" t="s">
        <v>141</v>
      </c>
      <c r="B279" s="2">
        <f>INDEX('vehicles specifications'!$B$3:$CK$86,MATCH(B262,'vehicles specifications'!$A$3:$A$86,0),MATCH("Range [km]",'vehicles specifications'!$B$2:$CK$2,0))</f>
        <v>110.76923076923079</v>
      </c>
    </row>
    <row r="280" spans="1:8" x14ac:dyDescent="0.3">
      <c r="A280" t="s">
        <v>142</v>
      </c>
      <c r="B280" t="str">
        <f>INDEX('vehicles specifications'!$B$3:$CK$86,MATCH(B262,'vehicles specifications'!$A$3:$A$86,0),MATCH("Emission standard",'vehicles specifications'!$B$2:$CK$2,0))</f>
        <v>None</v>
      </c>
    </row>
    <row r="281" spans="1:8" x14ac:dyDescent="0.3">
      <c r="A281" t="s">
        <v>144</v>
      </c>
      <c r="B281" s="6">
        <f>INDEX('vehicles specifications'!$B$3:$CK$86,MATCH(B262,'vehicles specifications'!$A$3:$A$86,0),MATCH("Lightweighting rate [%]",'vehicles specifications'!$B$2:$CK$2,0))</f>
        <v>0.05</v>
      </c>
    </row>
    <row r="282" spans="1:8" x14ac:dyDescent="0.3">
      <c r="A282"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"&amp;'lci-kick scooter'!B225</f>
        <v>Power: 4.7 kW. Lifetime: 39800 km. Annual kilometers: 2731 km. Number of passengers: 1.1. Curb mass: 104 kg. Lightweighting of glider: 5%. Emission standard: None. Service visits throughout lifetime: 0.8. Range: 111 km. Battery capacity: 7 kWh. Available battery capacity: 5.6 kWh. Battery mass: 21 kg. Battery replacement throughout lifetime: 0.3. Fuel tank capacity: 0 kWh. Fuel mass: 0 kg. Documentation: 2021 UVEK life-cycle inventories update of on-road vehicles, Sacchi R. (PSI), Bauer C. (PSI), 2021. 0</v>
      </c>
    </row>
    <row r="283" spans="1:8" ht="15.6" x14ac:dyDescent="0.3">
      <c r="A283" s="11" t="s">
        <v>80</v>
      </c>
    </row>
    <row r="284" spans="1:8" x14ac:dyDescent="0.3">
      <c r="A284" t="s">
        <v>81</v>
      </c>
      <c r="B284" t="s">
        <v>82</v>
      </c>
      <c r="C284" t="s">
        <v>73</v>
      </c>
      <c r="D284" t="s">
        <v>77</v>
      </c>
      <c r="E284" t="s">
        <v>83</v>
      </c>
      <c r="F284" t="s">
        <v>75</v>
      </c>
      <c r="G284" t="s">
        <v>84</v>
      </c>
      <c r="H284" t="s">
        <v>74</v>
      </c>
    </row>
    <row r="285" spans="1:8" x14ac:dyDescent="0.3">
      <c r="A285" s="12" t="str">
        <f>B257</f>
        <v>transport, Motorbike, electric, 4-11kW, 2040</v>
      </c>
      <c r="B285" s="12">
        <v>1</v>
      </c>
      <c r="C285" s="12" t="str">
        <f>B258</f>
        <v>CH</v>
      </c>
      <c r="D285" s="12" t="s">
        <v>172</v>
      </c>
      <c r="E285" s="12"/>
      <c r="F285" s="12" t="s">
        <v>85</v>
      </c>
      <c r="G285" s="12" t="s">
        <v>86</v>
      </c>
      <c r="H285" s="12" t="str">
        <f>B263</f>
        <v>transport, Motorbike, electric, 4-11kW</v>
      </c>
    </row>
    <row r="286" spans="1:8" x14ac:dyDescent="0.3">
      <c r="A286" s="12" t="str">
        <f>RIGHT(A285,LEN(A285)-11)</f>
        <v>Motorbike, electric, 4-11kW, 2040</v>
      </c>
      <c r="B286" s="12">
        <f>1/B267</f>
        <v>2.5125628140703518E-5</v>
      </c>
      <c r="C286" s="12" t="str">
        <f>B258</f>
        <v>CH</v>
      </c>
      <c r="D286" s="12" t="s">
        <v>77</v>
      </c>
      <c r="E286" s="12"/>
      <c r="F286" s="12" t="s">
        <v>91</v>
      </c>
      <c r="G286" s="12"/>
      <c r="H286" s="12" t="str">
        <f>RIGHT(H285,LEN(H285)-11)</f>
        <v>Motorbike, electric, 4-11kW</v>
      </c>
    </row>
    <row r="287" spans="1:8" x14ac:dyDescent="0.3">
      <c r="A287" s="12" t="str">
        <f>INDEX('ei names mapping'!$B$4:$R$33,MATCH(B259,'ei names mapping'!$A$4:$A$33,0),MATCH(G287,'ei names mapping'!$B$3:$R$3,0))</f>
        <v>road maintenance</v>
      </c>
      <c r="B287" s="16">
        <f>INDEX('vehicles specifications'!$B$3:$CK$86,MATCH(B262,'vehicles specifications'!$A$3:$A$86,0),MATCH(G287,'vehicles specifications'!$B$2:$CK$2,0))*INDEX('ei names mapping'!$B$137:$BK$220,MATCH(B262,'ei names mapping'!$A$137:$A$220,0),MATCH(G287,'ei names mapping'!$B$136:$BK$136,0))</f>
        <v>1.2899999999999999E-3</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t="s">
        <v>117</v>
      </c>
      <c r="H287" s="12" t="str">
        <f>INDEX('ei names mapping'!$B$71:$BK$100,MATCH(B259,'ei names mapping'!$A$4:$A$33,0),MATCH(G287,'ei names mapping'!$B$3:$BK$3,0))</f>
        <v>road maintenance</v>
      </c>
    </row>
    <row r="288" spans="1:8" x14ac:dyDescent="0.3">
      <c r="A288" s="12" t="str">
        <f>INDEX('ei names mapping'!$B$4:$R$33,MATCH(B259,'ei names mapping'!$A$4:$A$33,0),MATCH(G288,'ei names mapping'!$B$3:$R$3,0))</f>
        <v>market for electricity, low voltage</v>
      </c>
      <c r="B288" s="14">
        <f>INDEX('vehicles specifications'!$B$3:$CK$86,MATCH(B262,'vehicles specifications'!$A$3:$A$86,0),MATCH(G288,'vehicles specifications'!$B$2:$CK$2,0))*INDEX('ei names mapping'!$B$137:$BK$220,MATCH(B262,'ei names mapping'!$A$137:$A$220,0),MATCH(G288,'ei names mapping'!$B$136:$BK$136,0))</f>
        <v>5.5611111111111111E-2</v>
      </c>
      <c r="C288" s="12" t="str">
        <f>INDEX('ei names mapping'!$B$38:$R$67,MATCH($B$3,'ei names mapping'!$A$4:$A$33,0),MATCH(G288,'ei names mapping'!$B$3:$R$3,0))</f>
        <v>CH</v>
      </c>
      <c r="D288" s="12" t="str">
        <f>INDEX('ei names mapping'!$B$104:$R$133,MATCH($B$3,'ei names mapping'!$A$4:$A$33,0),MATCH(G288,'ei names mapping'!$B$3:$R$3,0))</f>
        <v>kilowatt hour</v>
      </c>
      <c r="E288" s="12"/>
      <c r="F288" s="12" t="s">
        <v>91</v>
      </c>
      <c r="G288" t="s">
        <v>28</v>
      </c>
      <c r="H288" s="12" t="str">
        <f>INDEX('ei names mapping'!$B$71:$R$100,MATCH(B259,'ei names mapping'!$A$4:$A$33,0),MATCH(G288,'ei names mapping'!$B$3:$R$3,0))</f>
        <v>electricity, low voltage</v>
      </c>
    </row>
    <row r="289" spans="1:8" x14ac:dyDescent="0.3">
      <c r="A289" s="12" t="str">
        <f>INDEX('ei names mapping'!$B$4:$R$33,MATCH(B259,'ei names mapping'!$A$4:$A$33,0),MATCH(G289,'ei names mapping'!$B$3:$R$3,0))</f>
        <v>market for maintenance, electric scooter, without battery</v>
      </c>
      <c r="B289" s="16">
        <f>INDEX('vehicles specifications'!$B$3:$CK$86,MATCH(B262,'vehicles specifications'!$A$3:$A$86,0),MATCH(G289,'vehicles specifications'!$B$2:$CK$2,0))*INDEX('ei names mapping'!$B$137:$BK$220,MATCH(B262,'ei names mapping'!$A$137:$A$220,0),MATCH(G289,'ei names mapping'!$B$136:$BK$136,0))</f>
        <v>2.0000000000000002E-5</v>
      </c>
      <c r="C289" s="12" t="str">
        <f>INDEX('ei names mapping'!$B$38:$BK$67,MATCH(B259,'ei names mapping'!$A$4:$A$33,0),MATCH(G289,'ei names mapping'!$B$3:$BK$3,0))</f>
        <v>GLO</v>
      </c>
      <c r="D289" s="12" t="str">
        <f>INDEX('ei names mapping'!$B$104:$BK$133,MATCH(B259,'ei names mapping'!$A$4:$A$33,0),MATCH(G289,'ei names mapping'!$B$3:$BK$3,0))</f>
        <v>unit</v>
      </c>
      <c r="F289" s="12" t="s">
        <v>91</v>
      </c>
      <c r="G289" s="12" t="s">
        <v>123</v>
      </c>
      <c r="H289" s="12" t="str">
        <f>INDEX('ei names mapping'!$B$71:$BK$100,MATCH(B259,'ei names mapping'!$A$4:$A$33,0),MATCH(G289,'ei names mapping'!$B$3:$BK$3,0))</f>
        <v>maintenance, electric scooter, without battery</v>
      </c>
    </row>
    <row r="290" spans="1:8" s="21" customFormat="1" x14ac:dyDescent="0.3">
      <c r="A290" s="12" t="str">
        <f>INDEX('ei names mapping'!$B$4:$R$33,MATCH(B259,'ei names mapping'!$A$4:$A$33,0),MATCH(G290,'ei names mapping'!$B$3:$R$3,0))</f>
        <v>road construction</v>
      </c>
      <c r="B290" s="16">
        <f>INDEX('vehicles specifications'!$B$3:$CK$86,MATCH(B262,'vehicles specifications'!$A$3:$A$86,0),MATCH(G290,'vehicles specifications'!$B$2:$CK$2,0))*INDEX('ei names mapping'!$B$137:$BK$220,MATCH(B262,'ei names mapping'!$A$137:$A$220,0),MATCH(G290,'ei names mapping'!$B$136:$BK$136,0))</f>
        <v>1.0039866682381158E-4</v>
      </c>
      <c r="C290" s="12" t="str">
        <f>INDEX('ei names mapping'!$B$38:$R$67,MATCH(B259,'ei names mapping'!$A$4:$A$33,0),MATCH(G290,'ei names mapping'!$B$3:$R$3,0))</f>
        <v>CH</v>
      </c>
      <c r="D290" s="12" t="str">
        <f>INDEX('ei names mapping'!$B$104:$R$133,MATCH(B259,'ei names mapping'!$A$104:$A$133,0),MATCH(G290,'ei names mapping'!$B$3:$R$3,0))</f>
        <v>meter-year</v>
      </c>
      <c r="E290" s="12"/>
      <c r="F290" s="12" t="s">
        <v>91</v>
      </c>
      <c r="G290" s="21" t="s">
        <v>108</v>
      </c>
      <c r="H290" s="12" t="str">
        <f>INDEX('ei names mapping'!$B$71:$R$100,MATCH(B259,'ei names mapping'!$A$4:$A$33,0),MATCH(G290,'ei names mapping'!$B$3:$R$3,0))</f>
        <v>road</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-7.3669999999999991E-6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-4.1749999999999998E-6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Motorbike, electric, 4-11kW, 2050</v>
      </c>
    </row>
    <row r="296" spans="1:8" x14ac:dyDescent="0.3">
      <c r="A296" t="s">
        <v>73</v>
      </c>
      <c r="B296" t="s">
        <v>37</v>
      </c>
    </row>
    <row r="297" spans="1:8" x14ac:dyDescent="0.3">
      <c r="A297" t="s">
        <v>87</v>
      </c>
      <c r="B297" t="s">
        <v>521</v>
      </c>
    </row>
    <row r="298" spans="1:8" x14ac:dyDescent="0.3">
      <c r="A298" t="s">
        <v>88</v>
      </c>
      <c r="B298" s="12"/>
    </row>
    <row r="299" spans="1:8" x14ac:dyDescent="0.3">
      <c r="A299" t="s">
        <v>89</v>
      </c>
      <c r="B299" s="12">
        <v>2050</v>
      </c>
    </row>
    <row r="300" spans="1:8" x14ac:dyDescent="0.3">
      <c r="A300" t="s">
        <v>131</v>
      </c>
      <c r="B300" s="12" t="str">
        <f>B297&amp;" - "&amp;B299&amp;" - "&amp;B296</f>
        <v>Motorbike, electric, 4-11kW - 2050 - CH</v>
      </c>
    </row>
    <row r="301" spans="1:8" x14ac:dyDescent="0.3">
      <c r="A301" t="s">
        <v>74</v>
      </c>
      <c r="B301" s="12" t="str">
        <f>"transport, "&amp;B297</f>
        <v>transport, Motorbike, electric, 4-11kW</v>
      </c>
    </row>
    <row r="302" spans="1:8" x14ac:dyDescent="0.3">
      <c r="A302" t="s">
        <v>75</v>
      </c>
      <c r="B302" t="s">
        <v>76</v>
      </c>
    </row>
    <row r="303" spans="1:8" x14ac:dyDescent="0.3">
      <c r="A303" t="s">
        <v>77</v>
      </c>
      <c r="B303" t="s">
        <v>172</v>
      </c>
    </row>
    <row r="304" spans="1:8" x14ac:dyDescent="0.3">
      <c r="A304" t="s">
        <v>79</v>
      </c>
      <c r="B304" t="s">
        <v>90</v>
      </c>
    </row>
    <row r="305" spans="1:2" x14ac:dyDescent="0.3">
      <c r="A305" t="s">
        <v>132</v>
      </c>
      <c r="B305">
        <f>INDEX('vehicles specifications'!$B$3:$CK$86,MATCH(B300,'vehicles specifications'!$A$3:$A$86,0),MATCH("Lifetime [km]",'vehicles specifications'!$B$2:$CK$2,0))</f>
        <v>39800</v>
      </c>
    </row>
    <row r="306" spans="1:2" x14ac:dyDescent="0.3">
      <c r="A306" t="s">
        <v>133</v>
      </c>
      <c r="B306">
        <f>INDEX('vehicles specifications'!$B$3:$CK$86,MATCH(B300,'vehicles specifications'!$A$3:$A$86,0),MATCH("Passengers [unit]",'vehicles specifications'!$B$2:$CK$2,0))</f>
        <v>1.1000000000000001</v>
      </c>
    </row>
    <row r="307" spans="1:2" x14ac:dyDescent="0.3">
      <c r="A307" t="s">
        <v>134</v>
      </c>
      <c r="B307">
        <f>INDEX('vehicles specifications'!$B$3:$CK$86,MATCH(B300,'vehicles specifications'!$A$3:$A$86,0),MATCH("Servicing [unit]",'vehicles specifications'!$B$2:$CK$2,0))</f>
        <v>0.79600000000000004</v>
      </c>
    </row>
    <row r="308" spans="1:2" x14ac:dyDescent="0.3">
      <c r="A308" t="s">
        <v>135</v>
      </c>
      <c r="B308">
        <f>INDEX('vehicles specifications'!$B$3:$CK$86,MATCH(B300,'vehicles specifications'!$A$3:$A$86,0),MATCH("Energy battery replacement [unit]",'vehicles specifications'!$B$2:$CK$2,0))</f>
        <v>0</v>
      </c>
    </row>
    <row r="309" spans="1:2" x14ac:dyDescent="0.3">
      <c r="A309" t="s">
        <v>136</v>
      </c>
      <c r="B309">
        <f>INDEX('vehicles specifications'!$B$3:$CK$86,MATCH(B300,'vehicles specifications'!$A$3:$A$86,0),MATCH("Annual kilometers [km]",'vehicles specifications'!$B$2:$CK$2,0))</f>
        <v>2731</v>
      </c>
    </row>
    <row r="310" spans="1:2" x14ac:dyDescent="0.3">
      <c r="A310" t="s">
        <v>137</v>
      </c>
      <c r="B310" s="2">
        <f>INDEX('vehicles specifications'!$B$3:$CK$86,MATCH(B300,'vehicles specifications'!$A$3:$A$86,0),MATCH("Curb mass [kg]",'vehicles specifications'!$B$2:$CK$2,0))</f>
        <v>104.45345907310549</v>
      </c>
    </row>
    <row r="311" spans="1:2" x14ac:dyDescent="0.3">
      <c r="A311" t="s">
        <v>138</v>
      </c>
      <c r="B311">
        <f>INDEX('vehicles specifications'!$B$3:$CK$86,MATCH(B300,'vehicles specifications'!$A$3:$A$86,0),MATCH("Power [kW]",'vehicles specifications'!$B$2:$CK$2,0))</f>
        <v>4.7</v>
      </c>
    </row>
    <row r="312" spans="1:2" x14ac:dyDescent="0.3">
      <c r="A312" t="s">
        <v>139</v>
      </c>
      <c r="B312">
        <f>INDEX('vehicles specifications'!$B$3:$CK$86,MATCH(B300,'vehicles specifications'!$A$3:$A$86,0),MATCH("Energy battery mass [kg]",'vehicles specifications'!$B$2:$CK$2,0))</f>
        <v>22.8</v>
      </c>
    </row>
    <row r="313" spans="1:2" x14ac:dyDescent="0.3">
      <c r="A313" t="s">
        <v>140</v>
      </c>
      <c r="B313" s="21">
        <f>INDEX('vehicles specifications'!$B$3:$CK$86,MATCH(B300,'vehicles specifications'!$A$3:$A$86,0),MATCH("Electric energy stored [kWh]",'vehicles specifications'!$B$2:$CK$2,0))</f>
        <v>9.5</v>
      </c>
    </row>
    <row r="314" spans="1:2" s="21" customFormat="1" x14ac:dyDescent="0.3">
      <c r="A314" s="21" t="s">
        <v>654</v>
      </c>
      <c r="B314" s="21">
        <f>INDEX('vehicles specifications'!$B$3:$CK$86,MATCH(B300,'vehicles specifications'!$A$3:$A$86,0),MATCH("Electric energy available [kWh]",'vehicles specifications'!$B$2:$CK$2,0))</f>
        <v>7.6000000000000005</v>
      </c>
    </row>
    <row r="315" spans="1:2" x14ac:dyDescent="0.3">
      <c r="A315" t="s">
        <v>143</v>
      </c>
      <c r="B315" s="2">
        <f>INDEX('vehicles specifications'!$B$3:$CK$86,MATCH(B300,'vehicles specifications'!$A$3:$A$86,0),MATCH("Oxydation energy stored [kWh]",'vehicles specifications'!$B$2:$CK$2,0))</f>
        <v>0</v>
      </c>
    </row>
    <row r="316" spans="1:2" x14ac:dyDescent="0.3">
      <c r="A316" t="s">
        <v>145</v>
      </c>
      <c r="B316">
        <f>INDEX('vehicles specifications'!$B$3:$CK$86,MATCH(B300,'vehicles specifications'!$A$3:$A$86,0),MATCH("Fuel mass [kg]",'vehicles specifications'!$B$2:$CK$2,0))</f>
        <v>0</v>
      </c>
    </row>
    <row r="317" spans="1:2" x14ac:dyDescent="0.3">
      <c r="A317" t="s">
        <v>141</v>
      </c>
      <c r="B317" s="2">
        <f>INDEX('vehicles specifications'!$B$3:$CK$86,MATCH(B300,'vehicles specifications'!$A$3:$A$86,0),MATCH("Range [km]",'vehicles specifications'!$B$2:$CK$2,0))</f>
        <v>150.32967032967034</v>
      </c>
    </row>
    <row r="318" spans="1:2" x14ac:dyDescent="0.3">
      <c r="A318" t="s">
        <v>142</v>
      </c>
      <c r="B318" t="str">
        <f>INDEX('vehicles specifications'!$B$3:$CK$86,MATCH(B300,'vehicles specifications'!$A$3:$A$86,0),MATCH("Emission standard",'vehicles specifications'!$B$2:$CK$2,0))</f>
        <v>None</v>
      </c>
    </row>
    <row r="319" spans="1:2" x14ac:dyDescent="0.3">
      <c r="A319" t="s">
        <v>144</v>
      </c>
      <c r="B319" s="6">
        <f>INDEX('vehicles specifications'!$B$3:$CK$86,MATCH(B300,'vehicles specifications'!$A$3:$A$86,0),MATCH("Lightweighting rate [%]",'vehicles specifications'!$B$2:$CK$2,0))</f>
        <v>7.0000000000000007E-2</v>
      </c>
    </row>
    <row r="320" spans="1:2" x14ac:dyDescent="0.3">
      <c r="A320"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"&amp;'lci-kick scooter'!B263</f>
        <v>Power: 4.7 kW. Lifetime: 39800 km. Annual kilometers: 2731 km. Number of passengers: 1.1. Curb mass: 104.5 kg. Lightweighting of glider: 7%. Emission standard: None. Service visits throughout lifetime: 0.8. Range: 150 km. Battery capacity: 9.5 kWh. Available battery capacity: 7.6 kWh. Battery mass: 22.8 kg. Battery replacement throughout lifetime: 0. Fuel tank capacity: 0 kWh. Fuel mass: 0 kg. Documentation: 2021 UVEK life-cycle inventories update of on-road vehicles, Sacchi R. (PSI), Bauer C. (PSI), 2021. 890</v>
      </c>
    </row>
    <row r="321" spans="1:8" ht="15.6" x14ac:dyDescent="0.3">
      <c r="A321" s="11" t="s">
        <v>80</v>
      </c>
    </row>
    <row r="322" spans="1:8" x14ac:dyDescent="0.3">
      <c r="A322" t="s">
        <v>81</v>
      </c>
      <c r="B322" t="s">
        <v>82</v>
      </c>
      <c r="C322" t="s">
        <v>73</v>
      </c>
      <c r="D322" t="s">
        <v>77</v>
      </c>
      <c r="E322" t="s">
        <v>83</v>
      </c>
      <c r="F322" t="s">
        <v>75</v>
      </c>
      <c r="G322" t="s">
        <v>84</v>
      </c>
      <c r="H322" t="s">
        <v>74</v>
      </c>
    </row>
    <row r="323" spans="1:8" x14ac:dyDescent="0.3">
      <c r="A323" s="12" t="str">
        <f>B295</f>
        <v>transport, Motorbike, electric, 4-11kW, 2050</v>
      </c>
      <c r="B323" s="12">
        <v>1</v>
      </c>
      <c r="C323" s="12" t="str">
        <f>B296</f>
        <v>CH</v>
      </c>
      <c r="D323" s="12" t="s">
        <v>172</v>
      </c>
      <c r="E323" s="12"/>
      <c r="F323" s="12" t="s">
        <v>85</v>
      </c>
      <c r="G323" s="12" t="s">
        <v>86</v>
      </c>
      <c r="H323" s="12" t="str">
        <f>B301</f>
        <v>transport, Motorbike, electric, 4-11kW</v>
      </c>
    </row>
    <row r="324" spans="1:8" x14ac:dyDescent="0.3">
      <c r="A324" s="12" t="str">
        <f>RIGHT(A323,LEN(A323)-11)</f>
        <v>Motorbike, electric, 4-11kW, 2050</v>
      </c>
      <c r="B324" s="12">
        <f>1/B305</f>
        <v>2.5125628140703518E-5</v>
      </c>
      <c r="C324" s="12" t="str">
        <f>B296</f>
        <v>CH</v>
      </c>
      <c r="D324" s="12" t="s">
        <v>77</v>
      </c>
      <c r="E324" s="12"/>
      <c r="F324" s="12" t="s">
        <v>91</v>
      </c>
      <c r="G324" s="12"/>
      <c r="H324" s="12" t="str">
        <f>RIGHT(H323,LEN(H323)-11)</f>
        <v>Motorbike, electric, 4-11kW</v>
      </c>
    </row>
    <row r="325" spans="1:8" x14ac:dyDescent="0.3">
      <c r="A325" s="12" t="str">
        <f>INDEX('ei names mapping'!$B$4:$R$33,MATCH(B297,'ei names mapping'!$A$4:$A$33,0),MATCH(G325,'ei names mapping'!$B$3:$R$3,0))</f>
        <v>road maintenance</v>
      </c>
      <c r="B325" s="16">
        <f>INDEX('vehicles specifications'!$B$3:$CK$86,MATCH(B300,'vehicles specifications'!$A$3:$A$86,0),MATCH(G325,'vehicles specifications'!$B$2:$CK$2,0))*INDEX('ei names mapping'!$B$137:$BK$220,MATCH(B300,'ei names mapping'!$A$137:$A$220,0),MATCH(G325,'ei names mapping'!$B$136:$BK$136,0))</f>
        <v>1.2899999999999999E-3</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t="s">
        <v>117</v>
      </c>
      <c r="H325" s="12" t="str">
        <f>INDEX('ei names mapping'!$B$71:$BK$100,MATCH(B297,'ei names mapping'!$A$4:$A$33,0),MATCH(G325,'ei names mapping'!$B$3:$BK$3,0))</f>
        <v>road maintenance</v>
      </c>
    </row>
    <row r="326" spans="1:8" x14ac:dyDescent="0.3">
      <c r="A326" s="12" t="str">
        <f>INDEX('ei names mapping'!$B$4:$R$33,MATCH(B297,'ei names mapping'!$A$4:$A$33,0),MATCH(G326,'ei names mapping'!$B$3:$R$3,0))</f>
        <v>market for electricity, low voltage</v>
      </c>
      <c r="B326" s="14">
        <f>INDEX('vehicles specifications'!$B$3:$CK$86,MATCH(B300,'vehicles specifications'!$A$3:$A$86,0),MATCH(G326,'vehicles specifications'!$B$2:$CK$2,0))*INDEX('ei names mapping'!$B$137:$BK$220,MATCH(B300,'ei names mapping'!$A$137:$A$220,0),MATCH(G326,'ei names mapping'!$B$136:$BK$136,0))</f>
        <v>5.5611111111111111E-2</v>
      </c>
      <c r="C326" s="12" t="str">
        <f>INDEX('ei names mapping'!$B$38:$R$67,MATCH($B$3,'ei names mapping'!$A$4:$A$33,0),MATCH(G326,'ei names mapping'!$B$3:$R$3,0))</f>
        <v>CH</v>
      </c>
      <c r="D326" s="12" t="str">
        <f>INDEX('ei names mapping'!$B$104:$R$133,MATCH($B$3,'ei names mapping'!$A$4:$A$33,0),MATCH(G326,'ei names mapping'!$B$3:$R$3,0))</f>
        <v>kilowatt hour</v>
      </c>
      <c r="E326" s="12"/>
      <c r="F326" s="12" t="s">
        <v>91</v>
      </c>
      <c r="G326" t="s">
        <v>28</v>
      </c>
      <c r="H326" s="12" t="str">
        <f>INDEX('ei names mapping'!$B$71:$R$100,MATCH(B297,'ei names mapping'!$A$4:$A$33,0),MATCH(G326,'ei names mapping'!$B$3:$R$3,0))</f>
        <v>electricity, low voltage</v>
      </c>
    </row>
    <row r="327" spans="1:8" x14ac:dyDescent="0.3">
      <c r="A327" s="12" t="str">
        <f>INDEX('ei names mapping'!$B$4:$R$33,MATCH(B297,'ei names mapping'!$A$4:$A$33,0),MATCH(G327,'ei names mapping'!$B$3:$R$3,0))</f>
        <v>market for maintenance, electric scooter, without battery</v>
      </c>
      <c r="B327" s="16">
        <f>INDEX('vehicles specifications'!$B$3:$CK$86,MATCH(B300,'vehicles specifications'!$A$3:$A$86,0),MATCH(G327,'vehicles specifications'!$B$2:$CK$2,0))*INDEX('ei names mapping'!$B$137:$BK$220,MATCH(B300,'ei names mapping'!$A$137:$A$220,0),MATCH(G327,'ei names mapping'!$B$136:$BK$136,0))</f>
        <v>2.0000000000000002E-5</v>
      </c>
      <c r="C327" s="12" t="str">
        <f>INDEX('ei names mapping'!$B$38:$BK$67,MATCH(B297,'ei names mapping'!$A$4:$A$33,0),MATCH(G327,'ei names mapping'!$B$3:$BK$3,0))</f>
        <v>GLO</v>
      </c>
      <c r="D327" s="12" t="str">
        <f>INDEX('ei names mapping'!$B$104:$BK$133,MATCH(B297,'ei names mapping'!$A$4:$A$33,0),MATCH(G327,'ei names mapping'!$B$3:$BK$3,0))</f>
        <v>unit</v>
      </c>
      <c r="F327" s="12" t="s">
        <v>91</v>
      </c>
      <c r="G327" s="12" t="s">
        <v>123</v>
      </c>
      <c r="H327" s="12" t="str">
        <f>INDEX('ei names mapping'!$B$71:$BK$100,MATCH(B297,'ei names mapping'!$A$4:$A$33,0),MATCH(G327,'ei names mapping'!$B$3:$BK$3,0))</f>
        <v>maintenance, electric scooter, without battery</v>
      </c>
    </row>
    <row r="328" spans="1:8" s="21" customFormat="1" x14ac:dyDescent="0.3">
      <c r="A328" s="12" t="str">
        <f>INDEX('ei names mapping'!$B$4:$R$33,MATCH(B297,'ei names mapping'!$A$4:$A$33,0),MATCH(G328,'ei names mapping'!$B$3:$R$3,0))</f>
        <v>road construction</v>
      </c>
      <c r="B328" s="16">
        <f>INDEX('vehicles specifications'!$B$3:$CK$86,MATCH(B300,'vehicles specifications'!$A$3:$A$86,0),MATCH(G328,'vehicles specifications'!$B$2:$CK$2,0))*INDEX('ei names mapping'!$B$137:$BK$220,MATCH(B300,'ei names mapping'!$A$137:$A$220,0),MATCH(G328,'ei names mapping'!$B$136:$BK$136,0))</f>
        <v>1.0066250752225764E-4</v>
      </c>
      <c r="C328" s="12" t="str">
        <f>INDEX('ei names mapping'!$B$38:$R$67,MATCH(B297,'ei names mapping'!$A$4:$A$33,0),MATCH(G328,'ei names mapping'!$B$3:$R$3,0))</f>
        <v>CH</v>
      </c>
      <c r="D328" s="12" t="str">
        <f>INDEX('ei names mapping'!$B$104:$R$133,MATCH(B297,'ei names mapping'!$A$104:$A$133,0),MATCH(G328,'ei names mapping'!$B$3:$R$3,0))</f>
        <v>meter-year</v>
      </c>
      <c r="E328" s="12"/>
      <c r="F328" s="12" t="s">
        <v>91</v>
      </c>
      <c r="G328" s="21" t="s">
        <v>108</v>
      </c>
      <c r="H328" s="12" t="str">
        <f>INDEX('ei names mapping'!$B$71:$R$100,MATCH(B297,'ei names mapping'!$A$4:$A$33,0),MATCH(G328,'ei names mapping'!$B$3:$R$3,0))</f>
        <v>road</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-7.3669999999999991E-6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-4.1749999999999998E-6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t="s">
        <v>31</v>
      </c>
      <c r="H331" s="12" t="str">
        <f>INDEX('ei names mapping'!$B$71:$BK$100,MATCH(B297,'ei names mapping'!$A$4:$A$33,0),MATCH(G331,'ei names mapping'!$B$3:$BK$3,0))</f>
        <v>brake wear emissions, passenger car</v>
      </c>
    </row>
    <row r="333" spans="1:8" ht="15.6" x14ac:dyDescent="0.3">
      <c r="A333" s="11" t="s">
        <v>72</v>
      </c>
      <c r="B333" s="9" t="str">
        <f>"transport, "&amp;B335&amp;", "&amp;B337&amp;", label-certified electricity"</f>
        <v>transport, Motorbike, electric, 4-11kW, 2020, label-certified electricity</v>
      </c>
    </row>
    <row r="334" spans="1:8" x14ac:dyDescent="0.3">
      <c r="A334" t="s">
        <v>73</v>
      </c>
      <c r="B334" t="s">
        <v>37</v>
      </c>
    </row>
    <row r="335" spans="1:8" x14ac:dyDescent="0.3">
      <c r="A335" t="s">
        <v>87</v>
      </c>
      <c r="B335" t="s">
        <v>521</v>
      </c>
    </row>
    <row r="336" spans="1:8" x14ac:dyDescent="0.3">
      <c r="A336" t="s">
        <v>88</v>
      </c>
      <c r="B336" s="12"/>
    </row>
    <row r="337" spans="1:2" x14ac:dyDescent="0.3">
      <c r="A337" t="s">
        <v>89</v>
      </c>
      <c r="B337" s="12">
        <v>2020</v>
      </c>
    </row>
    <row r="338" spans="1:2" x14ac:dyDescent="0.3">
      <c r="A338" t="s">
        <v>131</v>
      </c>
      <c r="B338" s="12" t="str">
        <f>B335&amp;" - "&amp;B337&amp;" - "&amp;B334</f>
        <v>Motorbike, electric, 4-11kW - 2020 - CH</v>
      </c>
    </row>
    <row r="339" spans="1:2" x14ac:dyDescent="0.3">
      <c r="A339" t="s">
        <v>74</v>
      </c>
      <c r="B339" s="12" t="str">
        <f>"transport, "&amp;B335</f>
        <v>transport, Motorbike, electric, 4-11kW</v>
      </c>
    </row>
    <row r="340" spans="1:2" x14ac:dyDescent="0.3">
      <c r="A340" t="s">
        <v>75</v>
      </c>
      <c r="B340" t="s">
        <v>76</v>
      </c>
    </row>
    <row r="341" spans="1:2" x14ac:dyDescent="0.3">
      <c r="A341" t="s">
        <v>77</v>
      </c>
      <c r="B341" t="s">
        <v>172</v>
      </c>
    </row>
    <row r="342" spans="1:2" x14ac:dyDescent="0.3">
      <c r="A342" t="s">
        <v>79</v>
      </c>
      <c r="B342" t="s">
        <v>90</v>
      </c>
    </row>
    <row r="343" spans="1:2" x14ac:dyDescent="0.3">
      <c r="A343" t="s">
        <v>132</v>
      </c>
      <c r="B343">
        <f>INDEX('vehicles specifications'!$B$3:$CK$86,MATCH(B338,'vehicles specifications'!$A$3:$A$86,0),MATCH("Lifetime [km]",'vehicles specifications'!$B$2:$CK$2,0))</f>
        <v>39800</v>
      </c>
    </row>
    <row r="344" spans="1:2" x14ac:dyDescent="0.3">
      <c r="A344" t="s">
        <v>133</v>
      </c>
      <c r="B344">
        <f>INDEX('vehicles specifications'!$B$3:$CK$86,MATCH(B338,'vehicles specifications'!$A$3:$A$86,0),MATCH("Passengers [unit]",'vehicles specifications'!$B$2:$CK$2,0))</f>
        <v>1.1000000000000001</v>
      </c>
    </row>
    <row r="345" spans="1:2" x14ac:dyDescent="0.3">
      <c r="A345" t="s">
        <v>134</v>
      </c>
      <c r="B345">
        <f>INDEX('vehicles specifications'!$B$3:$CK$86,MATCH(B338,'vehicles specifications'!$A$3:$A$86,0),MATCH("Servicing [unit]",'vehicles specifications'!$B$2:$CK$2,0))</f>
        <v>0.79600000000000004</v>
      </c>
    </row>
    <row r="346" spans="1:2" x14ac:dyDescent="0.3">
      <c r="A346" t="s">
        <v>135</v>
      </c>
      <c r="B346">
        <f>INDEX('vehicles specifications'!$B$3:$CK$86,MATCH(B338,'vehicles specifications'!$A$3:$A$86,0),MATCH("Energy battery replacement [unit]",'vehicles specifications'!$B$2:$CK$2,0))</f>
        <v>1</v>
      </c>
    </row>
    <row r="347" spans="1:2" x14ac:dyDescent="0.3">
      <c r="A347" t="s">
        <v>136</v>
      </c>
      <c r="B347">
        <f>INDEX('vehicles specifications'!$B$3:$CK$86,MATCH(B338,'vehicles specifications'!$A$3:$A$86,0),MATCH("Annual kilometers [km]",'vehicles specifications'!$B$2:$CK$2,0))</f>
        <v>2731</v>
      </c>
    </row>
    <row r="348" spans="1:2" x14ac:dyDescent="0.3">
      <c r="A348" t="s">
        <v>137</v>
      </c>
      <c r="B348" s="2">
        <f>INDEX('vehicles specifications'!$B$3:$CK$86,MATCH(B338,'vehicles specifications'!$A$3:$A$86,0),MATCH("Curb mass [kg]",'vehicles specifications'!$B$2:$CK$2,0))</f>
        <v>103.63382696032849</v>
      </c>
    </row>
    <row r="349" spans="1:2" x14ac:dyDescent="0.3">
      <c r="A349" t="s">
        <v>138</v>
      </c>
      <c r="B349">
        <f>INDEX('vehicles specifications'!$B$3:$CK$86,MATCH(B338,'vehicles specifications'!$A$3:$A$86,0),MATCH("Power [kW]",'vehicles specifications'!$B$2:$CK$2,0))</f>
        <v>4.7</v>
      </c>
    </row>
    <row r="350" spans="1:2" x14ac:dyDescent="0.3">
      <c r="A350" t="s">
        <v>139</v>
      </c>
      <c r="B350">
        <f>INDEX('vehicles specifications'!$B$3:$CK$86,MATCH(B338,'vehicles specifications'!$A$3:$A$86,0),MATCH("Energy battery mass [kg]",'vehicles specifications'!$B$2:$CK$2,0))</f>
        <v>17.399999999999999</v>
      </c>
    </row>
    <row r="351" spans="1:2" x14ac:dyDescent="0.3">
      <c r="A351" t="s">
        <v>140</v>
      </c>
      <c r="B351" s="21">
        <f>INDEX('vehicles specifications'!$B$3:$CK$86,MATCH(B338,'vehicles specifications'!$A$3:$A$86,0),MATCH("Electric energy stored [kWh]",'vehicles specifications'!$B$2:$CK$2,0))</f>
        <v>2.9</v>
      </c>
    </row>
    <row r="352" spans="1:2" s="21" customFormat="1" x14ac:dyDescent="0.3">
      <c r="A352" s="21" t="s">
        <v>654</v>
      </c>
      <c r="B352" s="21">
        <f>INDEX('vehicles specifications'!$B$3:$CK$86,MATCH(B338,'vehicles specifications'!$A$3:$A$86,0),MATCH("Electric energy available [kWh]",'vehicles specifications'!$B$2:$CK$2,0))</f>
        <v>2.3199999999999998</v>
      </c>
    </row>
    <row r="353" spans="1:8" x14ac:dyDescent="0.3">
      <c r="A353" t="s">
        <v>143</v>
      </c>
      <c r="B353" s="2">
        <f>INDEX('vehicles specifications'!$B$3:$CK$86,MATCH(B338,'vehicles specifications'!$A$3:$A$86,0),MATCH("Oxydation energy stored [kWh]",'vehicles specifications'!$B$2:$CK$2,0))</f>
        <v>0</v>
      </c>
    </row>
    <row r="354" spans="1:8" x14ac:dyDescent="0.3">
      <c r="A354" t="s">
        <v>145</v>
      </c>
      <c r="B354">
        <f>INDEX('vehicles specifications'!$B$3:$CK$86,MATCH(B338,'vehicles specifications'!$A$3:$A$86,0),MATCH("Fuel mass [kg]",'vehicles specifications'!$B$2:$CK$2,0))</f>
        <v>0</v>
      </c>
    </row>
    <row r="355" spans="1:8" x14ac:dyDescent="0.3">
      <c r="A355" t="s">
        <v>141</v>
      </c>
      <c r="B355" s="2">
        <f>INDEX('vehicles specifications'!$B$3:$CK$86,MATCH(B338,'vehicles specifications'!$A$3:$A$86,0),MATCH("Range [km]",'vehicles specifications'!$B$2:$CK$2,0))</f>
        <v>45.890109890109891</v>
      </c>
    </row>
    <row r="356" spans="1:8" x14ac:dyDescent="0.3">
      <c r="A356" t="s">
        <v>142</v>
      </c>
      <c r="B356" t="str">
        <f>INDEX('vehicles specifications'!$B$3:$CK$86,MATCH(B338,'vehicles specifications'!$A$3:$A$86,0),MATCH("Emission standard",'vehicles specifications'!$B$2:$CK$2,0))</f>
        <v>None</v>
      </c>
    </row>
    <row r="357" spans="1:8" x14ac:dyDescent="0.3">
      <c r="A357" t="s">
        <v>144</v>
      </c>
      <c r="B357" s="6">
        <f>INDEX('vehicles specifications'!$B$3:$CK$86,MATCH(B338,'vehicles specifications'!$A$3:$A$86,0),MATCH("Lightweighting rate [%]",'vehicles specifications'!$B$2:$CK$2,0))</f>
        <v>0</v>
      </c>
    </row>
    <row r="358" spans="1:8" x14ac:dyDescent="0.3">
      <c r="A358" t="s">
        <v>84</v>
      </c>
      <c r="B358" s="21" t="str">
        <f>"Power: "&amp;B349&amp;" kW. Lifetime: "&amp;B343&amp;" km. Annual kilometers: "&amp;B347&amp;" km. Number of passengers: "&amp;B344&amp;". Curb mass: "&amp;ROUND(B348,1)&amp;" kg. Lightweighting of glider: "&amp;ROUND(B357*100,0)&amp;"%. Emission standard: "&amp;B356&amp;". Service visits throughout lifetime: "&amp;ROUND(B345,1)&amp;". Range: "&amp;ROUND(B355,0)&amp;" km. Battery capacity: "&amp;ROUND(B351,1)&amp;" kWh. Available battery capacity: "&amp;B352&amp;" kWh. Battery mass: "&amp;ROUND(B350,1)&amp; " kg. Battery replacement throughout lifetime: "&amp;ROUND(B346,1)&amp;". Fuel tank capacity: "&amp;ROUND(B353,1)&amp;" kWh. Fuel mass: "&amp;ROUND(B354,1)&amp;" kg. Documentation: "&amp;Readmefirst!$B$2&amp;", "&amp;Readmefirst!$B$3&amp;". "&amp;'lci-kick scooter'!B301</f>
        <v>Power: 4.7 kW. Lifetime: 39800 km. Annual kilometers: 2731 km. Number of passengers: 1.1. Curb mass: 103.6 kg. Lightweighting of glider: 0%. Emission standard: None. Service visits throughout lifetime: 0.8. Range: 46 km. Battery capacity: 2.9 kWh. Available battery capacity: 2.32 kWh. Battery mass: 17.4 kg. Battery replacement throughout lifetime: 1. Fuel tank capacity: 0 kWh. Fuel mass: 0 kg. Documentation: 2021 UVEK life-cycle inventories update of on-road vehicles, Sacchi R. (PSI), Bauer C. (PSI), 2021. 11.81</v>
      </c>
    </row>
    <row r="359" spans="1:8" ht="15.6" x14ac:dyDescent="0.3">
      <c r="A359" s="11" t="s">
        <v>80</v>
      </c>
    </row>
    <row r="360" spans="1:8" x14ac:dyDescent="0.3">
      <c r="A360" t="s">
        <v>81</v>
      </c>
      <c r="B360" t="s">
        <v>82</v>
      </c>
      <c r="C360" t="s">
        <v>73</v>
      </c>
      <c r="D360" t="s">
        <v>77</v>
      </c>
      <c r="E360" t="s">
        <v>83</v>
      </c>
      <c r="F360" t="s">
        <v>75</v>
      </c>
      <c r="G360" t="s">
        <v>84</v>
      </c>
      <c r="H360" t="s">
        <v>74</v>
      </c>
    </row>
    <row r="361" spans="1:8" x14ac:dyDescent="0.3">
      <c r="A361" s="12" t="str">
        <f>B333</f>
        <v>transport, Motorbike, electric, 4-11kW, 2020, label-certified electricity</v>
      </c>
      <c r="B361" s="12">
        <v>1</v>
      </c>
      <c r="C361" s="12" t="str">
        <f>B334</f>
        <v>CH</v>
      </c>
      <c r="D361" s="12" t="s">
        <v>172</v>
      </c>
      <c r="E361" s="12"/>
      <c r="F361" s="12" t="s">
        <v>85</v>
      </c>
      <c r="G361" s="12" t="s">
        <v>86</v>
      </c>
      <c r="H361" s="12" t="str">
        <f>B339</f>
        <v>transport, Motorbike, electric, 4-11kW</v>
      </c>
    </row>
    <row r="362" spans="1:8" x14ac:dyDescent="0.3">
      <c r="A362" s="12" t="str">
        <f>B335&amp;", "&amp;B337</f>
        <v>Motorbike, electric, 4-11kW, 2020</v>
      </c>
      <c r="B362" s="15">
        <f>1/B343</f>
        <v>2.5125628140703518E-5</v>
      </c>
      <c r="C362" s="12" t="str">
        <f>B334</f>
        <v>CH</v>
      </c>
      <c r="D362" s="12" t="s">
        <v>77</v>
      </c>
      <c r="E362" s="12"/>
      <c r="F362" s="12" t="s">
        <v>91</v>
      </c>
      <c r="G362" s="12"/>
      <c r="H362" s="12" t="str">
        <f>RIGHT(H361,LEN(H361)-11)</f>
        <v>Motorbike, electric, 4-11kW</v>
      </c>
    </row>
    <row r="363" spans="1:8" x14ac:dyDescent="0.3">
      <c r="A363" s="12" t="str">
        <f>INDEX('ei names mapping'!$B$4:$R$33,MATCH(B335,'ei names mapping'!$A$4:$A$33,0),MATCH(G363,'ei names mapping'!$B$3:$R$3,0))</f>
        <v>road maintenance</v>
      </c>
      <c r="B363" s="16">
        <f>INDEX('vehicles specifications'!$B$3:$CK$86,MATCH(B338,'vehicles specifications'!$A$3:$A$86,0),MATCH(G363,'vehicles specifications'!$B$2:$CK$2,0))*INDEX('ei names mapping'!$B$137:$BK$220,MATCH(B338,'ei names mapping'!$A$137:$A$220,0),MATCH(G363,'ei names mapping'!$B$136:$BK$136,0))</f>
        <v>1.2899999999999999E-3</v>
      </c>
      <c r="C363" s="12" t="str">
        <f>INDEX('ei names mapping'!$B$38:$R$67,MATCH(B335,'ei names mapping'!$A$4:$A$33,0),MATCH(G363,'ei names mapping'!$B$3:$R$3,0))</f>
        <v>CH</v>
      </c>
      <c r="D363" s="12" t="str">
        <f>INDEX('ei names mapping'!$B$104:$BK$133,MATCH(B335,'ei names mapping'!$A$4:$A$33,0),MATCH(G363,'ei names mapping'!$B$3:$BK$3,0))</f>
        <v>meter-year</v>
      </c>
      <c r="E363" s="12"/>
      <c r="F363" s="12" t="s">
        <v>91</v>
      </c>
      <c r="G363" t="s">
        <v>117</v>
      </c>
      <c r="H363" s="12" t="str">
        <f>INDEX('ei names mapping'!$B$71:$BK$100,MATCH(B335,'ei names mapping'!$A$4:$A$33,0),MATCH(G363,'ei names mapping'!$B$3:$BK$3,0))</f>
        <v>road maintenance</v>
      </c>
    </row>
    <row r="364" spans="1:8" x14ac:dyDescent="0.3">
      <c r="A364" s="12" t="s">
        <v>114</v>
      </c>
      <c r="B364" s="14">
        <f>INDEX('vehicles specifications'!$B$3:$CK$86,MATCH(B338,'vehicles specifications'!$A$3:$A$86,0),MATCH(G364,'vehicles specifications'!$B$2:$CK$2,0))*INDEX('ei names mapping'!$B$137:$BK$220,MATCH(B338,'ei names mapping'!$A$137:$A$220,0),MATCH(G364,'ei names mapping'!$B$136:$BK$136,0))</f>
        <v>5.5611111111111111E-2</v>
      </c>
      <c r="C364" s="12" t="str">
        <f>INDEX('ei names mapping'!$B$38:$R$67,MATCH($B$3,'ei names mapping'!$A$4:$A$33,0),MATCH(G364,'ei names mapping'!$B$3:$R$3,0))</f>
        <v>CH</v>
      </c>
      <c r="D364" s="12" t="str">
        <f>INDEX('ei names mapping'!$B$104:$R$133,MATCH($B$3,'ei names mapping'!$A$4:$A$33,0),MATCH(G364,'ei names mapping'!$B$3:$R$3,0))</f>
        <v>kilowatt hour</v>
      </c>
      <c r="E364" s="12"/>
      <c r="F364" s="12" t="s">
        <v>91</v>
      </c>
      <c r="G364" t="s">
        <v>28</v>
      </c>
      <c r="H364" s="12" t="s">
        <v>116</v>
      </c>
    </row>
    <row r="365" spans="1:8" x14ac:dyDescent="0.3">
      <c r="A365" s="12" t="str">
        <f>INDEX('ei names mapping'!$B$4:$R$33,MATCH(B335,'ei names mapping'!$A$4:$A$33,0),MATCH(G365,'ei names mapping'!$B$3:$R$3,0))</f>
        <v>market for maintenance, electric scooter, without battery</v>
      </c>
      <c r="B365" s="16">
        <f>INDEX('vehicles specifications'!$B$3:$CK$86,MATCH(B338,'vehicles specifications'!$A$3:$A$86,0),MATCH(G365,'vehicles specifications'!$B$2:$CK$2,0))*INDEX('ei names mapping'!$B$137:$BK$220,MATCH(B338,'ei names mapping'!$A$137:$A$220,0),MATCH(G365,'ei names mapping'!$B$136:$BK$136,0))</f>
        <v>2.0000000000000002E-5</v>
      </c>
      <c r="C365" s="12" t="str">
        <f>INDEX('ei names mapping'!$B$38:$BK$67,MATCH(B335,'ei names mapping'!$A$4:$A$33,0),MATCH(G365,'ei names mapping'!$B$3:$BK$3,0))</f>
        <v>GLO</v>
      </c>
      <c r="D365" s="12" t="str">
        <f>INDEX('ei names mapping'!$B$104:$BK$133,MATCH(B335,'ei names mapping'!$A$4:$A$33,0),MATCH(G365,'ei names mapping'!$B$3:$BK$3,0))</f>
        <v>unit</v>
      </c>
      <c r="F365" s="12" t="s">
        <v>91</v>
      </c>
      <c r="G365" s="12" t="s">
        <v>123</v>
      </c>
      <c r="H365" s="12" t="str">
        <f>INDEX('ei names mapping'!$B$71:$BK$100,MATCH(B335,'ei names mapping'!$A$4:$A$33,0),MATCH(G365,'ei names mapping'!$B$3:$BK$3,0))</f>
        <v>maintenance, electric scooter, without battery</v>
      </c>
    </row>
    <row r="366" spans="1:8" s="21" customFormat="1" x14ac:dyDescent="0.3">
      <c r="A366" s="12" t="str">
        <f>INDEX('ei names mapping'!$B$4:$R$33,MATCH(B335,'ei names mapping'!$A$4:$A$33,0),MATCH(G366,'ei names mapping'!$B$3:$R$3,0))</f>
        <v>road construction</v>
      </c>
      <c r="B366" s="16">
        <f>INDEX('vehicles specifications'!$B$3:$CK$86,MATCH(B338,'vehicles specifications'!$A$3:$A$86,0),MATCH(G366,'vehicles specifications'!$B$2:$CK$2,0))*INDEX('ei names mapping'!$B$137:$BK$220,MATCH(B338,'ei names mapping'!$A$137:$A$220,0),MATCH(G366,'ei names mapping'!$B$136:$BK$136,0))</f>
        <v>1.002223650776964E-4</v>
      </c>
      <c r="C366" s="12" t="str">
        <f>INDEX('ei names mapping'!$B$38:$R$67,MATCH(B335,'ei names mapping'!$A$4:$A$33,0),MATCH(G366,'ei names mapping'!$B$3:$R$3,0))</f>
        <v>CH</v>
      </c>
      <c r="D366" s="12" t="str">
        <f>INDEX('ei names mapping'!$B$104:$R$133,MATCH(B335,'ei names mapping'!$A$104:$A$133,0),MATCH(G366,'ei names mapping'!$B$3:$R$3,0))</f>
        <v>meter-year</v>
      </c>
      <c r="E366" s="12"/>
      <c r="F366" s="12" t="s">
        <v>91</v>
      </c>
      <c r="G366" s="21" t="s">
        <v>108</v>
      </c>
      <c r="H366" s="12" t="str">
        <f>INDEX('ei names mapping'!$B$71:$R$100,MATCH(B335,'ei names mapping'!$A$4:$A$33,0),MATCH(G366,'ei names mapping'!$B$3:$R$3,0))</f>
        <v>road</v>
      </c>
    </row>
    <row r="367" spans="1:8" x14ac:dyDescent="0.3">
      <c r="A367" s="12" t="str">
        <f>INDEX('ei names mapping'!$B$4:$BK$33,MATCH(B335,'ei names mapping'!$A$4:$A$33,0),MATCH(G367,'ei names mapping'!$B$3:$BK$3,0))</f>
        <v>treatment of road wear emissions, passenger car</v>
      </c>
      <c r="B367" s="16">
        <f>INDEX('vehicles specifications'!$B$3:$CK$86,MATCH(B338,'vehicles specifications'!$A$3:$A$86,0),MATCH(G367,'vehicles specifications'!$B$2:$CK$2,0))*INDEX('ei names mapping'!$B$137:$BK$220,MATCH(B338,'ei names mapping'!$A$137:$A$220,0),MATCH(G367,'ei names mapping'!$B$136:$BK$136,0))</f>
        <v>-6.0000000000000002E-6</v>
      </c>
      <c r="C367" s="12" t="str">
        <f>INDEX('ei names mapping'!$B$38:$BK$67,MATCH(B335,'ei names mapping'!$A$4:$A$33,0),MATCH(G367,'ei names mapping'!$B$3:$BK$3,0))</f>
        <v>RER</v>
      </c>
      <c r="D367" s="12" t="str">
        <f>INDEX('ei names mapping'!$B$104:$BK$133,MATCH(B335,'ei names mapping'!$A$4:$A$33,0),MATCH(G367,'ei names mapping'!$B$3:$BK$3,0))</f>
        <v>kilogram</v>
      </c>
      <c r="E367" s="12"/>
      <c r="F367" s="12" t="s">
        <v>91</v>
      </c>
      <c r="G367" t="s">
        <v>29</v>
      </c>
      <c r="H367" s="12" t="str">
        <f>INDEX('ei names mapping'!$B$71:$BK$100,MATCH(B335,'ei names mapping'!$A$4:$A$33,0),MATCH(G367,'ei names mapping'!$B$3:$BK$3,0))</f>
        <v>road wear emissions, passenger car</v>
      </c>
    </row>
    <row r="368" spans="1:8" x14ac:dyDescent="0.3">
      <c r="A368" s="12" t="str">
        <f>INDEX('ei names mapping'!$B$4:$BK$33,MATCH(B335,'ei names mapping'!$A$4:$A$33,0),MATCH(G368,'ei names mapping'!$B$3:$BK$3,0))</f>
        <v>treatment of tyre wear emissions, passenger car</v>
      </c>
      <c r="B368" s="16">
        <f>INDEX('vehicles specifications'!$B$3:$CK$86,MATCH(B338,'vehicles specifications'!$A$3:$A$86,0),MATCH(G368,'vehicles specifications'!$B$2:$CK$2,0))*INDEX('ei names mapping'!$B$137:$BK$220,MATCH(B338,'ei names mapping'!$A$137:$A$220,0),MATCH(G368,'ei names mapping'!$B$136:$BK$136,0))</f>
        <v>-7.3669999999999991E-6</v>
      </c>
      <c r="C368" s="12" t="str">
        <f>INDEX('ei names mapping'!$B$38:$BK$67,MATCH(B335,'ei names mapping'!$A$4:$A$33,0),MATCH(G368,'ei names mapping'!$B$3:$BK$3,0))</f>
        <v>RER</v>
      </c>
      <c r="D368" s="12" t="str">
        <f>INDEX('ei names mapping'!$B$104:$BK$133,MATCH(B335,'ei names mapping'!$A$4:$A$33,0),MATCH(G368,'ei names mapping'!$B$3:$BK$3,0))</f>
        <v>kilogram</v>
      </c>
      <c r="E368" s="12"/>
      <c r="F368" s="12" t="s">
        <v>91</v>
      </c>
      <c r="G368" t="s">
        <v>30</v>
      </c>
      <c r="H368" s="12" t="str">
        <f>INDEX('ei names mapping'!$B$71:$BK$100,MATCH(B335,'ei names mapping'!$A$4:$A$33,0),MATCH(G368,'ei names mapping'!$B$3:$BK$3,0))</f>
        <v>tyre wear emissions, passenger car</v>
      </c>
    </row>
    <row r="369" spans="1:8" x14ac:dyDescent="0.3">
      <c r="A369" s="12" t="str">
        <f>INDEX('ei names mapping'!$B$4:$BK$33,MATCH(B335,'ei names mapping'!$A$4:$A$33,0),MATCH(G369,'ei names mapping'!$B$3:$BK$3,0))</f>
        <v>treatment of brake wear emissions, passenger car</v>
      </c>
      <c r="B369" s="16">
        <f>INDEX('vehicles specifications'!$B$3:$CK$86,MATCH(B338,'vehicles specifications'!$A$3:$A$86,0),MATCH(G369,'vehicles specifications'!$B$2:$CK$2,0))*INDEX('ei names mapping'!$B$137:$BK$220,MATCH(B338,'ei names mapping'!$A$137:$A$220,0),MATCH(G369,'ei names mapping'!$B$136:$BK$136,0))</f>
        <v>-4.1749999999999998E-6</v>
      </c>
      <c r="C369" s="12" t="str">
        <f>INDEX('ei names mapping'!$B$38:$BK$67,MATCH(B335,'ei names mapping'!$A$4:$A$33,0),MATCH(G369,'ei names mapping'!$B$3:$BK$3,0))</f>
        <v>RER</v>
      </c>
      <c r="D369" s="12" t="str">
        <f>INDEX('ei names mapping'!$B$104:$BK$133,MATCH(B335,'ei names mapping'!$A$4:$A$33,0),MATCH(G369,'ei names mapping'!$B$3:$BK$3,0))</f>
        <v>kilogram</v>
      </c>
      <c r="E369" s="12"/>
      <c r="F369" s="12" t="s">
        <v>91</v>
      </c>
      <c r="G369" t="s">
        <v>31</v>
      </c>
      <c r="H369" s="12" t="str">
        <f>INDEX('ei names mapping'!$B$71:$BK$100,MATCH(B335,'ei names mapping'!$A$4:$A$33,0),MATCH(G369,'ei names mapping'!$B$3:$BK$3,0))</f>
        <v>brake wear emissions, passenger car</v>
      </c>
    </row>
    <row r="370" spans="1:8" x14ac:dyDescent="0.3">
      <c r="B370" s="6"/>
    </row>
    <row r="371" spans="1:8" ht="15.6" x14ac:dyDescent="0.3">
      <c r="A371" s="11" t="s">
        <v>72</v>
      </c>
      <c r="B371" s="9" t="str">
        <f>"transport, "&amp;B373&amp;", "&amp;B375&amp;", label-certified electricity"</f>
        <v>transport, Motorbike, electric, 4-11kW, 2030, label-certified electricity</v>
      </c>
    </row>
    <row r="372" spans="1:8" x14ac:dyDescent="0.3">
      <c r="A372" t="s">
        <v>73</v>
      </c>
      <c r="B372" t="s">
        <v>37</v>
      </c>
    </row>
    <row r="373" spans="1:8" x14ac:dyDescent="0.3">
      <c r="A373" t="s">
        <v>87</v>
      </c>
      <c r="B373" t="s">
        <v>521</v>
      </c>
    </row>
    <row r="374" spans="1:8" x14ac:dyDescent="0.3">
      <c r="A374" t="s">
        <v>88</v>
      </c>
      <c r="B374" s="12"/>
    </row>
    <row r="375" spans="1:8" x14ac:dyDescent="0.3">
      <c r="A375" t="s">
        <v>89</v>
      </c>
      <c r="B375" s="12">
        <v>2030</v>
      </c>
    </row>
    <row r="376" spans="1:8" x14ac:dyDescent="0.3">
      <c r="A376" t="s">
        <v>131</v>
      </c>
      <c r="B376" s="12" t="str">
        <f>B373&amp;" - "&amp;B375&amp;" - "&amp;B372</f>
        <v>Motorbike, electric, 4-11kW - 2030 - CH</v>
      </c>
    </row>
    <row r="377" spans="1:8" x14ac:dyDescent="0.3">
      <c r="A377" t="s">
        <v>74</v>
      </c>
      <c r="B377" s="12" t="str">
        <f>"transport, "&amp;B373</f>
        <v>transport, Motorbike, electric, 4-11kW</v>
      </c>
    </row>
    <row r="378" spans="1:8" x14ac:dyDescent="0.3">
      <c r="A378" t="s">
        <v>75</v>
      </c>
      <c r="B378" t="s">
        <v>76</v>
      </c>
    </row>
    <row r="379" spans="1:8" x14ac:dyDescent="0.3">
      <c r="A379" t="s">
        <v>77</v>
      </c>
      <c r="B379" t="s">
        <v>172</v>
      </c>
    </row>
    <row r="380" spans="1:8" x14ac:dyDescent="0.3">
      <c r="A380" t="s">
        <v>79</v>
      </c>
      <c r="B380" t="s">
        <v>90</v>
      </c>
    </row>
    <row r="381" spans="1:8" x14ac:dyDescent="0.3">
      <c r="A381" t="s">
        <v>132</v>
      </c>
      <c r="B381">
        <f>INDEX('vehicles specifications'!$B$3:$CK$86,MATCH(B376,'vehicles specifications'!$A$3:$A$86,0),MATCH("Lifetime [km]",'vehicles specifications'!$B$2:$CK$2,0))</f>
        <v>39800</v>
      </c>
    </row>
    <row r="382" spans="1:8" x14ac:dyDescent="0.3">
      <c r="A382" t="s">
        <v>133</v>
      </c>
      <c r="B382">
        <f>INDEX('vehicles specifications'!$B$3:$CK$86,MATCH(B376,'vehicles specifications'!$A$3:$A$86,0),MATCH("Passengers [unit]",'vehicles specifications'!$B$2:$CK$2,0))</f>
        <v>1.1000000000000001</v>
      </c>
    </row>
    <row r="383" spans="1:8" x14ac:dyDescent="0.3">
      <c r="A383" t="s">
        <v>134</v>
      </c>
      <c r="B383">
        <f>INDEX('vehicles specifications'!$B$3:$CK$86,MATCH(B376,'vehicles specifications'!$A$3:$A$86,0),MATCH("Servicing [unit]",'vehicles specifications'!$B$2:$CK$2,0))</f>
        <v>0.79600000000000004</v>
      </c>
    </row>
    <row r="384" spans="1:8" x14ac:dyDescent="0.3">
      <c r="A384" t="s">
        <v>135</v>
      </c>
      <c r="B384">
        <f>INDEX('vehicles specifications'!$B$3:$CK$86,MATCH(B376,'vehicles specifications'!$A$3:$A$86,0),MATCH("Energy battery replacement [unit]",'vehicles specifications'!$B$2:$CK$2,0))</f>
        <v>0.5</v>
      </c>
    </row>
    <row r="385" spans="1:8" x14ac:dyDescent="0.3">
      <c r="A385" t="s">
        <v>136</v>
      </c>
      <c r="B385">
        <f>INDEX('vehicles specifications'!$B$3:$CK$86,MATCH(B376,'vehicles specifications'!$A$3:$A$86,0),MATCH("Annual kilometers [km]",'vehicles specifications'!$B$2:$CK$2,0))</f>
        <v>2731</v>
      </c>
    </row>
    <row r="386" spans="1:8" x14ac:dyDescent="0.3">
      <c r="A386" t="s">
        <v>137</v>
      </c>
      <c r="B386" s="2">
        <f>INDEX('vehicles specifications'!$B$3:$CK$86,MATCH(B376,'vehicles specifications'!$A$3:$A$86,0),MATCH("Curb mass [kg]",'vehicles specifications'!$B$2:$CK$2,0))</f>
        <v>104.27081215151863</v>
      </c>
    </row>
    <row r="387" spans="1:8" x14ac:dyDescent="0.3">
      <c r="A387" t="s">
        <v>138</v>
      </c>
      <c r="B387">
        <f>INDEX('vehicles specifications'!$B$3:$CK$86,MATCH(B376,'vehicles specifications'!$A$3:$A$86,0),MATCH("Power [kW]",'vehicles specifications'!$B$2:$CK$2,0))</f>
        <v>4.7</v>
      </c>
    </row>
    <row r="388" spans="1:8" x14ac:dyDescent="0.3">
      <c r="A388" t="s">
        <v>139</v>
      </c>
      <c r="B388">
        <f>INDEX('vehicles specifications'!$B$3:$CK$86,MATCH(B376,'vehicles specifications'!$A$3:$A$86,0),MATCH("Energy battery mass [kg]",'vehicles specifications'!$B$2:$CK$2,0))</f>
        <v>20</v>
      </c>
    </row>
    <row r="389" spans="1:8" x14ac:dyDescent="0.3">
      <c r="A389" t="s">
        <v>140</v>
      </c>
      <c r="B389" s="21">
        <f>INDEX('vehicles specifications'!$B$3:$CK$86,MATCH(B376,'vehicles specifications'!$A$3:$A$86,0),MATCH("Electric energy stored [kWh]",'vehicles specifications'!$B$2:$CK$2,0))</f>
        <v>5</v>
      </c>
    </row>
    <row r="390" spans="1:8" s="21" customFormat="1" x14ac:dyDescent="0.3">
      <c r="A390" s="21" t="s">
        <v>654</v>
      </c>
      <c r="B390" s="21">
        <f>INDEX('vehicles specifications'!$B$3:$CK$86,MATCH(B376,'vehicles specifications'!$A$3:$A$86,0),MATCH("Electric energy available [kWh]",'vehicles specifications'!$B$2:$CK$2,0))</f>
        <v>4</v>
      </c>
    </row>
    <row r="391" spans="1:8" x14ac:dyDescent="0.3">
      <c r="A391" t="s">
        <v>143</v>
      </c>
      <c r="B391" s="2">
        <f>INDEX('vehicles specifications'!$B$3:$CK$86,MATCH(B376,'vehicles specifications'!$A$3:$A$86,0),MATCH("Oxydation energy stored [kWh]",'vehicles specifications'!$B$2:$CK$2,0))</f>
        <v>0</v>
      </c>
    </row>
    <row r="392" spans="1:8" x14ac:dyDescent="0.3">
      <c r="A392" t="s">
        <v>145</v>
      </c>
      <c r="B392">
        <f>INDEX('vehicles specifications'!$B$3:$CK$86,MATCH(B376,'vehicles specifications'!$A$3:$A$86,0),MATCH("Fuel mass [kg]",'vehicles specifications'!$B$2:$CK$2,0))</f>
        <v>0</v>
      </c>
    </row>
    <row r="393" spans="1:8" x14ac:dyDescent="0.3">
      <c r="A393" t="s">
        <v>141</v>
      </c>
      <c r="B393" s="2">
        <f>INDEX('vehicles specifications'!$B$3:$CK$86,MATCH(B376,'vehicles specifications'!$A$3:$A$86,0),MATCH("Range [km]",'vehicles specifications'!$B$2:$CK$2,0))</f>
        <v>79.120879120879124</v>
      </c>
    </row>
    <row r="394" spans="1:8" x14ac:dyDescent="0.3">
      <c r="A394" t="s">
        <v>142</v>
      </c>
      <c r="B394" t="str">
        <f>INDEX('vehicles specifications'!$B$3:$CK$86,MATCH(B376,'vehicles specifications'!$A$3:$A$86,0),MATCH("Emission standard",'vehicles specifications'!$B$2:$CK$2,0))</f>
        <v>None</v>
      </c>
    </row>
    <row r="395" spans="1:8" x14ac:dyDescent="0.3">
      <c r="A395" t="s">
        <v>144</v>
      </c>
      <c r="B395" s="6">
        <f>INDEX('vehicles specifications'!$B$3:$CK$86,MATCH(B376,'vehicles specifications'!$A$3:$A$86,0),MATCH("Lightweighting rate [%]",'vehicles specifications'!$B$2:$CK$2,0))</f>
        <v>0.03</v>
      </c>
    </row>
    <row r="396" spans="1:8" x14ac:dyDescent="0.3">
      <c r="A396" t="s">
        <v>84</v>
      </c>
      <c r="B396" s="21" t="str">
        <f>"Power: "&amp;B387&amp;" kW. Lifetime: "&amp;B381&amp;" km. Annual kilometers: "&amp;B385&amp;" km. Number of passengers: "&amp;B382&amp;". Curb mass: "&amp;ROUND(B386,1)&amp;" kg. Lightweighting of glider: "&amp;ROUND(B395*100,0)&amp;"%. Emission standard: "&amp;B394&amp;". Service visits throughout lifetime: "&amp;ROUND(B383,1)&amp;". Range: "&amp;ROUND(B393,0)&amp;" km. Battery capacity: "&amp;ROUND(B389,1)&amp;" kWh. Available battery capacity: "&amp;B390&amp;" kWh. Battery mass: "&amp;ROUND(B388,1)&amp; " kg. Battery replacement throughout lifetime: "&amp;ROUND(B384,1)&amp;". Fuel tank capacity: "&amp;ROUND(B391,1)&amp;" kWh. Fuel mass: "&amp;ROUND(B392,1)&amp;" kg. Documentation: "&amp;Readmefirst!$B$2&amp;", "&amp;Readmefirst!$B$3&amp;". "&amp;'lci-kick scooter'!B339</f>
        <v xml:space="preserve">Power: 4.7 kW. Lifetime: 39800 km. Annual kilometers: 2731 km. Number of passengers: 1.1. Curb mass: 104.3 kg. Lightweighting of glider: 3%. Emission standard: None. Service visits throughout lifetime: 0.8. Range: 79 km. Battery capacity: 5 kWh. Available battery capacity: 4 kWh. Battery mass: 20 kg. Battery replacement throughout lifetime: 0.5. Fuel tank capacity: 0 kWh. Fuel mass: 0 kg. Documentation: 2021 UVEK life-cycle inventories update of on-road vehicles, Sacchi R. (PSI), Bauer C. (PSI), 2021. </v>
      </c>
    </row>
    <row r="397" spans="1:8" ht="15.6" x14ac:dyDescent="0.3">
      <c r="A397" s="11" t="s">
        <v>80</v>
      </c>
    </row>
    <row r="398" spans="1:8" x14ac:dyDescent="0.3">
      <c r="A398" t="s">
        <v>81</v>
      </c>
      <c r="B398" t="s">
        <v>82</v>
      </c>
      <c r="C398" t="s">
        <v>73</v>
      </c>
      <c r="D398" t="s">
        <v>77</v>
      </c>
      <c r="E398" t="s">
        <v>83</v>
      </c>
      <c r="F398" t="s">
        <v>75</v>
      </c>
      <c r="G398" t="s">
        <v>84</v>
      </c>
      <c r="H398" t="s">
        <v>74</v>
      </c>
    </row>
    <row r="399" spans="1:8" x14ac:dyDescent="0.3">
      <c r="A399" s="12" t="str">
        <f>B371</f>
        <v>transport, Motorbike, electric, 4-11kW, 2030, label-certified electricity</v>
      </c>
      <c r="B399" s="12">
        <v>1</v>
      </c>
      <c r="C399" s="12" t="str">
        <f>B372</f>
        <v>CH</v>
      </c>
      <c r="D399" s="12" t="s">
        <v>172</v>
      </c>
      <c r="E399" s="12"/>
      <c r="F399" s="12" t="s">
        <v>85</v>
      </c>
      <c r="G399" s="12" t="s">
        <v>86</v>
      </c>
      <c r="H399" s="12" t="str">
        <f>B377</f>
        <v>transport, Motorbike, electric, 4-11kW</v>
      </c>
    </row>
    <row r="400" spans="1:8" x14ac:dyDescent="0.3">
      <c r="A400" s="12" t="str">
        <f>B373&amp;", "&amp;B375</f>
        <v>Motorbike, electric, 4-11kW, 2030</v>
      </c>
      <c r="B400" s="12">
        <f>1/B381</f>
        <v>2.5125628140703518E-5</v>
      </c>
      <c r="C400" s="12" t="str">
        <f>B372</f>
        <v>CH</v>
      </c>
      <c r="D400" s="12" t="s">
        <v>77</v>
      </c>
      <c r="E400" s="12"/>
      <c r="F400" s="12" t="s">
        <v>91</v>
      </c>
      <c r="G400" s="12"/>
      <c r="H400" s="12" t="str">
        <f>RIGHT(H399,LEN(H399)-11)</f>
        <v>Motorbike, electric, 4-11kW</v>
      </c>
    </row>
    <row r="401" spans="1:8" x14ac:dyDescent="0.3">
      <c r="A401" s="12" t="str">
        <f>INDEX('ei names mapping'!$B$4:$R$33,MATCH(B373,'ei names mapping'!$A$4:$A$33,0),MATCH(G401,'ei names mapping'!$B$3:$R$3,0))</f>
        <v>road maintenance</v>
      </c>
      <c r="B401" s="16">
        <f>INDEX('vehicles specifications'!$B$3:$CK$86,MATCH(B376,'vehicles specifications'!$A$3:$A$86,0),MATCH(G401,'vehicles specifications'!$B$2:$CK$2,0))*INDEX('ei names mapping'!$B$137:$BK$220,MATCH(B376,'ei names mapping'!$A$137:$A$220,0),MATCH(G401,'ei names mapping'!$B$136:$BK$136,0))</f>
        <v>1.2899999999999999E-3</v>
      </c>
      <c r="C401" s="12" t="str">
        <f>INDEX('ei names mapping'!$B$38:$R$67,MATCH(B373,'ei names mapping'!$A$4:$A$33,0),MATCH(G401,'ei names mapping'!$B$3:$R$3,0))</f>
        <v>CH</v>
      </c>
      <c r="D401" s="12" t="str">
        <f>INDEX('ei names mapping'!$B$104:$BK$133,MATCH(B373,'ei names mapping'!$A$4:$A$33,0),MATCH(G401,'ei names mapping'!$B$3:$BK$3,0))</f>
        <v>meter-year</v>
      </c>
      <c r="E401" s="12"/>
      <c r="F401" s="12" t="s">
        <v>91</v>
      </c>
      <c r="G401" t="s">
        <v>117</v>
      </c>
      <c r="H401" s="12" t="str">
        <f>INDEX('ei names mapping'!$B$71:$BK$100,MATCH(B373,'ei names mapping'!$A$4:$A$33,0),MATCH(G401,'ei names mapping'!$B$3:$BK$3,0))</f>
        <v>road maintenance</v>
      </c>
    </row>
    <row r="402" spans="1:8" x14ac:dyDescent="0.3">
      <c r="A402" s="12" t="s">
        <v>114</v>
      </c>
      <c r="B402" s="14">
        <f>INDEX('vehicles specifications'!$B$3:$CK$86,MATCH(B376,'vehicles specifications'!$A$3:$A$86,0),MATCH(G402,'vehicles specifications'!$B$2:$CK$2,0))*INDEX('ei names mapping'!$B$137:$BK$220,MATCH(B376,'ei names mapping'!$A$137:$A$220,0),MATCH(G402,'ei names mapping'!$B$136:$BK$136,0))</f>
        <v>5.5611111111111111E-2</v>
      </c>
      <c r="C402" s="12" t="str">
        <f>INDEX('ei names mapping'!$B$38:$R$67,MATCH($B$3,'ei names mapping'!$A$4:$A$33,0),MATCH(G402,'ei names mapping'!$B$3:$R$3,0))</f>
        <v>CH</v>
      </c>
      <c r="D402" s="12" t="str">
        <f>INDEX('ei names mapping'!$B$104:$R$133,MATCH($B$3,'ei names mapping'!$A$4:$A$33,0),MATCH(G402,'ei names mapping'!$B$3:$R$3,0))</f>
        <v>kilowatt hour</v>
      </c>
      <c r="E402" s="12"/>
      <c r="F402" s="12" t="s">
        <v>91</v>
      </c>
      <c r="G402" t="s">
        <v>28</v>
      </c>
      <c r="H402" s="12" t="s">
        <v>116</v>
      </c>
    </row>
    <row r="403" spans="1:8" x14ac:dyDescent="0.3">
      <c r="A403" s="12" t="str">
        <f>INDEX('ei names mapping'!$B$4:$R$33,MATCH(B373,'ei names mapping'!$A$4:$A$33,0),MATCH(G403,'ei names mapping'!$B$3:$R$3,0))</f>
        <v>market for maintenance, electric scooter, without battery</v>
      </c>
      <c r="B403" s="16">
        <f>INDEX('vehicles specifications'!$B$3:$CK$86,MATCH(B376,'vehicles specifications'!$A$3:$A$86,0),MATCH(G403,'vehicles specifications'!$B$2:$CK$2,0))*INDEX('ei names mapping'!$B$137:$BK$220,MATCH(B376,'ei names mapping'!$A$137:$A$220,0),MATCH(G403,'ei names mapping'!$B$136:$BK$136,0))</f>
        <v>2.0000000000000002E-5</v>
      </c>
      <c r="C403" s="12" t="str">
        <f>INDEX('ei names mapping'!$B$38:$BK$67,MATCH(B373,'ei names mapping'!$A$4:$A$33,0),MATCH(G403,'ei names mapping'!$B$3:$BK$3,0))</f>
        <v>GLO</v>
      </c>
      <c r="D403" s="12" t="str">
        <f>INDEX('ei names mapping'!$B$104:$BK$133,MATCH(B373,'ei names mapping'!$A$4:$A$33,0),MATCH(G403,'ei names mapping'!$B$3:$BK$3,0))</f>
        <v>unit</v>
      </c>
      <c r="F403" s="12" t="s">
        <v>91</v>
      </c>
      <c r="G403" s="12" t="s">
        <v>123</v>
      </c>
      <c r="H403" s="12" t="str">
        <f>INDEX('ei names mapping'!$B$71:$BK$100,MATCH(B373,'ei names mapping'!$A$4:$A$33,0),MATCH(G403,'ei names mapping'!$B$3:$BK$3,0))</f>
        <v>maintenance, electric scooter, without battery</v>
      </c>
    </row>
    <row r="404" spans="1:8" s="21" customFormat="1" x14ac:dyDescent="0.3">
      <c r="A404" s="12" t="str">
        <f>INDEX('ei names mapping'!$B$4:$R$33,MATCH(B373,'ei names mapping'!$A$4:$A$33,0),MATCH(G404,'ei names mapping'!$B$3:$R$3,0))</f>
        <v>road construction</v>
      </c>
      <c r="B404" s="16">
        <f>INDEX('vehicles specifications'!$B$3:$CK$86,MATCH(B376,'vehicles specifications'!$A$3:$A$86,0),MATCH(G404,'vehicles specifications'!$B$2:$CK$2,0))*INDEX('ei names mapping'!$B$137:$BK$220,MATCH(B376,'ei names mapping'!$A$137:$A$220,0),MATCH(G404,'ei names mapping'!$B$136:$BK$136,0))</f>
        <v>1.005644261253655E-4</v>
      </c>
      <c r="C404" s="12" t="str">
        <f>INDEX('ei names mapping'!$B$38:$R$67,MATCH(B373,'ei names mapping'!$A$4:$A$33,0),MATCH(G404,'ei names mapping'!$B$3:$R$3,0))</f>
        <v>CH</v>
      </c>
      <c r="D404" s="12" t="str">
        <f>INDEX('ei names mapping'!$B$104:$R$133,MATCH(B373,'ei names mapping'!$A$104:$A$133,0),MATCH(G404,'ei names mapping'!$B$3:$R$3,0))</f>
        <v>meter-year</v>
      </c>
      <c r="E404" s="12"/>
      <c r="F404" s="12" t="s">
        <v>91</v>
      </c>
      <c r="G404" s="21" t="s">
        <v>108</v>
      </c>
      <c r="H404" s="12" t="str">
        <f>INDEX('ei names mapping'!$B$71:$R$100,MATCH(B373,'ei names mapping'!$A$4:$A$33,0),MATCH(G404,'ei names mapping'!$B$3:$R$3,0))</f>
        <v>road</v>
      </c>
    </row>
    <row r="405" spans="1:8" x14ac:dyDescent="0.3">
      <c r="A405" s="12" t="str">
        <f>INDEX('ei names mapping'!$B$4:$BK$33,MATCH(B373,'ei names mapping'!$A$4:$A$33,0),MATCH(G405,'ei names mapping'!$B$3:$BK$3,0))</f>
        <v>treatment of road wear emissions, passenger car</v>
      </c>
      <c r="B405" s="16">
        <f>INDEX('vehicles specifications'!$B$3:$CK$86,MATCH(B376,'vehicles specifications'!$A$3:$A$86,0),MATCH(G405,'vehicles specifications'!$B$2:$CK$2,0))*INDEX('ei names mapping'!$B$137:$BK$220,MATCH(B376,'ei names mapping'!$A$137:$A$220,0),MATCH(G405,'ei names mapping'!$B$136:$BK$136,0))</f>
        <v>-6.0000000000000002E-6</v>
      </c>
      <c r="C405" s="12" t="str">
        <f>INDEX('ei names mapping'!$B$38:$BK$67,MATCH(B373,'ei names mapping'!$A$4:$A$33,0),MATCH(G405,'ei names mapping'!$B$3:$BK$3,0))</f>
        <v>RER</v>
      </c>
      <c r="D405" s="12" t="str">
        <f>INDEX('ei names mapping'!$B$104:$BK$133,MATCH(B373,'ei names mapping'!$A$4:$A$33,0),MATCH(G405,'ei names mapping'!$B$3:$BK$3,0))</f>
        <v>kilogram</v>
      </c>
      <c r="E405" s="12"/>
      <c r="F405" s="12" t="s">
        <v>91</v>
      </c>
      <c r="G405" t="s">
        <v>29</v>
      </c>
      <c r="H405" s="12" t="str">
        <f>INDEX('ei names mapping'!$B$71:$BK$100,MATCH(B373,'ei names mapping'!$A$4:$A$33,0),MATCH(G405,'ei names mapping'!$B$3:$BK$3,0))</f>
        <v>road wear emissions, passenger car</v>
      </c>
    </row>
    <row r="406" spans="1:8" x14ac:dyDescent="0.3">
      <c r="A406" s="12" t="str">
        <f>INDEX('ei names mapping'!$B$4:$BK$33,MATCH(B373,'ei names mapping'!$A$4:$A$33,0),MATCH(G406,'ei names mapping'!$B$3:$BK$3,0))</f>
        <v>treatment of tyre wear emissions, passenger car</v>
      </c>
      <c r="B406" s="16">
        <f>INDEX('vehicles specifications'!$B$3:$CK$86,MATCH(B376,'vehicles specifications'!$A$3:$A$86,0),MATCH(G406,'vehicles specifications'!$B$2:$CK$2,0))*INDEX('ei names mapping'!$B$137:$BK$220,MATCH(B376,'ei names mapping'!$A$137:$A$220,0),MATCH(G406,'ei names mapping'!$B$136:$BK$136,0))</f>
        <v>-7.3669999999999991E-6</v>
      </c>
      <c r="C406" s="12" t="str">
        <f>INDEX('ei names mapping'!$B$38:$BK$67,MATCH(B373,'ei names mapping'!$A$4:$A$33,0),MATCH(G406,'ei names mapping'!$B$3:$BK$3,0))</f>
        <v>RER</v>
      </c>
      <c r="D406" s="12" t="str">
        <f>INDEX('ei names mapping'!$B$104:$BK$133,MATCH(B373,'ei names mapping'!$A$4:$A$33,0),MATCH(G406,'ei names mapping'!$B$3:$BK$3,0))</f>
        <v>kilogram</v>
      </c>
      <c r="E406" s="12"/>
      <c r="F406" s="12" t="s">
        <v>91</v>
      </c>
      <c r="G406" t="s">
        <v>30</v>
      </c>
      <c r="H406" s="12" t="str">
        <f>INDEX('ei names mapping'!$B$71:$BK$100,MATCH(B373,'ei names mapping'!$A$4:$A$33,0),MATCH(G406,'ei names mapping'!$B$3:$BK$3,0))</f>
        <v>tyre wear emissions, passenger car</v>
      </c>
    </row>
    <row r="407" spans="1:8" x14ac:dyDescent="0.3">
      <c r="A407" s="12" t="str">
        <f>INDEX('ei names mapping'!$B$4:$BK$33,MATCH(B373,'ei names mapping'!$A$4:$A$33,0),MATCH(G407,'ei names mapping'!$B$3:$BK$3,0))</f>
        <v>treatment of brake wear emissions, passenger car</v>
      </c>
      <c r="B407" s="16">
        <f>INDEX('vehicles specifications'!$B$3:$CK$86,MATCH(B376,'vehicles specifications'!$A$3:$A$86,0),MATCH(G407,'vehicles specifications'!$B$2:$CK$2,0))*INDEX('ei names mapping'!$B$137:$BK$220,MATCH(B376,'ei names mapping'!$A$137:$A$220,0),MATCH(G407,'ei names mapping'!$B$136:$BK$136,0))</f>
        <v>-4.1749999999999998E-6</v>
      </c>
      <c r="C407" s="12" t="str">
        <f>INDEX('ei names mapping'!$B$38:$BK$67,MATCH(B373,'ei names mapping'!$A$4:$A$33,0),MATCH(G407,'ei names mapping'!$B$3:$BK$3,0))</f>
        <v>RER</v>
      </c>
      <c r="D407" s="12" t="str">
        <f>INDEX('ei names mapping'!$B$104:$BK$133,MATCH(B373,'ei names mapping'!$A$4:$A$33,0),MATCH(G407,'ei names mapping'!$B$3:$BK$3,0))</f>
        <v>kilogram</v>
      </c>
      <c r="E407" s="12"/>
      <c r="F407" s="12" t="s">
        <v>91</v>
      </c>
      <c r="G407" t="s">
        <v>31</v>
      </c>
      <c r="H407" s="12" t="str">
        <f>INDEX('ei names mapping'!$B$71:$BK$100,MATCH(B373,'ei names mapping'!$A$4:$A$33,0),MATCH(G407,'ei names mapping'!$B$3:$BK$3,0))</f>
        <v>brake wear emissions, passenger car</v>
      </c>
    </row>
    <row r="409" spans="1:8" ht="15.6" x14ac:dyDescent="0.3">
      <c r="A409" s="11" t="s">
        <v>72</v>
      </c>
      <c r="B409" s="9" t="str">
        <f>"transport, "&amp;B411&amp;", "&amp;B413&amp;", label-certified electricity"</f>
        <v>transport, Motorbike, electric, 4-11kW, 2040, label-certified electricity</v>
      </c>
    </row>
    <row r="410" spans="1:8" x14ac:dyDescent="0.3">
      <c r="A410" t="s">
        <v>73</v>
      </c>
      <c r="B410" t="s">
        <v>37</v>
      </c>
    </row>
    <row r="411" spans="1:8" x14ac:dyDescent="0.3">
      <c r="A411" t="s">
        <v>87</v>
      </c>
      <c r="B411" t="s">
        <v>521</v>
      </c>
    </row>
    <row r="412" spans="1:8" x14ac:dyDescent="0.3">
      <c r="A412" t="s">
        <v>88</v>
      </c>
      <c r="B412" s="12"/>
    </row>
    <row r="413" spans="1:8" x14ac:dyDescent="0.3">
      <c r="A413" t="s">
        <v>89</v>
      </c>
      <c r="B413" s="12">
        <v>2040</v>
      </c>
    </row>
    <row r="414" spans="1:8" x14ac:dyDescent="0.3">
      <c r="A414" t="s">
        <v>131</v>
      </c>
      <c r="B414" s="12" t="str">
        <f>B411&amp;" - "&amp;B413&amp;" - "&amp;B410</f>
        <v>Motorbike, electric, 4-11kW - 2040 - CH</v>
      </c>
    </row>
    <row r="415" spans="1:8" x14ac:dyDescent="0.3">
      <c r="A415" t="s">
        <v>74</v>
      </c>
      <c r="B415" s="12" t="str">
        <f>"transport, "&amp;B411</f>
        <v>transport, Motorbike, electric, 4-11kW</v>
      </c>
    </row>
    <row r="416" spans="1:8" x14ac:dyDescent="0.3">
      <c r="A416" t="s">
        <v>75</v>
      </c>
      <c r="B416" t="s">
        <v>76</v>
      </c>
    </row>
    <row r="417" spans="1:2" x14ac:dyDescent="0.3">
      <c r="A417" t="s">
        <v>77</v>
      </c>
      <c r="B417" t="s">
        <v>172</v>
      </c>
    </row>
    <row r="418" spans="1:2" x14ac:dyDescent="0.3">
      <c r="A418" t="s">
        <v>79</v>
      </c>
      <c r="B418" t="s">
        <v>90</v>
      </c>
    </row>
    <row r="419" spans="1:2" x14ac:dyDescent="0.3">
      <c r="A419" t="s">
        <v>132</v>
      </c>
      <c r="B419">
        <f>INDEX('vehicles specifications'!$B$3:$CK$86,MATCH(B414,'vehicles specifications'!$A$3:$A$86,0),MATCH("Lifetime [km]",'vehicles specifications'!$B$2:$CK$2,0))</f>
        <v>39800</v>
      </c>
    </row>
    <row r="420" spans="1:2" x14ac:dyDescent="0.3">
      <c r="A420" t="s">
        <v>133</v>
      </c>
      <c r="B420">
        <f>INDEX('vehicles specifications'!$B$3:$CK$86,MATCH(B414,'vehicles specifications'!$A$3:$A$86,0),MATCH("Passengers [unit]",'vehicles specifications'!$B$2:$CK$2,0))</f>
        <v>1.1000000000000001</v>
      </c>
    </row>
    <row r="421" spans="1:2" x14ac:dyDescent="0.3">
      <c r="A421" t="s">
        <v>134</v>
      </c>
      <c r="B421">
        <f>INDEX('vehicles specifications'!$B$3:$CK$86,MATCH(B414,'vehicles specifications'!$A$3:$A$86,0),MATCH("Servicing [unit]",'vehicles specifications'!$B$2:$CK$2,0))</f>
        <v>0.79600000000000004</v>
      </c>
    </row>
    <row r="422" spans="1:2" x14ac:dyDescent="0.3">
      <c r="A422" t="s">
        <v>135</v>
      </c>
      <c r="B422">
        <f>INDEX('vehicles specifications'!$B$3:$CK$86,MATCH(B414,'vehicles specifications'!$A$3:$A$86,0),MATCH("Energy battery replacement [unit]",'vehicles specifications'!$B$2:$CK$2,0))</f>
        <v>0.25</v>
      </c>
    </row>
    <row r="423" spans="1:2" x14ac:dyDescent="0.3">
      <c r="A423" t="s">
        <v>136</v>
      </c>
      <c r="B423">
        <f>INDEX('vehicles specifications'!$B$3:$CK$86,MATCH(B414,'vehicles specifications'!$A$3:$A$86,0),MATCH("Annual kilometers [km]",'vehicles specifications'!$B$2:$CK$2,0))</f>
        <v>2731</v>
      </c>
    </row>
    <row r="424" spans="1:2" x14ac:dyDescent="0.3">
      <c r="A424" t="s">
        <v>137</v>
      </c>
      <c r="B424" s="2">
        <f>INDEX('vehicles specifications'!$B$3:$CK$86,MATCH(B414,'vehicles specifications'!$A$3:$A$86,0),MATCH("Curb mass [kg]",'vehicles specifications'!$B$2:$CK$2,0))</f>
        <v>103.96213561231207</v>
      </c>
    </row>
    <row r="425" spans="1:2" x14ac:dyDescent="0.3">
      <c r="A425" t="s">
        <v>138</v>
      </c>
      <c r="B425">
        <f>INDEX('vehicles specifications'!$B$3:$CK$86,MATCH(B414,'vehicles specifications'!$A$3:$A$86,0),MATCH("Power [kW]",'vehicles specifications'!$B$2:$CK$2,0))</f>
        <v>4.7</v>
      </c>
    </row>
    <row r="426" spans="1:2" x14ac:dyDescent="0.3">
      <c r="A426" t="s">
        <v>139</v>
      </c>
      <c r="B426">
        <f>INDEX('vehicles specifications'!$B$3:$CK$86,MATCH(B414,'vehicles specifications'!$A$3:$A$86,0),MATCH("Energy battery mass [kg]",'vehicles specifications'!$B$2:$CK$2,0))</f>
        <v>21</v>
      </c>
    </row>
    <row r="427" spans="1:2" x14ac:dyDescent="0.3">
      <c r="A427" t="s">
        <v>140</v>
      </c>
      <c r="B427" s="21">
        <f>INDEX('vehicles specifications'!$B$3:$CK$86,MATCH(B414,'vehicles specifications'!$A$3:$A$86,0),MATCH("Electric energy stored [kWh]",'vehicles specifications'!$B$2:$CK$2,0))</f>
        <v>7</v>
      </c>
    </row>
    <row r="428" spans="1:2" s="21" customFormat="1" x14ac:dyDescent="0.3">
      <c r="A428" s="21" t="s">
        <v>654</v>
      </c>
      <c r="B428" s="21">
        <f>INDEX('vehicles specifications'!$B$3:$CK$86,MATCH(B414,'vehicles specifications'!$A$3:$A$86,0),MATCH("Electric energy available [kWh]",'vehicles specifications'!$B$2:$CK$2,0))</f>
        <v>5.6000000000000005</v>
      </c>
    </row>
    <row r="429" spans="1:2" x14ac:dyDescent="0.3">
      <c r="A429" t="s">
        <v>143</v>
      </c>
      <c r="B429" s="2">
        <f>INDEX('vehicles specifications'!$B$3:$CK$86,MATCH(B414,'vehicles specifications'!$A$3:$A$86,0),MATCH("Oxydation energy stored [kWh]",'vehicles specifications'!$B$2:$CK$2,0))</f>
        <v>0</v>
      </c>
    </row>
    <row r="430" spans="1:2" x14ac:dyDescent="0.3">
      <c r="A430" t="s">
        <v>145</v>
      </c>
      <c r="B430">
        <f>INDEX('vehicles specifications'!$B$3:$CK$86,MATCH(B414,'vehicles specifications'!$A$3:$A$86,0),MATCH("Fuel mass [kg]",'vehicles specifications'!$B$2:$CK$2,0))</f>
        <v>0</v>
      </c>
    </row>
    <row r="431" spans="1:2" x14ac:dyDescent="0.3">
      <c r="A431" t="s">
        <v>141</v>
      </c>
      <c r="B431" s="2">
        <f>INDEX('vehicles specifications'!$B$3:$CK$86,MATCH(B414,'vehicles specifications'!$A$3:$A$86,0),MATCH("Range [km]",'vehicles specifications'!$B$2:$CK$2,0))</f>
        <v>110.76923076923079</v>
      </c>
    </row>
    <row r="432" spans="1:2" x14ac:dyDescent="0.3">
      <c r="A432" t="s">
        <v>142</v>
      </c>
      <c r="B432" t="str">
        <f>INDEX('vehicles specifications'!$B$3:$CK$86,MATCH(B414,'vehicles specifications'!$A$3:$A$86,0),MATCH("Emission standard",'vehicles specifications'!$B$2:$CK$2,0))</f>
        <v>None</v>
      </c>
    </row>
    <row r="433" spans="1:8" x14ac:dyDescent="0.3">
      <c r="A433" t="s">
        <v>144</v>
      </c>
      <c r="B433" s="6">
        <f>INDEX('vehicles specifications'!$B$3:$CK$86,MATCH(B414,'vehicles specifications'!$A$3:$A$86,0),MATCH("Lightweighting rate [%]",'vehicles specifications'!$B$2:$CK$2,0))</f>
        <v>0.05</v>
      </c>
    </row>
    <row r="434" spans="1:8" x14ac:dyDescent="0.3">
      <c r="A434" t="s">
        <v>84</v>
      </c>
      <c r="B434" s="21" t="str">
        <f>"Power: "&amp;B425&amp;" kW. Lifetime: "&amp;B419&amp;" km. Annual kilometers: "&amp;B423&amp;" km. Number of passengers: "&amp;B420&amp;". Curb mass: "&amp;ROUND(B424,1)&amp;" kg. Lightweighting of glider: "&amp;ROUND(B433*100,0)&amp;"%. Emission standard: "&amp;B432&amp;". Service visits throughout lifetime: "&amp;ROUND(B421,1)&amp;". Range: "&amp;ROUND(B431,0)&amp;" km. Battery capacity: "&amp;ROUND(B427,1)&amp;" kWh. Available battery capacity: "&amp;B428&amp;" kWh. Battery mass: "&amp;ROUND(B426,1)&amp; " kg. Battery replacement throughout lifetime: "&amp;ROUND(B422,1)&amp;". Fuel tank capacity: "&amp;ROUND(B429,1)&amp;" kWh. Fuel mass: "&amp;ROUND(B430,1)&amp;" kg. Documentation: "&amp;Readmefirst!$B$2&amp;", "&amp;Readmefirst!$B$3&amp;". "&amp;'lci-kick scooter'!B377</f>
        <v xml:space="preserve">Power: 4.7 kW. Lifetime: 39800 km. Annual kilometers: 2731 km. Number of passengers: 1.1. Curb mass: 104 kg. Lightweighting of glider: 5%. Emission standard: None. Service visits throughout lifetime: 0.8. Range: 111 km. Battery capacity: 7 kWh. Available battery capacity: 5.6 kWh. Battery mass: 21 kg. Battery replacement throughout lifetime: 0.3. Fuel tank capacity: 0 kWh. Fuel mass: 0 kg. Documentation: 2021 UVEK life-cycle inventories update of on-road vehicles, Sacchi R. (PSI), Bauer C. (PSI), 2021. </v>
      </c>
    </row>
    <row r="435" spans="1:8" ht="15.6" x14ac:dyDescent="0.3">
      <c r="A435" s="11" t="s">
        <v>80</v>
      </c>
    </row>
    <row r="436" spans="1:8" x14ac:dyDescent="0.3">
      <c r="A436" t="s">
        <v>81</v>
      </c>
      <c r="B436" t="s">
        <v>82</v>
      </c>
      <c r="C436" t="s">
        <v>73</v>
      </c>
      <c r="D436" t="s">
        <v>77</v>
      </c>
      <c r="E436" t="s">
        <v>83</v>
      </c>
      <c r="F436" t="s">
        <v>75</v>
      </c>
      <c r="G436" t="s">
        <v>84</v>
      </c>
      <c r="H436" t="s">
        <v>74</v>
      </c>
    </row>
    <row r="437" spans="1:8" x14ac:dyDescent="0.3">
      <c r="A437" s="12" t="str">
        <f>B409</f>
        <v>transport, Motorbike, electric, 4-11kW, 2040, label-certified electricity</v>
      </c>
      <c r="B437" s="12">
        <v>1</v>
      </c>
      <c r="C437" s="12" t="str">
        <f>B410</f>
        <v>CH</v>
      </c>
      <c r="D437" s="12" t="s">
        <v>172</v>
      </c>
      <c r="E437" s="12"/>
      <c r="F437" s="12" t="s">
        <v>85</v>
      </c>
      <c r="G437" s="12" t="s">
        <v>86</v>
      </c>
      <c r="H437" s="12" t="str">
        <f>B415</f>
        <v>transport, Motorbike, electric, 4-11kW</v>
      </c>
    </row>
    <row r="438" spans="1:8" x14ac:dyDescent="0.3">
      <c r="A438" s="12" t="str">
        <f>B411&amp;", "&amp;B413</f>
        <v>Motorbike, electric, 4-11kW, 2040</v>
      </c>
      <c r="B438" s="12">
        <f>1/B419</f>
        <v>2.5125628140703518E-5</v>
      </c>
      <c r="C438" s="12" t="str">
        <f>B410</f>
        <v>CH</v>
      </c>
      <c r="D438" s="12" t="s">
        <v>77</v>
      </c>
      <c r="E438" s="12"/>
      <c r="F438" s="12" t="s">
        <v>91</v>
      </c>
      <c r="G438" s="12"/>
      <c r="H438" s="12" t="str">
        <f>RIGHT(H437,LEN(H437)-11)</f>
        <v>Motorbike, electric, 4-11kW</v>
      </c>
    </row>
    <row r="439" spans="1:8" x14ac:dyDescent="0.3">
      <c r="A439" s="12" t="str">
        <f>INDEX('ei names mapping'!$B$4:$R$33,MATCH(B411,'ei names mapping'!$A$4:$A$33,0),MATCH(G439,'ei names mapping'!$B$3:$R$3,0))</f>
        <v>road maintenance</v>
      </c>
      <c r="B439" s="16">
        <f>INDEX('vehicles specifications'!$B$3:$CK$86,MATCH(B414,'vehicles specifications'!$A$3:$A$86,0),MATCH(G439,'vehicles specifications'!$B$2:$CK$2,0))*INDEX('ei names mapping'!$B$137:$BK$220,MATCH(B414,'ei names mapping'!$A$137:$A$220,0),MATCH(G439,'ei names mapping'!$B$136:$BK$136,0))</f>
        <v>1.2899999999999999E-3</v>
      </c>
      <c r="C439" s="12" t="str">
        <f>INDEX('ei names mapping'!$B$38:$R$67,MATCH(B411,'ei names mapping'!$A$4:$A$33,0),MATCH(G439,'ei names mapping'!$B$3:$R$3,0))</f>
        <v>CH</v>
      </c>
      <c r="D439" s="12" t="str">
        <f>INDEX('ei names mapping'!$B$104:$BK$133,MATCH(B411,'ei names mapping'!$A$4:$A$33,0),MATCH(G439,'ei names mapping'!$B$3:$BK$3,0))</f>
        <v>meter-year</v>
      </c>
      <c r="E439" s="12"/>
      <c r="F439" s="12" t="s">
        <v>91</v>
      </c>
      <c r="G439" t="s">
        <v>117</v>
      </c>
      <c r="H439" s="12" t="str">
        <f>INDEX('ei names mapping'!$B$71:$BK$100,MATCH(B411,'ei names mapping'!$A$4:$A$33,0),MATCH(G439,'ei names mapping'!$B$3:$BK$3,0))</f>
        <v>road maintenance</v>
      </c>
    </row>
    <row r="440" spans="1:8" x14ac:dyDescent="0.3">
      <c r="A440" s="12" t="s">
        <v>114</v>
      </c>
      <c r="B440" s="14">
        <f>INDEX('vehicles specifications'!$B$3:$CK$86,MATCH(B414,'vehicles specifications'!$A$3:$A$86,0),MATCH(G440,'vehicles specifications'!$B$2:$CK$2,0))*INDEX('ei names mapping'!$B$137:$BK$220,MATCH(B414,'ei names mapping'!$A$137:$A$220,0),MATCH(G440,'ei names mapping'!$B$136:$BK$136,0))</f>
        <v>5.5611111111111111E-2</v>
      </c>
      <c r="C440" s="12" t="str">
        <f>INDEX('ei names mapping'!$B$38:$R$67,MATCH($B$3,'ei names mapping'!$A$4:$A$33,0),MATCH(G440,'ei names mapping'!$B$3:$R$3,0))</f>
        <v>CH</v>
      </c>
      <c r="D440" s="12" t="str">
        <f>INDEX('ei names mapping'!$B$104:$R$133,MATCH($B$3,'ei names mapping'!$A$4:$A$33,0),MATCH(G440,'ei names mapping'!$B$3:$R$3,0))</f>
        <v>kilowatt hour</v>
      </c>
      <c r="E440" s="12"/>
      <c r="F440" s="12" t="s">
        <v>91</v>
      </c>
      <c r="G440" t="s">
        <v>28</v>
      </c>
      <c r="H440" s="12" t="s">
        <v>116</v>
      </c>
    </row>
    <row r="441" spans="1:8" x14ac:dyDescent="0.3">
      <c r="A441" s="12" t="str">
        <f>INDEX('ei names mapping'!$B$4:$R$33,MATCH(B411,'ei names mapping'!$A$4:$A$33,0),MATCH(G441,'ei names mapping'!$B$3:$R$3,0))</f>
        <v>market for maintenance, electric scooter, without battery</v>
      </c>
      <c r="B441" s="16">
        <f>INDEX('vehicles specifications'!$B$3:$CK$86,MATCH(B414,'vehicles specifications'!$A$3:$A$86,0),MATCH(G441,'vehicles specifications'!$B$2:$CK$2,0))*INDEX('ei names mapping'!$B$137:$BK$220,MATCH(B414,'ei names mapping'!$A$137:$A$220,0),MATCH(G441,'ei names mapping'!$B$136:$BK$136,0))</f>
        <v>2.0000000000000002E-5</v>
      </c>
      <c r="C441" s="12" t="str">
        <f>INDEX('ei names mapping'!$B$38:$BK$67,MATCH(B411,'ei names mapping'!$A$4:$A$33,0),MATCH(G441,'ei names mapping'!$B$3:$BK$3,0))</f>
        <v>GLO</v>
      </c>
      <c r="D441" s="12" t="str">
        <f>INDEX('ei names mapping'!$B$104:$BK$133,MATCH(B411,'ei names mapping'!$A$4:$A$33,0),MATCH(G441,'ei names mapping'!$B$3:$BK$3,0))</f>
        <v>unit</v>
      </c>
      <c r="F441" s="12" t="s">
        <v>91</v>
      </c>
      <c r="G441" s="12" t="s">
        <v>123</v>
      </c>
      <c r="H441" s="12" t="str">
        <f>INDEX('ei names mapping'!$B$71:$BK$100,MATCH(B411,'ei names mapping'!$A$4:$A$33,0),MATCH(G441,'ei names mapping'!$B$3:$BK$3,0))</f>
        <v>maintenance, electric scooter, without battery</v>
      </c>
    </row>
    <row r="442" spans="1:8" s="21" customFormat="1" x14ac:dyDescent="0.3">
      <c r="A442" s="12" t="str">
        <f>INDEX('ei names mapping'!$B$4:$R$33,MATCH(B411,'ei names mapping'!$A$4:$A$33,0),MATCH(G442,'ei names mapping'!$B$3:$R$3,0))</f>
        <v>road construction</v>
      </c>
      <c r="B442" s="16">
        <f>INDEX('vehicles specifications'!$B$3:$CK$86,MATCH(B414,'vehicles specifications'!$A$3:$A$86,0),MATCH(G442,'vehicles specifications'!$B$2:$CK$2,0))*INDEX('ei names mapping'!$B$137:$BK$220,MATCH(B414,'ei names mapping'!$A$137:$A$220,0),MATCH(G442,'ei names mapping'!$B$136:$BK$136,0))</f>
        <v>1.0039866682381158E-4</v>
      </c>
      <c r="C442" s="12" t="str">
        <f>INDEX('ei names mapping'!$B$38:$R$67,MATCH(B411,'ei names mapping'!$A$4:$A$33,0),MATCH(G442,'ei names mapping'!$B$3:$R$3,0))</f>
        <v>CH</v>
      </c>
      <c r="D442" s="12" t="str">
        <f>INDEX('ei names mapping'!$B$104:$R$133,MATCH(B411,'ei names mapping'!$A$104:$A$133,0),MATCH(G442,'ei names mapping'!$B$3:$R$3,0))</f>
        <v>meter-year</v>
      </c>
      <c r="E442" s="12"/>
      <c r="F442" s="12" t="s">
        <v>91</v>
      </c>
      <c r="G442" s="21" t="s">
        <v>108</v>
      </c>
      <c r="H442" s="12" t="str">
        <f>INDEX('ei names mapping'!$B$71:$R$100,MATCH(B411,'ei names mapping'!$A$4:$A$33,0),MATCH(G442,'ei names mapping'!$B$3:$R$3,0))</f>
        <v>road</v>
      </c>
    </row>
    <row r="443" spans="1:8" x14ac:dyDescent="0.3">
      <c r="A443" s="12" t="str">
        <f>INDEX('ei names mapping'!$B$4:$BK$33,MATCH(B411,'ei names mapping'!$A$4:$A$33,0),MATCH(G443,'ei names mapping'!$B$3:$BK$3,0))</f>
        <v>treatment of road wear emissions, passenger car</v>
      </c>
      <c r="B443" s="16">
        <f>INDEX('vehicles specifications'!$B$3:$CK$86,MATCH(B414,'vehicles specifications'!$A$3:$A$86,0),MATCH(G443,'vehicles specifications'!$B$2:$CK$2,0))*INDEX('ei names mapping'!$B$137:$BK$220,MATCH(B414,'ei names mapping'!$A$137:$A$220,0),MATCH(G443,'ei names mapping'!$B$136:$BK$136,0))</f>
        <v>-6.0000000000000002E-6</v>
      </c>
      <c r="C443" s="12" t="str">
        <f>INDEX('ei names mapping'!$B$38:$BK$67,MATCH(B411,'ei names mapping'!$A$4:$A$33,0),MATCH(G443,'ei names mapping'!$B$3:$BK$3,0))</f>
        <v>RER</v>
      </c>
      <c r="D443" s="12" t="str">
        <f>INDEX('ei names mapping'!$B$104:$BK$133,MATCH(B411,'ei names mapping'!$A$4:$A$33,0),MATCH(G443,'ei names mapping'!$B$3:$BK$3,0))</f>
        <v>kilogram</v>
      </c>
      <c r="E443" s="12"/>
      <c r="F443" s="12" t="s">
        <v>91</v>
      </c>
      <c r="G443" t="s">
        <v>29</v>
      </c>
      <c r="H443" s="12" t="str">
        <f>INDEX('ei names mapping'!$B$71:$BK$100,MATCH(B411,'ei names mapping'!$A$4:$A$33,0),MATCH(G443,'ei names mapping'!$B$3:$BK$3,0))</f>
        <v>road wear emissions, passenger car</v>
      </c>
    </row>
    <row r="444" spans="1:8" x14ac:dyDescent="0.3">
      <c r="A444" s="12" t="str">
        <f>INDEX('ei names mapping'!$B$4:$BK$33,MATCH(B411,'ei names mapping'!$A$4:$A$33,0),MATCH(G444,'ei names mapping'!$B$3:$BK$3,0))</f>
        <v>treatment of tyre wear emissions, passenger car</v>
      </c>
      <c r="B444" s="16">
        <f>INDEX('vehicles specifications'!$B$3:$CK$86,MATCH(B414,'vehicles specifications'!$A$3:$A$86,0),MATCH(G444,'vehicles specifications'!$B$2:$CK$2,0))*INDEX('ei names mapping'!$B$137:$BK$220,MATCH(B414,'ei names mapping'!$A$137:$A$220,0),MATCH(G444,'ei names mapping'!$B$136:$BK$136,0))</f>
        <v>-7.3669999999999991E-6</v>
      </c>
      <c r="C444" s="12" t="str">
        <f>INDEX('ei names mapping'!$B$38:$BK$67,MATCH(B411,'ei names mapping'!$A$4:$A$33,0),MATCH(G444,'ei names mapping'!$B$3:$BK$3,0))</f>
        <v>RER</v>
      </c>
      <c r="D444" s="12" t="str">
        <f>INDEX('ei names mapping'!$B$104:$BK$133,MATCH(B411,'ei names mapping'!$A$4:$A$33,0),MATCH(G444,'ei names mapping'!$B$3:$BK$3,0))</f>
        <v>kilogram</v>
      </c>
      <c r="E444" s="12"/>
      <c r="F444" s="12" t="s">
        <v>91</v>
      </c>
      <c r="G444" t="s">
        <v>30</v>
      </c>
      <c r="H444" s="12" t="str">
        <f>INDEX('ei names mapping'!$B$71:$BK$100,MATCH(B411,'ei names mapping'!$A$4:$A$33,0),MATCH(G444,'ei names mapping'!$B$3:$BK$3,0))</f>
        <v>tyre wear emissions, passenger car</v>
      </c>
    </row>
    <row r="445" spans="1:8" x14ac:dyDescent="0.3">
      <c r="A445" s="12" t="str">
        <f>INDEX('ei names mapping'!$B$4:$BK$33,MATCH(B411,'ei names mapping'!$A$4:$A$33,0),MATCH(G445,'ei names mapping'!$B$3:$BK$3,0))</f>
        <v>treatment of brake wear emissions, passenger car</v>
      </c>
      <c r="B445" s="16">
        <f>INDEX('vehicles specifications'!$B$3:$CK$86,MATCH(B414,'vehicles specifications'!$A$3:$A$86,0),MATCH(G445,'vehicles specifications'!$B$2:$CK$2,0))*INDEX('ei names mapping'!$B$137:$BK$220,MATCH(B414,'ei names mapping'!$A$137:$A$220,0),MATCH(G445,'ei names mapping'!$B$136:$BK$136,0))</f>
        <v>-4.1749999999999998E-6</v>
      </c>
      <c r="C445" s="12" t="str">
        <f>INDEX('ei names mapping'!$B$38:$BK$67,MATCH(B411,'ei names mapping'!$A$4:$A$33,0),MATCH(G445,'ei names mapping'!$B$3:$BK$3,0))</f>
        <v>RER</v>
      </c>
      <c r="D445" s="12" t="str">
        <f>INDEX('ei names mapping'!$B$104:$BK$133,MATCH(B411,'ei names mapping'!$A$4:$A$33,0),MATCH(G445,'ei names mapping'!$B$3:$BK$3,0))</f>
        <v>kilogram</v>
      </c>
      <c r="E445" s="12"/>
      <c r="F445" s="12" t="s">
        <v>91</v>
      </c>
      <c r="G445" t="s">
        <v>31</v>
      </c>
      <c r="H445" s="12" t="str">
        <f>INDEX('ei names mapping'!$B$71:$BK$100,MATCH(B411,'ei names mapping'!$A$4:$A$33,0),MATCH(G445,'ei names mapping'!$B$3:$BK$3,0))</f>
        <v>brake wear emissions, passenger car</v>
      </c>
    </row>
    <row r="447" spans="1:8" ht="15.6" x14ac:dyDescent="0.3">
      <c r="A447" s="11" t="s">
        <v>72</v>
      </c>
      <c r="B447" s="9" t="str">
        <f>"transport, "&amp;B449&amp;", "&amp;B451&amp;", label-certified electricity"</f>
        <v>transport, Motorbike, electric, 4-11kW, 2050, label-certified electricity</v>
      </c>
    </row>
    <row r="448" spans="1:8" x14ac:dyDescent="0.3">
      <c r="A448" t="s">
        <v>73</v>
      </c>
      <c r="B448" t="s">
        <v>37</v>
      </c>
    </row>
    <row r="449" spans="1:2" x14ac:dyDescent="0.3">
      <c r="A449" t="s">
        <v>87</v>
      </c>
      <c r="B449" t="s">
        <v>521</v>
      </c>
    </row>
    <row r="450" spans="1:2" x14ac:dyDescent="0.3">
      <c r="A450" t="s">
        <v>88</v>
      </c>
      <c r="B450" s="12"/>
    </row>
    <row r="451" spans="1:2" x14ac:dyDescent="0.3">
      <c r="A451" t="s">
        <v>89</v>
      </c>
      <c r="B451" s="12">
        <v>2050</v>
      </c>
    </row>
    <row r="452" spans="1:2" x14ac:dyDescent="0.3">
      <c r="A452" t="s">
        <v>131</v>
      </c>
      <c r="B452" s="12" t="str">
        <f>B449&amp;" - "&amp;B451&amp;" - "&amp;B448</f>
        <v>Motorbike, electric, 4-11kW - 2050 - CH</v>
      </c>
    </row>
    <row r="453" spans="1:2" x14ac:dyDescent="0.3">
      <c r="A453" t="s">
        <v>74</v>
      </c>
      <c r="B453" s="12" t="str">
        <f>"transport, "&amp;B449</f>
        <v>transport, Motorbike, electric, 4-11kW</v>
      </c>
    </row>
    <row r="454" spans="1:2" x14ac:dyDescent="0.3">
      <c r="A454" t="s">
        <v>75</v>
      </c>
      <c r="B454" t="s">
        <v>76</v>
      </c>
    </row>
    <row r="455" spans="1:2" x14ac:dyDescent="0.3">
      <c r="A455" t="s">
        <v>77</v>
      </c>
      <c r="B455" t="s">
        <v>172</v>
      </c>
    </row>
    <row r="456" spans="1:2" x14ac:dyDescent="0.3">
      <c r="A456" t="s">
        <v>79</v>
      </c>
      <c r="B456" t="s">
        <v>90</v>
      </c>
    </row>
    <row r="457" spans="1:2" x14ac:dyDescent="0.3">
      <c r="A457" t="s">
        <v>132</v>
      </c>
      <c r="B457">
        <f>INDEX('vehicles specifications'!$B$3:$CK$86,MATCH(B452,'vehicles specifications'!$A$3:$A$86,0),MATCH("Lifetime [km]",'vehicles specifications'!$B$2:$CK$2,0))</f>
        <v>39800</v>
      </c>
    </row>
    <row r="458" spans="1:2" x14ac:dyDescent="0.3">
      <c r="A458" t="s">
        <v>133</v>
      </c>
      <c r="B458">
        <f>INDEX('vehicles specifications'!$B$3:$CK$86,MATCH(B452,'vehicles specifications'!$A$3:$A$86,0),MATCH("Passengers [unit]",'vehicles specifications'!$B$2:$CK$2,0))</f>
        <v>1.1000000000000001</v>
      </c>
    </row>
    <row r="459" spans="1:2" x14ac:dyDescent="0.3">
      <c r="A459" t="s">
        <v>134</v>
      </c>
      <c r="B459">
        <f>INDEX('vehicles specifications'!$B$3:$CK$86,MATCH(B452,'vehicles specifications'!$A$3:$A$86,0),MATCH("Servicing [unit]",'vehicles specifications'!$B$2:$CK$2,0))</f>
        <v>0.79600000000000004</v>
      </c>
    </row>
    <row r="460" spans="1:2" x14ac:dyDescent="0.3">
      <c r="A460" t="s">
        <v>135</v>
      </c>
      <c r="B460">
        <f>INDEX('vehicles specifications'!$B$3:$CK$86,MATCH(B452,'vehicles specifications'!$A$3:$A$86,0),MATCH("Energy battery replacement [unit]",'vehicles specifications'!$B$2:$CK$2,0))</f>
        <v>0</v>
      </c>
    </row>
    <row r="461" spans="1:2" x14ac:dyDescent="0.3">
      <c r="A461" t="s">
        <v>136</v>
      </c>
      <c r="B461">
        <f>INDEX('vehicles specifications'!$B$3:$CK$86,MATCH(B452,'vehicles specifications'!$A$3:$A$86,0),MATCH("Annual kilometers [km]",'vehicles specifications'!$B$2:$CK$2,0))</f>
        <v>2731</v>
      </c>
    </row>
    <row r="462" spans="1:2" x14ac:dyDescent="0.3">
      <c r="A462" t="s">
        <v>137</v>
      </c>
      <c r="B462" s="2">
        <f>INDEX('vehicles specifications'!$B$3:$CK$86,MATCH(B452,'vehicles specifications'!$A$3:$A$86,0),MATCH("Curb mass [kg]",'vehicles specifications'!$B$2:$CK$2,0))</f>
        <v>104.45345907310549</v>
      </c>
    </row>
    <row r="463" spans="1:2" x14ac:dyDescent="0.3">
      <c r="A463" t="s">
        <v>138</v>
      </c>
      <c r="B463">
        <f>INDEX('vehicles specifications'!$B$3:$CK$86,MATCH(B452,'vehicles specifications'!$A$3:$A$86,0),MATCH("Power [kW]",'vehicles specifications'!$B$2:$CK$2,0))</f>
        <v>4.7</v>
      </c>
    </row>
    <row r="464" spans="1:2" x14ac:dyDescent="0.3">
      <c r="A464" t="s">
        <v>139</v>
      </c>
      <c r="B464">
        <f>INDEX('vehicles specifications'!$B$3:$CK$86,MATCH(B452,'vehicles specifications'!$A$3:$A$86,0),MATCH("Energy battery mass [kg]",'vehicles specifications'!$B$2:$CK$2,0))</f>
        <v>22.8</v>
      </c>
    </row>
    <row r="465" spans="1:8" x14ac:dyDescent="0.3">
      <c r="A465" t="s">
        <v>140</v>
      </c>
      <c r="B465" s="21">
        <f>INDEX('vehicles specifications'!$B$3:$CK$86,MATCH(B452,'vehicles specifications'!$A$3:$A$86,0),MATCH("Electric energy stored [kWh]",'vehicles specifications'!$B$2:$CK$2,0))</f>
        <v>9.5</v>
      </c>
    </row>
    <row r="466" spans="1:8" s="21" customFormat="1" x14ac:dyDescent="0.3">
      <c r="A466" s="21" t="s">
        <v>654</v>
      </c>
      <c r="B466" s="21">
        <f>INDEX('vehicles specifications'!$B$3:$CK$86,MATCH(B452,'vehicles specifications'!$A$3:$A$86,0),MATCH("Electric energy available [kWh]",'vehicles specifications'!$B$2:$CK$2,0))</f>
        <v>7.6000000000000005</v>
      </c>
    </row>
    <row r="467" spans="1:8" x14ac:dyDescent="0.3">
      <c r="A467" t="s">
        <v>143</v>
      </c>
      <c r="B467" s="2">
        <f>INDEX('vehicles specifications'!$B$3:$CK$86,MATCH(B452,'vehicles specifications'!$A$3:$A$86,0),MATCH("Oxydation energy stored [kWh]",'vehicles specifications'!$B$2:$CK$2,0))</f>
        <v>0</v>
      </c>
    </row>
    <row r="468" spans="1:8" x14ac:dyDescent="0.3">
      <c r="A468" t="s">
        <v>145</v>
      </c>
      <c r="B468">
        <f>INDEX('vehicles specifications'!$B$3:$CK$86,MATCH(B452,'vehicles specifications'!$A$3:$A$86,0),MATCH("Fuel mass [kg]",'vehicles specifications'!$B$2:$CK$2,0))</f>
        <v>0</v>
      </c>
    </row>
    <row r="469" spans="1:8" x14ac:dyDescent="0.3">
      <c r="A469" t="s">
        <v>141</v>
      </c>
      <c r="B469" s="2">
        <f>INDEX('vehicles specifications'!$B$3:$CK$86,MATCH(B452,'vehicles specifications'!$A$3:$A$86,0),MATCH("Range [km]",'vehicles specifications'!$B$2:$CK$2,0))</f>
        <v>150.32967032967034</v>
      </c>
    </row>
    <row r="470" spans="1:8" x14ac:dyDescent="0.3">
      <c r="A470" t="s">
        <v>142</v>
      </c>
      <c r="B470" t="str">
        <f>INDEX('vehicles specifications'!$B$3:$CK$86,MATCH(B452,'vehicles specifications'!$A$3:$A$86,0),MATCH("Emission standard",'vehicles specifications'!$B$2:$CK$2,0))</f>
        <v>None</v>
      </c>
    </row>
    <row r="471" spans="1:8" x14ac:dyDescent="0.3">
      <c r="A471" t="s">
        <v>144</v>
      </c>
      <c r="B471" s="6">
        <f>INDEX('vehicles specifications'!$B$3:$CK$86,MATCH(B452,'vehicles specifications'!$A$3:$A$86,0),MATCH("Lightweighting rate [%]",'vehicles specifications'!$B$2:$CK$2,0))</f>
        <v>7.0000000000000007E-2</v>
      </c>
    </row>
    <row r="472" spans="1:8" x14ac:dyDescent="0.3">
      <c r="A472" t="s">
        <v>84</v>
      </c>
      <c r="B472" s="21" t="str">
        <f>"Power: "&amp;B463&amp;" kW. Lifetime: "&amp;B457&amp;" km. Annual kilometers: "&amp;B461&amp;" km. Number of passengers: "&amp;B458&amp;". Curb mass: "&amp;ROUND(B462,1)&amp;" kg. Lightweighting of glider: "&amp;ROUND(B471*100,0)&amp;"%. Emission standard: "&amp;B470&amp;". Service visits throughout lifetime: "&amp;ROUND(B459,1)&amp;". Range: "&amp;ROUND(B469,0)&amp;" km. Battery capacity: "&amp;ROUND(B465,1)&amp;" kWh. Available battery capacity: "&amp;B466&amp;" kWh. Battery mass: "&amp;ROUND(B464,1)&amp; " kg. Battery replacement throughout lifetime: "&amp;ROUND(B460,1)&amp;". Fuel tank capacity: "&amp;ROUND(B467,1)&amp;" kWh. Fuel mass: "&amp;ROUND(B468,1)&amp;" kg. Documentation: "&amp;Readmefirst!$B$2&amp;", "&amp;Readmefirst!$B$3&amp;". "&amp;'lci-kick scooter'!B415</f>
        <v xml:space="preserve">Power: 4.7 kW. Lifetime: 39800 km. Annual kilometers: 2731 km. Number of passengers: 1.1. Curb mass: 104.5 kg. Lightweighting of glider: 7%. Emission standard: None. Service visits throughout lifetime: 0.8. Range: 150 km. Battery capacity: 9.5 kWh. Available battery capacity: 7.6 kWh. Battery mass: 22.8 kg. Battery replacement throughout lifetime: 0. Fuel tank capacity: 0 kWh. Fuel mass: 0 kg. Documentation: 2021 UVEK life-cycle inventories update of on-road vehicles, Sacchi R. (PSI), Bauer C. (PSI), 2021. </v>
      </c>
    </row>
    <row r="473" spans="1:8" ht="15.6" x14ac:dyDescent="0.3">
      <c r="A473" s="11" t="s">
        <v>80</v>
      </c>
    </row>
    <row r="474" spans="1:8" x14ac:dyDescent="0.3">
      <c r="A474" t="s">
        <v>81</v>
      </c>
      <c r="B474" t="s">
        <v>82</v>
      </c>
      <c r="C474" t="s">
        <v>73</v>
      </c>
      <c r="D474" t="s">
        <v>77</v>
      </c>
      <c r="E474" t="s">
        <v>83</v>
      </c>
      <c r="F474" t="s">
        <v>75</v>
      </c>
      <c r="G474" t="s">
        <v>84</v>
      </c>
      <c r="H474" t="s">
        <v>74</v>
      </c>
    </row>
    <row r="475" spans="1:8" x14ac:dyDescent="0.3">
      <c r="A475" s="12" t="str">
        <f>B447</f>
        <v>transport, Motorbike, electric, 4-11kW, 2050, label-certified electricity</v>
      </c>
      <c r="B475" s="12">
        <v>1</v>
      </c>
      <c r="C475" s="12" t="str">
        <f>B448</f>
        <v>CH</v>
      </c>
      <c r="D475" s="12" t="s">
        <v>172</v>
      </c>
      <c r="E475" s="12"/>
      <c r="F475" s="12" t="s">
        <v>85</v>
      </c>
      <c r="G475" s="12" t="s">
        <v>86</v>
      </c>
      <c r="H475" s="12" t="str">
        <f>B453</f>
        <v>transport, Motorbike, electric, 4-11kW</v>
      </c>
    </row>
    <row r="476" spans="1:8" x14ac:dyDescent="0.3">
      <c r="A476" s="12" t="str">
        <f>B449&amp;", "&amp;B451</f>
        <v>Motorbike, electric, 4-11kW, 2050</v>
      </c>
      <c r="B476" s="12">
        <f>1/B457</f>
        <v>2.5125628140703518E-5</v>
      </c>
      <c r="C476" s="12" t="str">
        <f>B448</f>
        <v>CH</v>
      </c>
      <c r="D476" s="12" t="s">
        <v>77</v>
      </c>
      <c r="E476" s="12"/>
      <c r="F476" s="12" t="s">
        <v>91</v>
      </c>
      <c r="G476" s="12"/>
      <c r="H476" s="12" t="str">
        <f>RIGHT(H475,LEN(H475)-11)</f>
        <v>Motorbike, electric, 4-11kW</v>
      </c>
    </row>
    <row r="477" spans="1:8" x14ac:dyDescent="0.3">
      <c r="A477" s="12" t="str">
        <f>INDEX('ei names mapping'!$B$4:$R$33,MATCH(B449,'ei names mapping'!$A$4:$A$33,0),MATCH(G477,'ei names mapping'!$B$3:$R$3,0))</f>
        <v>road maintenance</v>
      </c>
      <c r="B477" s="16">
        <f>INDEX('vehicles specifications'!$B$3:$CK$86,MATCH(B452,'vehicles specifications'!$A$3:$A$86,0),MATCH(G477,'vehicles specifications'!$B$2:$CK$2,0))*INDEX('ei names mapping'!$B$137:$BK$220,MATCH(B452,'ei names mapping'!$A$137:$A$220,0),MATCH(G477,'ei names mapping'!$B$136:$BK$136,0))</f>
        <v>1.2899999999999999E-3</v>
      </c>
      <c r="C477" s="12" t="str">
        <f>INDEX('ei names mapping'!$B$38:$R$67,MATCH(B449,'ei names mapping'!$A$4:$A$33,0),MATCH(G477,'ei names mapping'!$B$3:$R$3,0))</f>
        <v>CH</v>
      </c>
      <c r="D477" s="12" t="str">
        <f>INDEX('ei names mapping'!$B$104:$BK$133,MATCH(B449,'ei names mapping'!$A$4:$A$33,0),MATCH(G477,'ei names mapping'!$B$3:$BK$3,0))</f>
        <v>meter-year</v>
      </c>
      <c r="E477" s="12"/>
      <c r="F477" s="12" t="s">
        <v>91</v>
      </c>
      <c r="G477" t="s">
        <v>117</v>
      </c>
      <c r="H477" s="12" t="str">
        <f>INDEX('ei names mapping'!$B$71:$BK$100,MATCH(B449,'ei names mapping'!$A$4:$A$33,0),MATCH(G477,'ei names mapping'!$B$3:$BK$3,0))</f>
        <v>road maintenance</v>
      </c>
    </row>
    <row r="478" spans="1:8" x14ac:dyDescent="0.3">
      <c r="A478" s="12" t="s">
        <v>114</v>
      </c>
      <c r="B478" s="14">
        <f>INDEX('vehicles specifications'!$B$3:$CK$86,MATCH(B452,'vehicles specifications'!$A$3:$A$86,0),MATCH(G478,'vehicles specifications'!$B$2:$CK$2,0))*INDEX('ei names mapping'!$B$137:$BK$220,MATCH(B452,'ei names mapping'!$A$137:$A$220,0),MATCH(G478,'ei names mapping'!$B$136:$BK$136,0))</f>
        <v>5.5611111111111111E-2</v>
      </c>
      <c r="C478" s="12" t="str">
        <f>INDEX('ei names mapping'!$B$38:$R$67,MATCH($B$3,'ei names mapping'!$A$4:$A$33,0),MATCH(G478,'ei names mapping'!$B$3:$R$3,0))</f>
        <v>CH</v>
      </c>
      <c r="D478" s="12" t="str">
        <f>INDEX('ei names mapping'!$B$104:$R$133,MATCH($B$3,'ei names mapping'!$A$4:$A$33,0),MATCH(G478,'ei names mapping'!$B$3:$R$3,0))</f>
        <v>kilowatt hour</v>
      </c>
      <c r="E478" s="12"/>
      <c r="F478" s="12" t="s">
        <v>91</v>
      </c>
      <c r="G478" t="s">
        <v>28</v>
      </c>
      <c r="H478" s="12" t="s">
        <v>116</v>
      </c>
    </row>
    <row r="479" spans="1:8" x14ac:dyDescent="0.3">
      <c r="A479" s="12" t="str">
        <f>INDEX('ei names mapping'!$B$4:$R$33,MATCH(B449,'ei names mapping'!$A$4:$A$33,0),MATCH(G479,'ei names mapping'!$B$3:$R$3,0))</f>
        <v>market for maintenance, electric scooter, without battery</v>
      </c>
      <c r="B479" s="16">
        <f>INDEX('vehicles specifications'!$B$3:$CK$86,MATCH(B452,'vehicles specifications'!$A$3:$A$86,0),MATCH(G479,'vehicles specifications'!$B$2:$CK$2,0))*INDEX('ei names mapping'!$B$137:$BK$220,MATCH(B452,'ei names mapping'!$A$137:$A$220,0),MATCH(G479,'ei names mapping'!$B$136:$BK$136,0))</f>
        <v>2.0000000000000002E-5</v>
      </c>
      <c r="C479" s="12" t="str">
        <f>INDEX('ei names mapping'!$B$38:$BK$67,MATCH(B449,'ei names mapping'!$A$4:$A$33,0),MATCH(G479,'ei names mapping'!$B$3:$BK$3,0))</f>
        <v>GLO</v>
      </c>
      <c r="D479" s="12" t="str">
        <f>INDEX('ei names mapping'!$B$104:$BK$133,MATCH(B449,'ei names mapping'!$A$4:$A$33,0),MATCH(G479,'ei names mapping'!$B$3:$BK$3,0))</f>
        <v>unit</v>
      </c>
      <c r="F479" s="12" t="s">
        <v>91</v>
      </c>
      <c r="G479" s="12" t="s">
        <v>123</v>
      </c>
      <c r="H479" s="12" t="str">
        <f>INDEX('ei names mapping'!$B$71:$BK$100,MATCH(B449,'ei names mapping'!$A$4:$A$33,0),MATCH(G479,'ei names mapping'!$B$3:$BK$3,0))</f>
        <v>maintenance, electric scooter, without battery</v>
      </c>
    </row>
    <row r="480" spans="1:8" s="21" customFormat="1" x14ac:dyDescent="0.3">
      <c r="A480" s="12" t="str">
        <f>INDEX('ei names mapping'!$B$4:$R$33,MATCH(B449,'ei names mapping'!$A$4:$A$33,0),MATCH(G480,'ei names mapping'!$B$3:$R$3,0))</f>
        <v>road construction</v>
      </c>
      <c r="B480" s="16">
        <f>INDEX('vehicles specifications'!$B$3:$CK$86,MATCH(B452,'vehicles specifications'!$A$3:$A$86,0),MATCH(G480,'vehicles specifications'!$B$2:$CK$2,0))*INDEX('ei names mapping'!$B$137:$BK$220,MATCH(B452,'ei names mapping'!$A$137:$A$220,0),MATCH(G480,'ei names mapping'!$B$136:$BK$136,0))</f>
        <v>1.0066250752225764E-4</v>
      </c>
      <c r="C480" s="12" t="str">
        <f>INDEX('ei names mapping'!$B$38:$R$67,MATCH(B449,'ei names mapping'!$A$4:$A$33,0),MATCH(G480,'ei names mapping'!$B$3:$R$3,0))</f>
        <v>CH</v>
      </c>
      <c r="D480" s="12" t="str">
        <f>INDEX('ei names mapping'!$B$104:$R$133,MATCH(B449,'ei names mapping'!$A$104:$A$133,0),MATCH(G480,'ei names mapping'!$B$3:$R$3,0))</f>
        <v>meter-year</v>
      </c>
      <c r="E480" s="12"/>
      <c r="F480" s="12" t="s">
        <v>91</v>
      </c>
      <c r="G480" s="21" t="s">
        <v>108</v>
      </c>
      <c r="H480" s="12" t="str">
        <f>INDEX('ei names mapping'!$B$71:$R$100,MATCH(B449,'ei names mapping'!$A$4:$A$33,0),MATCH(G480,'ei names mapping'!$B$3:$R$3,0))</f>
        <v>road</v>
      </c>
    </row>
    <row r="481" spans="1:8" x14ac:dyDescent="0.3">
      <c r="A481" s="12" t="str">
        <f>INDEX('ei names mapping'!$B$4:$BK$33,MATCH(B449,'ei names mapping'!$A$4:$A$33,0),MATCH(G481,'ei names mapping'!$B$3:$BK$3,0))</f>
        <v>treatment of road wear emissions, passenger car</v>
      </c>
      <c r="B481" s="16">
        <f>INDEX('vehicles specifications'!$B$3:$CK$86,MATCH(B452,'vehicles specifications'!$A$3:$A$86,0),MATCH(G481,'vehicles specifications'!$B$2:$CK$2,0))*INDEX('ei names mapping'!$B$137:$BK$220,MATCH(B452,'ei names mapping'!$A$137:$A$220,0),MATCH(G481,'ei names mapping'!$B$136:$BK$136,0))</f>
        <v>-6.0000000000000002E-6</v>
      </c>
      <c r="C481" s="12" t="str">
        <f>INDEX('ei names mapping'!$B$38:$BK$67,MATCH(B449,'ei names mapping'!$A$4:$A$33,0),MATCH(G481,'ei names mapping'!$B$3:$BK$3,0))</f>
        <v>RER</v>
      </c>
      <c r="D481" s="12" t="str">
        <f>INDEX('ei names mapping'!$B$104:$BK$133,MATCH(B449,'ei names mapping'!$A$4:$A$33,0),MATCH(G481,'ei names mapping'!$B$3:$BK$3,0))</f>
        <v>kilogram</v>
      </c>
      <c r="E481" s="12"/>
      <c r="F481" s="12" t="s">
        <v>91</v>
      </c>
      <c r="G481" t="s">
        <v>29</v>
      </c>
      <c r="H481" s="12" t="str">
        <f>INDEX('ei names mapping'!$B$71:$BK$100,MATCH(B449,'ei names mapping'!$A$4:$A$33,0),MATCH(G481,'ei names mapping'!$B$3:$BK$3,0))</f>
        <v>road wear emissions, passenger car</v>
      </c>
    </row>
    <row r="482" spans="1:8" x14ac:dyDescent="0.3">
      <c r="A482" s="12" t="str">
        <f>INDEX('ei names mapping'!$B$4:$BK$33,MATCH(B449,'ei names mapping'!$A$4:$A$33,0),MATCH(G482,'ei names mapping'!$B$3:$BK$3,0))</f>
        <v>treatment of tyre wear emissions, passenger car</v>
      </c>
      <c r="B482" s="16">
        <f>INDEX('vehicles specifications'!$B$3:$CK$86,MATCH(B452,'vehicles specifications'!$A$3:$A$86,0),MATCH(G482,'vehicles specifications'!$B$2:$CK$2,0))*INDEX('ei names mapping'!$B$137:$BK$220,MATCH(B452,'ei names mapping'!$A$137:$A$220,0),MATCH(G482,'ei names mapping'!$B$136:$BK$136,0))</f>
        <v>-7.3669999999999991E-6</v>
      </c>
      <c r="C482" s="12" t="str">
        <f>INDEX('ei names mapping'!$B$38:$BK$67,MATCH(B449,'ei names mapping'!$A$4:$A$33,0),MATCH(G482,'ei names mapping'!$B$3:$BK$3,0))</f>
        <v>RER</v>
      </c>
      <c r="D482" s="12" t="str">
        <f>INDEX('ei names mapping'!$B$104:$BK$133,MATCH(B449,'ei names mapping'!$A$4:$A$33,0),MATCH(G482,'ei names mapping'!$B$3:$BK$3,0))</f>
        <v>kilogram</v>
      </c>
      <c r="E482" s="12"/>
      <c r="F482" s="12" t="s">
        <v>91</v>
      </c>
      <c r="G482" t="s">
        <v>30</v>
      </c>
      <c r="H482" s="12" t="str">
        <f>INDEX('ei names mapping'!$B$71:$BK$100,MATCH(B449,'ei names mapping'!$A$4:$A$33,0),MATCH(G482,'ei names mapping'!$B$3:$BK$3,0))</f>
        <v>tyre wear emissions, passenger car</v>
      </c>
    </row>
    <row r="483" spans="1:8" x14ac:dyDescent="0.3">
      <c r="A483" s="12" t="str">
        <f>INDEX('ei names mapping'!$B$4:$BK$33,MATCH(B449,'ei names mapping'!$A$4:$A$33,0),MATCH(G483,'ei names mapping'!$B$3:$BK$3,0))</f>
        <v>treatment of brake wear emissions, passenger car</v>
      </c>
      <c r="B483" s="16">
        <f>INDEX('vehicles specifications'!$B$3:$CK$86,MATCH(B452,'vehicles specifications'!$A$3:$A$86,0),MATCH(G483,'vehicles specifications'!$B$2:$CK$2,0))*INDEX('ei names mapping'!$B$137:$BK$220,MATCH(B452,'ei names mapping'!$A$137:$A$220,0),MATCH(G483,'ei names mapping'!$B$136:$BK$136,0))</f>
        <v>-4.1749999999999998E-6</v>
      </c>
      <c r="C483" s="12" t="str">
        <f>INDEX('ei names mapping'!$B$38:$BK$67,MATCH(B449,'ei names mapping'!$A$4:$A$33,0),MATCH(G483,'ei names mapping'!$B$3:$BK$3,0))</f>
        <v>RER</v>
      </c>
      <c r="D483" s="12" t="str">
        <f>INDEX('ei names mapping'!$B$104:$BK$133,MATCH(B449,'ei names mapping'!$A$4:$A$33,0),MATCH(G483,'ei names mapping'!$B$3:$BK$3,0))</f>
        <v>kilogram</v>
      </c>
      <c r="E483" s="12"/>
      <c r="F483" s="12" t="s">
        <v>91</v>
      </c>
      <c r="G483" t="s">
        <v>31</v>
      </c>
      <c r="H483" s="12" t="str">
        <f>INDEX('ei names mapping'!$B$71:$BK$100,MATCH(B449,'ei names mapping'!$A$4:$A$33,0),MATCH(G483,'ei names mapping'!$B$3:$BK$3,0))</f>
        <v>brake wear emissions, passenger car</v>
      </c>
    </row>
    <row r="485" spans="1:8" ht="15.6" x14ac:dyDescent="0.3">
      <c r="A485" s="11"/>
      <c r="B485" s="9"/>
    </row>
    <row r="488" spans="1:8" x14ac:dyDescent="0.3">
      <c r="B488" s="12"/>
    </row>
    <row r="489" spans="1:8" x14ac:dyDescent="0.3">
      <c r="B489" s="12"/>
    </row>
    <row r="490" spans="1:8" x14ac:dyDescent="0.3">
      <c r="B490" s="12"/>
    </row>
    <row r="500" spans="1:8" x14ac:dyDescent="0.3">
      <c r="B500" s="2"/>
    </row>
    <row r="504" spans="1:8" x14ac:dyDescent="0.3">
      <c r="B504" s="2"/>
    </row>
    <row r="506" spans="1:8" x14ac:dyDescent="0.3">
      <c r="B506" s="2"/>
    </row>
    <row r="508" spans="1:8" x14ac:dyDescent="0.3">
      <c r="B508" s="6"/>
    </row>
    <row r="510" spans="1:8" ht="15.6" x14ac:dyDescent="0.3">
      <c r="A510" s="11"/>
    </row>
    <row r="512" spans="1:8" x14ac:dyDescent="0.3">
      <c r="A512" s="12"/>
      <c r="B512" s="12"/>
      <c r="C512" s="12"/>
      <c r="D512" s="12"/>
      <c r="E512" s="12"/>
      <c r="F512" s="12"/>
      <c r="G512" s="12"/>
      <c r="H512" s="12"/>
    </row>
    <row r="513" spans="1:8" x14ac:dyDescent="0.3">
      <c r="A513" s="12"/>
      <c r="B513" s="16"/>
      <c r="C513" s="12"/>
      <c r="D513" s="12"/>
      <c r="E513" s="12"/>
      <c r="F513" s="12"/>
      <c r="G513" s="12"/>
      <c r="H513" s="12"/>
    </row>
    <row r="514" spans="1:8" x14ac:dyDescent="0.3">
      <c r="A514" s="12"/>
      <c r="B514" s="16"/>
      <c r="C514" s="12"/>
      <c r="D514" s="12"/>
      <c r="E514" s="12"/>
      <c r="F514" s="12"/>
      <c r="H514" s="12"/>
    </row>
    <row r="515" spans="1:8" x14ac:dyDescent="0.3">
      <c r="A515" s="12"/>
      <c r="B515" s="16"/>
      <c r="C515" s="12"/>
      <c r="D515" s="12"/>
      <c r="E515" s="12"/>
      <c r="F515" s="12"/>
      <c r="H515" s="12"/>
    </row>
    <row r="516" spans="1:8" x14ac:dyDescent="0.3">
      <c r="A516" s="12"/>
      <c r="B516" s="16"/>
      <c r="C516" s="12"/>
      <c r="D516" s="12"/>
      <c r="E516" s="12"/>
      <c r="F516" s="12"/>
      <c r="H516" s="12"/>
    </row>
    <row r="517" spans="1:8" x14ac:dyDescent="0.3">
      <c r="A517" s="12"/>
      <c r="B517" s="16"/>
      <c r="C517" s="12"/>
      <c r="D517" s="12"/>
      <c r="E517" s="12"/>
      <c r="F517" s="12"/>
      <c r="H517" s="12"/>
    </row>
    <row r="518" spans="1:8" x14ac:dyDescent="0.3">
      <c r="A518" s="12"/>
      <c r="B518" s="16"/>
      <c r="C518" s="12"/>
      <c r="D518" s="12"/>
      <c r="E518" s="12"/>
      <c r="F518" s="12"/>
      <c r="H518" s="12"/>
    </row>
    <row r="519" spans="1:8" x14ac:dyDescent="0.3">
      <c r="A519" s="12"/>
      <c r="B519" s="16"/>
      <c r="C519" s="12"/>
      <c r="D519" s="12"/>
      <c r="E519" s="12"/>
      <c r="F519" s="12"/>
      <c r="H519" s="12"/>
    </row>
    <row r="520" spans="1:8" x14ac:dyDescent="0.3">
      <c r="A520" s="12"/>
      <c r="B520" s="16"/>
      <c r="C520" s="12"/>
      <c r="D520" s="12"/>
      <c r="E520" s="12"/>
      <c r="F520" s="12"/>
      <c r="H520" s="12"/>
    </row>
    <row r="521" spans="1:8" x14ac:dyDescent="0.3">
      <c r="A521" s="12"/>
      <c r="B521" s="16"/>
      <c r="C521" s="12"/>
      <c r="D521" s="12"/>
      <c r="E521" s="12"/>
      <c r="F521" s="12"/>
      <c r="H521" s="12"/>
    </row>
    <row r="522" spans="1:8" x14ac:dyDescent="0.3">
      <c r="A522" s="12"/>
      <c r="B522" s="16"/>
      <c r="C522" s="12"/>
      <c r="D522" s="12"/>
      <c r="E522" s="12"/>
      <c r="F522" s="12"/>
      <c r="H522" s="12"/>
    </row>
    <row r="523" spans="1:8" x14ac:dyDescent="0.3">
      <c r="A523" s="12"/>
      <c r="B523" s="16"/>
      <c r="C523" s="12"/>
      <c r="D523" s="12"/>
      <c r="E523" s="12"/>
      <c r="F523" s="12"/>
      <c r="H523" s="12"/>
    </row>
    <row r="524" spans="1:8" ht="15.6" x14ac:dyDescent="0.3">
      <c r="A524" s="11"/>
      <c r="B524" s="9"/>
    </row>
    <row r="527" spans="1:8" x14ac:dyDescent="0.3">
      <c r="B527" s="12"/>
    </row>
    <row r="528" spans="1:8" x14ac:dyDescent="0.3">
      <c r="B528" s="12"/>
    </row>
    <row r="529" spans="2:2" x14ac:dyDescent="0.3">
      <c r="B529" s="12"/>
    </row>
    <row r="539" spans="2:2" x14ac:dyDescent="0.3">
      <c r="B539" s="2"/>
    </row>
    <row r="543" spans="2:2" x14ac:dyDescent="0.3">
      <c r="B543" s="2"/>
    </row>
    <row r="545" spans="1:8" x14ac:dyDescent="0.3">
      <c r="B545" s="2"/>
    </row>
    <row r="547" spans="1:8" x14ac:dyDescent="0.3">
      <c r="B547" s="6"/>
    </row>
    <row r="549" spans="1:8" ht="15.6" x14ac:dyDescent="0.3">
      <c r="A549" s="11"/>
    </row>
    <row r="551" spans="1:8" x14ac:dyDescent="0.3">
      <c r="A551" s="12"/>
      <c r="B551" s="12"/>
      <c r="C551" s="12"/>
      <c r="D551" s="12"/>
      <c r="E551" s="12"/>
      <c r="F551" s="12"/>
      <c r="G551" s="12"/>
      <c r="H551" s="12"/>
    </row>
    <row r="552" spans="1:8" x14ac:dyDescent="0.3">
      <c r="A552" s="12"/>
      <c r="B552" s="16"/>
      <c r="C552" s="12"/>
      <c r="D552" s="12"/>
      <c r="E552" s="12"/>
      <c r="F552" s="12"/>
      <c r="G552" s="12"/>
      <c r="H552" s="12"/>
    </row>
    <row r="553" spans="1:8" x14ac:dyDescent="0.3">
      <c r="A553" s="12"/>
      <c r="B553" s="16"/>
      <c r="C553" s="12"/>
      <c r="D553" s="12"/>
      <c r="E553" s="12"/>
      <c r="F553" s="12"/>
      <c r="H553" s="12"/>
    </row>
    <row r="554" spans="1:8" x14ac:dyDescent="0.3">
      <c r="A554" s="12"/>
      <c r="B554" s="16"/>
      <c r="C554" s="12"/>
      <c r="D554" s="12"/>
      <c r="E554" s="12"/>
      <c r="F554" s="12"/>
      <c r="H554" s="12"/>
    </row>
    <row r="555" spans="1:8" x14ac:dyDescent="0.3">
      <c r="A555" s="12"/>
      <c r="B555" s="16"/>
      <c r="C555" s="12"/>
      <c r="D555" s="12"/>
      <c r="E555" s="12"/>
      <c r="F555" s="12"/>
      <c r="H555" s="12"/>
    </row>
    <row r="556" spans="1:8" x14ac:dyDescent="0.3">
      <c r="A556" s="12"/>
      <c r="B556" s="16"/>
      <c r="C556" s="12"/>
      <c r="D556" s="12"/>
      <c r="E556" s="12"/>
      <c r="F556" s="12"/>
      <c r="H556" s="12"/>
    </row>
    <row r="557" spans="1:8" x14ac:dyDescent="0.3">
      <c r="A557" s="12"/>
      <c r="B557" s="16"/>
      <c r="C557" s="12"/>
      <c r="D557" s="12"/>
      <c r="E557" s="12"/>
      <c r="F557" s="12"/>
      <c r="H557" s="12"/>
    </row>
    <row r="558" spans="1:8" x14ac:dyDescent="0.3">
      <c r="A558" s="12"/>
      <c r="B558" s="16"/>
      <c r="C558" s="12"/>
      <c r="D558" s="12"/>
      <c r="E558" s="12"/>
      <c r="F558" s="12"/>
      <c r="H558" s="12"/>
    </row>
    <row r="559" spans="1:8" x14ac:dyDescent="0.3">
      <c r="A559" s="12"/>
      <c r="B559" s="16"/>
      <c r="C559" s="12"/>
      <c r="D559" s="12"/>
      <c r="E559" s="12"/>
      <c r="F559" s="12"/>
      <c r="H559" s="12"/>
    </row>
    <row r="560" spans="1:8" x14ac:dyDescent="0.3">
      <c r="A560" s="12"/>
      <c r="B560" s="16"/>
      <c r="C560" s="12"/>
      <c r="D560" s="12"/>
      <c r="E560" s="12"/>
      <c r="F560" s="12"/>
      <c r="H560" s="12"/>
    </row>
    <row r="561" spans="1:8" x14ac:dyDescent="0.3">
      <c r="A561" s="12"/>
      <c r="B561" s="16"/>
      <c r="C561" s="12"/>
      <c r="D561" s="12"/>
      <c r="E561" s="12"/>
      <c r="F561" s="12"/>
      <c r="H561" s="12"/>
    </row>
    <row r="562" spans="1:8" x14ac:dyDescent="0.3">
      <c r="B562" s="12"/>
    </row>
    <row r="563" spans="1:8" ht="15.6" x14ac:dyDescent="0.3">
      <c r="A563" s="11"/>
      <c r="B563" s="9"/>
    </row>
    <row r="566" spans="1:8" x14ac:dyDescent="0.3">
      <c r="B566" s="12"/>
    </row>
    <row r="567" spans="1:8" x14ac:dyDescent="0.3">
      <c r="B567" s="12"/>
    </row>
    <row r="568" spans="1:8" x14ac:dyDescent="0.3">
      <c r="B568" s="12"/>
    </row>
    <row r="578" spans="1:8" x14ac:dyDescent="0.3">
      <c r="B578" s="2"/>
    </row>
    <row r="582" spans="1:8" x14ac:dyDescent="0.3">
      <c r="B582" s="2"/>
    </row>
    <row r="584" spans="1:8" x14ac:dyDescent="0.3">
      <c r="B584" s="2"/>
    </row>
    <row r="586" spans="1:8" x14ac:dyDescent="0.3">
      <c r="B586" s="6"/>
    </row>
    <row r="588" spans="1:8" ht="15.6" x14ac:dyDescent="0.3">
      <c r="A588" s="11"/>
    </row>
    <row r="590" spans="1:8" x14ac:dyDescent="0.3">
      <c r="A590" s="12"/>
      <c r="B590" s="12"/>
      <c r="C590" s="12"/>
      <c r="D590" s="12"/>
      <c r="E590" s="12"/>
      <c r="F590" s="12"/>
      <c r="G590" s="12"/>
      <c r="H590" s="12"/>
    </row>
    <row r="591" spans="1:8" x14ac:dyDescent="0.3">
      <c r="A591" s="12"/>
      <c r="B591" s="16"/>
      <c r="C591" s="12"/>
      <c r="D591" s="12"/>
      <c r="E591" s="12"/>
      <c r="F591" s="12"/>
      <c r="G591" s="12"/>
      <c r="H591" s="12"/>
    </row>
    <row r="592" spans="1:8" x14ac:dyDescent="0.3">
      <c r="A592" s="12"/>
      <c r="B592" s="16"/>
      <c r="C592" s="12"/>
      <c r="D592" s="12"/>
      <c r="E592" s="12"/>
      <c r="F592" s="12"/>
      <c r="H592" s="12"/>
    </row>
    <row r="593" spans="1:8" x14ac:dyDescent="0.3">
      <c r="A593" s="12"/>
      <c r="B593" s="16"/>
      <c r="C593" s="12"/>
      <c r="D593" s="12"/>
      <c r="E593" s="12"/>
      <c r="F593" s="12"/>
      <c r="H593" s="12"/>
    </row>
    <row r="594" spans="1:8" x14ac:dyDescent="0.3">
      <c r="A594" s="12"/>
      <c r="B594" s="16"/>
      <c r="C594" s="12"/>
      <c r="D594" s="12"/>
      <c r="E594" s="12"/>
      <c r="F594" s="12"/>
      <c r="H594" s="12"/>
    </row>
    <row r="595" spans="1:8" x14ac:dyDescent="0.3">
      <c r="A595" s="12"/>
      <c r="B595" s="16"/>
      <c r="C595" s="12"/>
      <c r="D595" s="12"/>
      <c r="E595" s="12"/>
      <c r="F595" s="12"/>
      <c r="H595" s="12"/>
    </row>
    <row r="596" spans="1:8" x14ac:dyDescent="0.3">
      <c r="A596" s="12"/>
      <c r="B596" s="16"/>
      <c r="C596" s="12"/>
      <c r="D596" s="12"/>
      <c r="E596" s="12"/>
      <c r="F596" s="12"/>
      <c r="H596" s="12"/>
    </row>
    <row r="597" spans="1:8" x14ac:dyDescent="0.3">
      <c r="A597" s="12"/>
      <c r="B597" s="16"/>
      <c r="C597" s="12"/>
      <c r="D597" s="12"/>
      <c r="E597" s="12"/>
      <c r="F597" s="12"/>
      <c r="H597" s="12"/>
    </row>
    <row r="598" spans="1:8" x14ac:dyDescent="0.3">
      <c r="A598" s="12"/>
      <c r="B598" s="16"/>
      <c r="C598" s="12"/>
      <c r="D598" s="12"/>
      <c r="E598" s="12"/>
      <c r="F598" s="12"/>
      <c r="H598" s="12"/>
    </row>
    <row r="599" spans="1:8" x14ac:dyDescent="0.3">
      <c r="A599" s="12"/>
      <c r="B599" s="16"/>
      <c r="C599" s="12"/>
      <c r="D599" s="12"/>
      <c r="E599" s="12"/>
      <c r="F599" s="12"/>
      <c r="H599" s="12"/>
    </row>
    <row r="600" spans="1:8" x14ac:dyDescent="0.3">
      <c r="A600" s="12"/>
      <c r="B600" s="16"/>
      <c r="C600" s="12"/>
      <c r="D600" s="12"/>
      <c r="E600" s="12"/>
      <c r="F600" s="12"/>
      <c r="H600" s="12"/>
    </row>
    <row r="602" spans="1:8" ht="15.6" x14ac:dyDescent="0.3">
      <c r="A602" s="11"/>
      <c r="B602" s="9"/>
    </row>
    <row r="605" spans="1:8" x14ac:dyDescent="0.3">
      <c r="B605" s="12"/>
    </row>
    <row r="606" spans="1:8" x14ac:dyDescent="0.3">
      <c r="B606" s="12"/>
    </row>
    <row r="607" spans="1:8" x14ac:dyDescent="0.3">
      <c r="B607" s="12"/>
    </row>
    <row r="617" spans="2:2" x14ac:dyDescent="0.3">
      <c r="B617" s="2"/>
    </row>
    <row r="621" spans="2:2" x14ac:dyDescent="0.3">
      <c r="B621" s="2"/>
    </row>
    <row r="623" spans="2:2" x14ac:dyDescent="0.3">
      <c r="B623" s="2"/>
    </row>
    <row r="625" spans="1:8" x14ac:dyDescent="0.3">
      <c r="B625" s="6"/>
    </row>
    <row r="627" spans="1:8" ht="15.6" x14ac:dyDescent="0.3">
      <c r="A627" s="11"/>
    </row>
    <row r="629" spans="1:8" x14ac:dyDescent="0.3">
      <c r="A629" s="12"/>
      <c r="B629" s="12"/>
      <c r="C629" s="12"/>
      <c r="D629" s="12"/>
      <c r="E629" s="12"/>
      <c r="F629" s="12"/>
      <c r="G629" s="12"/>
      <c r="H629" s="12"/>
    </row>
    <row r="630" spans="1:8" x14ac:dyDescent="0.3">
      <c r="A630" s="12"/>
      <c r="B630" s="16"/>
      <c r="C630" s="12"/>
      <c r="D630" s="12"/>
      <c r="E630" s="12"/>
      <c r="F630" s="12"/>
      <c r="G630" s="12"/>
      <c r="H630" s="12"/>
    </row>
    <row r="631" spans="1:8" x14ac:dyDescent="0.3">
      <c r="A631" s="12"/>
      <c r="B631" s="16"/>
      <c r="C631" s="12"/>
      <c r="D631" s="12"/>
      <c r="E631" s="12"/>
      <c r="F631" s="12"/>
      <c r="H631" s="12"/>
    </row>
    <row r="632" spans="1:8" x14ac:dyDescent="0.3">
      <c r="A632" s="12"/>
      <c r="B632" s="16"/>
      <c r="C632" s="12"/>
      <c r="D632" s="12"/>
      <c r="E632" s="12"/>
      <c r="F632" s="12"/>
      <c r="H632" s="12"/>
    </row>
    <row r="633" spans="1:8" x14ac:dyDescent="0.3">
      <c r="A633" s="12"/>
      <c r="B633" s="16"/>
      <c r="C633" s="12"/>
      <c r="D633" s="12"/>
      <c r="E633" s="12"/>
      <c r="F633" s="12"/>
      <c r="H633" s="12"/>
    </row>
    <row r="634" spans="1:8" x14ac:dyDescent="0.3">
      <c r="A634" s="12"/>
      <c r="B634" s="16"/>
      <c r="C634" s="12"/>
      <c r="D634" s="12"/>
      <c r="E634" s="12"/>
      <c r="F634" s="12"/>
      <c r="H634" s="12"/>
    </row>
    <row r="635" spans="1:8" x14ac:dyDescent="0.3">
      <c r="A635" s="12"/>
      <c r="B635" s="16"/>
      <c r="C635" s="12"/>
      <c r="D635" s="12"/>
      <c r="E635" s="12"/>
      <c r="F635" s="12"/>
      <c r="H635" s="12"/>
    </row>
    <row r="636" spans="1:8" x14ac:dyDescent="0.3">
      <c r="A636" s="12"/>
      <c r="B636" s="16"/>
      <c r="C636" s="12"/>
      <c r="D636" s="12"/>
      <c r="E636" s="12"/>
      <c r="F636" s="12"/>
      <c r="H636" s="12"/>
    </row>
    <row r="637" spans="1:8" x14ac:dyDescent="0.3">
      <c r="A637" s="12"/>
      <c r="B637" s="16"/>
      <c r="C637" s="12"/>
      <c r="D637" s="12"/>
      <c r="E637" s="12"/>
      <c r="F637" s="12"/>
      <c r="H637" s="12"/>
    </row>
    <row r="638" spans="1:8" x14ac:dyDescent="0.3">
      <c r="A638" s="12"/>
      <c r="B638" s="16"/>
      <c r="C638" s="12"/>
      <c r="D638" s="12"/>
      <c r="E638" s="12"/>
      <c r="F638" s="12"/>
      <c r="H638" s="12"/>
    </row>
    <row r="639" spans="1:8" x14ac:dyDescent="0.3">
      <c r="A639" s="12"/>
      <c r="B639" s="16"/>
      <c r="C639" s="12"/>
      <c r="D639" s="12"/>
      <c r="E639" s="12"/>
      <c r="F639" s="12"/>
      <c r="H639" s="12"/>
    </row>
    <row r="640" spans="1:8" x14ac:dyDescent="0.3">
      <c r="B640" s="2"/>
    </row>
    <row r="641" spans="1:2" ht="15.6" x14ac:dyDescent="0.3">
      <c r="A641" s="11"/>
      <c r="B641" s="9"/>
    </row>
    <row r="644" spans="1:2" x14ac:dyDescent="0.3">
      <c r="B644" s="12"/>
    </row>
    <row r="645" spans="1:2" x14ac:dyDescent="0.3">
      <c r="B645" s="12"/>
    </row>
    <row r="646" spans="1:2" x14ac:dyDescent="0.3">
      <c r="B646" s="12"/>
    </row>
    <row r="647" spans="1:2" x14ac:dyDescent="0.3">
      <c r="B647" s="12"/>
    </row>
    <row r="656" spans="1:2" x14ac:dyDescent="0.3">
      <c r="B656" s="2"/>
    </row>
    <row r="660" spans="1:8" x14ac:dyDescent="0.3">
      <c r="B660" s="2"/>
    </row>
    <row r="662" spans="1:8" x14ac:dyDescent="0.3">
      <c r="B662" s="2"/>
    </row>
    <row r="664" spans="1:8" x14ac:dyDescent="0.3">
      <c r="B664" s="6"/>
    </row>
    <row r="666" spans="1:8" ht="15.6" x14ac:dyDescent="0.3">
      <c r="A666" s="11"/>
    </row>
    <row r="668" spans="1:8" x14ac:dyDescent="0.3">
      <c r="A668" s="12"/>
      <c r="B668" s="12"/>
      <c r="C668" s="12"/>
      <c r="D668" s="12"/>
      <c r="E668" s="12"/>
      <c r="F668" s="12"/>
      <c r="G668" s="12"/>
      <c r="H668" s="12"/>
    </row>
    <row r="669" spans="1:8" x14ac:dyDescent="0.3">
      <c r="A669" s="12"/>
      <c r="B669" s="15"/>
      <c r="C669" s="12"/>
      <c r="D669" s="12"/>
      <c r="E669" s="12"/>
      <c r="F669" s="12"/>
      <c r="G669" s="12"/>
      <c r="H669" s="12"/>
    </row>
    <row r="670" spans="1:8" x14ac:dyDescent="0.3">
      <c r="A670" s="12"/>
      <c r="B670" s="16"/>
      <c r="C670" s="12"/>
      <c r="D670" s="12"/>
      <c r="E670" s="12"/>
      <c r="F670" s="12"/>
      <c r="H670" s="12"/>
    </row>
    <row r="671" spans="1:8" x14ac:dyDescent="0.3">
      <c r="A671" s="12"/>
      <c r="B671" s="14"/>
      <c r="C671" s="12"/>
      <c r="D671" s="12"/>
      <c r="E671" s="12"/>
      <c r="F671" s="12"/>
      <c r="H671" s="12"/>
    </row>
    <row r="672" spans="1:8" x14ac:dyDescent="0.3">
      <c r="A672" s="12"/>
      <c r="B672" s="16"/>
      <c r="C672" s="12"/>
      <c r="D672" s="12"/>
      <c r="F672" s="12"/>
      <c r="G672" s="12"/>
      <c r="H672" s="12"/>
    </row>
    <row r="673" spans="1:8" x14ac:dyDescent="0.3">
      <c r="A673" s="12"/>
      <c r="B673" s="16"/>
      <c r="C673" s="12"/>
      <c r="D673" s="12"/>
      <c r="E673" s="12"/>
      <c r="F673" s="12"/>
      <c r="H673" s="12"/>
    </row>
    <row r="674" spans="1:8" x14ac:dyDescent="0.3">
      <c r="A674" s="12"/>
      <c r="B674" s="16"/>
      <c r="C674" s="12"/>
      <c r="D674" s="12"/>
      <c r="E674" s="12"/>
      <c r="F674" s="12"/>
      <c r="H674" s="12"/>
    </row>
    <row r="675" spans="1:8" x14ac:dyDescent="0.3">
      <c r="A675" s="12"/>
      <c r="B675" s="16"/>
      <c r="C675" s="12"/>
      <c r="D675" s="12"/>
      <c r="E675" s="12"/>
      <c r="F675" s="12"/>
      <c r="H675" s="12"/>
    </row>
    <row r="676" spans="1:8" x14ac:dyDescent="0.3">
      <c r="B676" s="6"/>
    </row>
    <row r="677" spans="1:8" ht="15.6" x14ac:dyDescent="0.3">
      <c r="A677" s="11"/>
      <c r="B677" s="9"/>
    </row>
    <row r="680" spans="1:8" x14ac:dyDescent="0.3">
      <c r="B680" s="12"/>
    </row>
    <row r="681" spans="1:8" x14ac:dyDescent="0.3">
      <c r="B681" s="12"/>
    </row>
    <row r="682" spans="1:8" x14ac:dyDescent="0.3">
      <c r="B682" s="12"/>
    </row>
    <row r="683" spans="1:8" x14ac:dyDescent="0.3">
      <c r="B683" s="12"/>
    </row>
    <row r="692" spans="1:8" x14ac:dyDescent="0.3">
      <c r="B692" s="2"/>
    </row>
    <row r="696" spans="1:8" x14ac:dyDescent="0.3">
      <c r="B696" s="2"/>
    </row>
    <row r="698" spans="1:8" x14ac:dyDescent="0.3">
      <c r="B698" s="2"/>
    </row>
    <row r="700" spans="1:8" x14ac:dyDescent="0.3">
      <c r="B700" s="6"/>
    </row>
    <row r="702" spans="1:8" ht="15.6" x14ac:dyDescent="0.3">
      <c r="A702" s="11"/>
    </row>
    <row r="704" spans="1:8" x14ac:dyDescent="0.3">
      <c r="A704" s="12"/>
      <c r="B704" s="12"/>
      <c r="C704" s="12"/>
      <c r="D704" s="12"/>
      <c r="E704" s="12"/>
      <c r="F704" s="12"/>
      <c r="G704" s="12"/>
      <c r="H704" s="12"/>
    </row>
    <row r="705" spans="1:8" x14ac:dyDescent="0.3">
      <c r="A705" s="12"/>
      <c r="B705" s="12"/>
      <c r="C705" s="12"/>
      <c r="D705" s="12"/>
      <c r="E705" s="12"/>
      <c r="F705" s="12"/>
      <c r="G705" s="12"/>
      <c r="H705" s="12"/>
    </row>
    <row r="706" spans="1:8" x14ac:dyDescent="0.3">
      <c r="A706" s="12"/>
      <c r="B706" s="16"/>
      <c r="C706" s="12"/>
      <c r="D706" s="12"/>
      <c r="E706" s="12"/>
      <c r="F706" s="12"/>
      <c r="H706" s="12"/>
    </row>
    <row r="707" spans="1:8" x14ac:dyDescent="0.3">
      <c r="A707" s="12"/>
      <c r="B707" s="14"/>
      <c r="C707" s="12"/>
      <c r="D707" s="12"/>
      <c r="E707" s="12"/>
      <c r="F707" s="12"/>
      <c r="H707" s="12"/>
    </row>
    <row r="708" spans="1:8" x14ac:dyDescent="0.3">
      <c r="A708" s="12"/>
      <c r="B708" s="16"/>
      <c r="C708" s="12"/>
      <c r="D708" s="12"/>
      <c r="F708" s="12"/>
      <c r="G708" s="12"/>
      <c r="H708" s="12"/>
    </row>
    <row r="709" spans="1:8" x14ac:dyDescent="0.3">
      <c r="A709" s="12"/>
      <c r="B709" s="16"/>
      <c r="C709" s="12"/>
      <c r="D709" s="12"/>
      <c r="E709" s="12"/>
      <c r="F709" s="12"/>
      <c r="H709" s="12"/>
    </row>
    <row r="710" spans="1:8" x14ac:dyDescent="0.3">
      <c r="A710" s="12"/>
      <c r="B710" s="16"/>
      <c r="C710" s="12"/>
      <c r="D710" s="12"/>
      <c r="E710" s="12"/>
      <c r="F710" s="12"/>
      <c r="H710" s="12"/>
    </row>
    <row r="711" spans="1:8" x14ac:dyDescent="0.3">
      <c r="A711" s="12"/>
      <c r="B711" s="16"/>
      <c r="C711" s="12"/>
      <c r="D711" s="12"/>
      <c r="E711" s="12"/>
      <c r="F711" s="12"/>
      <c r="H711" s="12"/>
    </row>
    <row r="713" spans="1:8" ht="15.6" x14ac:dyDescent="0.3">
      <c r="A713" s="11"/>
      <c r="B713" s="9"/>
    </row>
    <row r="716" spans="1:8" x14ac:dyDescent="0.3">
      <c r="B716" s="12"/>
    </row>
    <row r="717" spans="1:8" x14ac:dyDescent="0.3">
      <c r="B717" s="12"/>
    </row>
    <row r="718" spans="1:8" x14ac:dyDescent="0.3">
      <c r="B718" s="12"/>
    </row>
    <row r="719" spans="1:8" x14ac:dyDescent="0.3">
      <c r="B719" s="12"/>
    </row>
    <row r="728" spans="2:2" x14ac:dyDescent="0.3">
      <c r="B728" s="2"/>
    </row>
    <row r="732" spans="2:2" x14ac:dyDescent="0.3">
      <c r="B732" s="2"/>
    </row>
    <row r="734" spans="2:2" x14ac:dyDescent="0.3">
      <c r="B734" s="2"/>
    </row>
    <row r="736" spans="2:2" x14ac:dyDescent="0.3">
      <c r="B736" s="6"/>
    </row>
    <row r="738" spans="1:8" ht="15.6" x14ac:dyDescent="0.3">
      <c r="A738" s="11"/>
    </row>
    <row r="740" spans="1:8" x14ac:dyDescent="0.3">
      <c r="A740" s="12"/>
      <c r="B740" s="12"/>
      <c r="C740" s="12"/>
      <c r="D740" s="12"/>
      <c r="E740" s="12"/>
      <c r="F740" s="12"/>
      <c r="G740" s="12"/>
      <c r="H740" s="12"/>
    </row>
    <row r="741" spans="1:8" x14ac:dyDescent="0.3">
      <c r="A741" s="12"/>
      <c r="B741" s="12"/>
      <c r="C741" s="12"/>
      <c r="D741" s="12"/>
      <c r="E741" s="12"/>
      <c r="F741" s="12"/>
      <c r="G741" s="12"/>
      <c r="H741" s="12"/>
    </row>
    <row r="742" spans="1:8" x14ac:dyDescent="0.3">
      <c r="A742" s="12"/>
      <c r="B742" s="16"/>
      <c r="C742" s="12"/>
      <c r="D742" s="12"/>
      <c r="E742" s="12"/>
      <c r="F742" s="12"/>
      <c r="H742" s="12"/>
    </row>
    <row r="743" spans="1:8" x14ac:dyDescent="0.3">
      <c r="A743" s="12"/>
      <c r="B743" s="14"/>
      <c r="C743" s="12"/>
      <c r="D743" s="12"/>
      <c r="E743" s="12"/>
      <c r="F743" s="12"/>
      <c r="H743" s="12"/>
    </row>
    <row r="744" spans="1:8" x14ac:dyDescent="0.3">
      <c r="A744" s="12"/>
      <c r="B744" s="16"/>
      <c r="C744" s="12"/>
      <c r="D744" s="12"/>
      <c r="F744" s="12"/>
      <c r="G744" s="12"/>
      <c r="H744" s="12"/>
    </row>
    <row r="745" spans="1:8" x14ac:dyDescent="0.3">
      <c r="A745" s="12"/>
      <c r="B745" s="16"/>
      <c r="C745" s="12"/>
      <c r="D745" s="12"/>
      <c r="E745" s="12"/>
      <c r="F745" s="12"/>
      <c r="H745" s="12"/>
    </row>
    <row r="746" spans="1:8" x14ac:dyDescent="0.3">
      <c r="A746" s="12"/>
      <c r="B746" s="16"/>
      <c r="C746" s="12"/>
      <c r="D746" s="12"/>
      <c r="E746" s="12"/>
      <c r="F746" s="12"/>
      <c r="H746" s="12"/>
    </row>
    <row r="747" spans="1:8" x14ac:dyDescent="0.3">
      <c r="A747" s="12"/>
      <c r="B747" s="16"/>
      <c r="C747" s="12"/>
      <c r="D747" s="12"/>
      <c r="E747" s="12"/>
      <c r="F747" s="12"/>
      <c r="H747" s="12"/>
    </row>
    <row r="749" spans="1:8" ht="15.6" x14ac:dyDescent="0.3">
      <c r="A749" s="11"/>
      <c r="B749" s="9"/>
    </row>
    <row r="752" spans="1:8" x14ac:dyDescent="0.3">
      <c r="B752" s="12"/>
    </row>
    <row r="753" spans="2:2" x14ac:dyDescent="0.3">
      <c r="B753" s="12"/>
    </row>
    <row r="754" spans="2:2" x14ac:dyDescent="0.3">
      <c r="B754" s="12"/>
    </row>
    <row r="755" spans="2:2" x14ac:dyDescent="0.3">
      <c r="B755" s="12"/>
    </row>
    <row r="764" spans="2:2" x14ac:dyDescent="0.3">
      <c r="B764" s="2"/>
    </row>
    <row r="768" spans="2:2" x14ac:dyDescent="0.3">
      <c r="B768" s="2"/>
    </row>
    <row r="770" spans="1:8" x14ac:dyDescent="0.3">
      <c r="B770" s="2"/>
    </row>
    <row r="772" spans="1:8" x14ac:dyDescent="0.3">
      <c r="B772" s="6"/>
    </row>
    <row r="774" spans="1:8" ht="15.6" x14ac:dyDescent="0.3">
      <c r="A774" s="11"/>
    </row>
    <row r="776" spans="1:8" x14ac:dyDescent="0.3">
      <c r="A776" s="12"/>
      <c r="B776" s="12"/>
      <c r="C776" s="12"/>
      <c r="D776" s="12"/>
      <c r="E776" s="12"/>
      <c r="F776" s="12"/>
      <c r="G776" s="12"/>
      <c r="H776" s="12"/>
    </row>
    <row r="777" spans="1:8" x14ac:dyDescent="0.3">
      <c r="A777" s="12"/>
      <c r="B777" s="12"/>
      <c r="C777" s="12"/>
      <c r="D777" s="12"/>
      <c r="E777" s="12"/>
      <c r="F777" s="12"/>
      <c r="G777" s="12"/>
      <c r="H777" s="12"/>
    </row>
    <row r="778" spans="1:8" x14ac:dyDescent="0.3">
      <c r="A778" s="12"/>
      <c r="B778" s="16"/>
      <c r="C778" s="12"/>
      <c r="D778" s="12"/>
      <c r="E778" s="12"/>
      <c r="F778" s="12"/>
      <c r="H778" s="12"/>
    </row>
    <row r="779" spans="1:8" x14ac:dyDescent="0.3">
      <c r="A779" s="12"/>
      <c r="B779" s="14"/>
      <c r="C779" s="12"/>
      <c r="D779" s="12"/>
      <c r="E779" s="12"/>
      <c r="F779" s="12"/>
      <c r="H779" s="12"/>
    </row>
    <row r="780" spans="1:8" x14ac:dyDescent="0.3">
      <c r="A780" s="12"/>
      <c r="B780" s="16"/>
      <c r="C780" s="12"/>
      <c r="D780" s="12"/>
      <c r="F780" s="12"/>
      <c r="G780" s="12"/>
      <c r="H780" s="12"/>
    </row>
    <row r="781" spans="1:8" x14ac:dyDescent="0.3">
      <c r="A781" s="12"/>
      <c r="B781" s="16"/>
      <c r="C781" s="12"/>
      <c r="D781" s="12"/>
      <c r="E781" s="12"/>
      <c r="F781" s="12"/>
      <c r="H781" s="12"/>
    </row>
    <row r="782" spans="1:8" x14ac:dyDescent="0.3">
      <c r="A782" s="12"/>
      <c r="B782" s="16"/>
      <c r="C782" s="12"/>
      <c r="D782" s="12"/>
      <c r="E782" s="12"/>
      <c r="F782" s="12"/>
      <c r="H782" s="12"/>
    </row>
    <row r="783" spans="1:8" x14ac:dyDescent="0.3">
      <c r="A783" s="12"/>
      <c r="B783" s="16"/>
      <c r="C783" s="12"/>
      <c r="D783" s="12"/>
      <c r="E783" s="12"/>
      <c r="F783" s="12"/>
      <c r="H783"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3"/>
  <sheetViews>
    <sheetView topLeftCell="A194" workbookViewId="0">
      <selection activeCell="F229" sqref="F229"/>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electric, 11-35kW, 2020</v>
      </c>
    </row>
    <row r="2" spans="1:2" x14ac:dyDescent="0.3">
      <c r="A2" t="s">
        <v>73</v>
      </c>
      <c r="B2" t="s">
        <v>37</v>
      </c>
    </row>
    <row r="3" spans="1:2" x14ac:dyDescent="0.3">
      <c r="A3" t="s">
        <v>87</v>
      </c>
      <c r="B3" t="s">
        <v>522</v>
      </c>
    </row>
    <row r="4" spans="1:2" x14ac:dyDescent="0.3">
      <c r="A4" t="s">
        <v>88</v>
      </c>
      <c r="B4" s="12"/>
    </row>
    <row r="5" spans="1:2" x14ac:dyDescent="0.3">
      <c r="A5" t="s">
        <v>89</v>
      </c>
      <c r="B5" s="12">
        <v>2020</v>
      </c>
    </row>
    <row r="6" spans="1:2" x14ac:dyDescent="0.3">
      <c r="A6" t="s">
        <v>131</v>
      </c>
      <c r="B6" s="12" t="str">
        <f>B3&amp;" - "&amp;B5&amp;" - "&amp;B2</f>
        <v>Motorbike, electric, 11-35kW - 2020 - CH</v>
      </c>
    </row>
    <row r="7" spans="1:2" x14ac:dyDescent="0.3">
      <c r="A7" t="s">
        <v>74</v>
      </c>
      <c r="B7" t="str">
        <f>B3</f>
        <v>Motorbike, electric, 11-35kW</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62100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1.242</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4690</v>
      </c>
    </row>
    <row r="16" spans="1:2" x14ac:dyDescent="0.3">
      <c r="A16" t="s">
        <v>137</v>
      </c>
      <c r="B16" s="2">
        <f>INDEX('vehicles specifications'!$B$3:$CK$86,MATCH(B6,'vehicles specifications'!$A$3:$A$86,0),MATCH("Curb mass [kg]",'vehicles specifications'!$B$2:$CK$2,0))</f>
        <v>161.6</v>
      </c>
    </row>
    <row r="17" spans="1:8" x14ac:dyDescent="0.3">
      <c r="A17" t="s">
        <v>138</v>
      </c>
      <c r="B17">
        <f>INDEX('vehicles specifications'!$B$3:$CK$86,MATCH(B6,'vehicles specifications'!$A$3:$A$86,0),MATCH("Power [kW]",'vehicles specifications'!$B$2:$CK$2,0))</f>
        <v>14</v>
      </c>
    </row>
    <row r="18" spans="1:8" x14ac:dyDescent="0.3">
      <c r="A18" t="s">
        <v>139</v>
      </c>
      <c r="B18">
        <f>INDEX('vehicles specifications'!$B$3:$CK$86,MATCH(B6,'vehicles specifications'!$A$3:$A$86,0),MATCH("Energy battery mass [kg]",'vehicles specifications'!$B$2:$CK$2,0))</f>
        <v>48.599999999999994</v>
      </c>
    </row>
    <row r="19" spans="1:8" x14ac:dyDescent="0.3">
      <c r="A19" t="s">
        <v>140</v>
      </c>
      <c r="B19">
        <f>INDEX('vehicles specifications'!$B$3:$CK$86,MATCH(B6,'vehicles specifications'!$A$3:$A$86,0),MATCH("Electric energy stored [kWh]",'vehicles specifications'!$B$2:$CK$2,0))</f>
        <v>8.1</v>
      </c>
    </row>
    <row r="20" spans="1:8" s="21" customFormat="1" x14ac:dyDescent="0.3">
      <c r="A20" s="21" t="s">
        <v>654</v>
      </c>
      <c r="B20" s="21">
        <f>INDEX('vehicles specifications'!$B$3:$CK$86,MATCH(B6,'vehicles specifications'!$A$3:$A$86,0),MATCH("Electric energy available [kWh]",'vehicles specifications'!$B$2:$CK$2,0))</f>
        <v>6.48</v>
      </c>
    </row>
    <row r="21" spans="1:8" x14ac:dyDescent="0.3">
      <c r="A21" t="s">
        <v>143</v>
      </c>
      <c r="B21" s="2">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94.692311208791224</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14 kW. Lifetime: 62100 km. Annual kilometers: 4690 km. Number of passengers: 1.1. Curb mass: 161.6 kg. Lightweighting of glider: 0%. Emission standard: None. Service visits throughout lifetime: 1.2. Range: 95 km. Battery capacity: 8.1 kWh. Available battery capacity: 6.48 kWh. Battery mass: 48.6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Motorbike, electric, 11-35kW, 2020</v>
      </c>
      <c r="B32" s="12">
        <v>1</v>
      </c>
      <c r="C32" s="12" t="str">
        <f>B2</f>
        <v>CH</v>
      </c>
      <c r="D32" s="12" t="str">
        <f>B9</f>
        <v>unit</v>
      </c>
      <c r="E32" s="12"/>
      <c r="F32" s="12" t="s">
        <v>85</v>
      </c>
      <c r="G32" s="12" t="s">
        <v>86</v>
      </c>
      <c r="H32" s="12" t="str">
        <f>B3</f>
        <v>Motorbike, electric, 11-35kW</v>
      </c>
    </row>
    <row r="33" spans="1:8" x14ac:dyDescent="0.3">
      <c r="A33" s="12" t="str">
        <f>INDEX('ei names mapping'!$B$4:$R$33,MATCH(B3,'ei names mapping'!$A$4:$A$33,0),MATCH(G33,'ei names mapping'!$B$3:$R$3,0))</f>
        <v>market for glider, for electric scooter</v>
      </c>
      <c r="B33" s="16">
        <f>INDEX('vehicles specifications'!$B$3:$CK$86,MATCH(B6,'vehicles specifications'!$A$3:$A$86,0),MATCH(G33,'vehicles specifications'!$B$2:$CK$2,0))*INDEX('ei names mapping'!$B$137:$BK$220,MATCH(B6,'ei names mapping'!$A$137:$A$220,0),MATCH(G33,'ei names mapping'!$B$136:$BK$136,0))</f>
        <v>81</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s="21" customFormat="1" x14ac:dyDescent="0.3">
      <c r="A34" s="12" t="str">
        <f>INDEX('ei names mapping'!$B$4:$R$33,MATCH(B3,'ei names mapping'!$A$4:$A$33,0),MATCH(G34,'ei names mapping'!$B$3:$R$3,0))</f>
        <v>glider lightweighting</v>
      </c>
      <c r="B34" s="16">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16">
        <f>INDEX('vehicles specifications'!$B$3:$CK$86,MATCH(B6,'vehicles specifications'!$A$3:$A$86,0),MATCH(G35,'vehicles specifications'!$B$2:$CK$2,0))*INDEX('ei names mapping'!$B$137:$BK$220,MATCH(B6,'ei names mapping'!$A$137:$A$220,0),MATCH(G35,'ei names mapping'!$B$136:$BK$136,0))</f>
        <v>13</v>
      </c>
      <c r="C35" s="12" t="str">
        <f>INDEX('ei names mapping'!$B$38:$R$67,MATCH(B3,'ei names mapping'!$A$4:$A$33,0),MATCH(G35,'ei names mapping'!$B$3:$R$3,0))</f>
        <v>GLO</v>
      </c>
      <c r="D35" s="12" t="str">
        <f>INDEX('ei names mapping'!$B$104:$R$133,MATCH(B3,'ei names mapping'!$A$104:$A$133,0),MATCH(G35,'ei names mapping'!$B$3:$R$3,0))</f>
        <v>kilogram</v>
      </c>
      <c r="E35" s="12"/>
      <c r="F35" s="12" t="s">
        <v>91</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16">
        <f>INDEX('vehicles specifications'!$B$3:$CK$86,MATCH(B6,'vehicles specifications'!$A$3:$A$86,0),MATCH(G36,'vehicles specifications'!$B$2:$CK$2,0))*INDEX('ei names mapping'!$B$137:$BK$220,MATCH(B6,'ei names mapping'!$A$137:$A$220,0),MATCH(G36,'ei names mapping'!$B$136:$BK$136,0))</f>
        <v>19</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16">
        <f>INDEX('vehicles specifications'!$B$3:$CK$86,MATCH(B6,'vehicles specifications'!$A$3:$A$86,0),MATCH(G37,'vehicles specifications'!$B$2:$CK$2,0))*INDEX('ei names mapping'!$B$137:$BK$220,MATCH(B6,'ei names mapping'!$A$137:$A$220,0),MATCH(G37,'ei names mapping'!$B$136:$BK$136,0))</f>
        <v>80.999999999999986</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6">
        <f>INDEX('vehicles specifications'!$B$3:$CK$86,MATCH(B6,'vehicles specifications'!$A$3:$A$86,0),MATCH(G38,'vehicles specifications'!$B$2:$CK$2,0))*INDEX('ei names mapping'!$B$137:$BK$220,MATCH(B6,'ei names mapping'!$A$137:$A$220,0),MATCH(G38,'ei names mapping'!$B$136:$BK$136,0))</f>
        <v>16.2</v>
      </c>
      <c r="C38" s="12" t="str">
        <f>INDEX('ei names mapping'!$B$38:$R$67,MATCH(B3,'ei names mapping'!$A$4:$A$33,0),MATCH(G38,'ei names mapping'!$B$3:$R$3,0))</f>
        <v>GLO</v>
      </c>
      <c r="D38" s="12" t="str">
        <f>INDEX('ei names mapping'!$B$104:$R$133,MATCH(B3,'ei names mapping'!$A$104:$A$133,0),MATCH(G38,'ei names mapping'!$B$3:$R$3,0))</f>
        <v>kilogram</v>
      </c>
      <c r="E38" s="12"/>
      <c r="F38" s="12" t="s">
        <v>91</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16">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16">
        <f>INDEX('vehicles specifications'!$B$3:$CK$86,MATCH(B6,'vehicles specifications'!$A$3:$A$86,0),MATCH(G40,'vehicles specifications'!$B$2:$CK$2,0))*INDEX('ei names mapping'!$B$137:$BK$220,MATCH(B6,'ei names mapping'!$A$137:$A$220,0),MATCH(G40,'ei names mapping'!$B$136:$BK$136,0))</f>
        <v>81</v>
      </c>
      <c r="C40" s="12" t="str">
        <f>INDEX('ei names mapping'!$B$38:$R$67,MATCH(B3,'ei names mapping'!$A$4:$A$33,0),MATCH(G40,'ei names mapping'!$B$3:$R$3,0))</f>
        <v>GLO</v>
      </c>
      <c r="D40" s="12" t="str">
        <f>INDEX('ei names mapping'!$B$104:$R$133,MATCH(B3,'ei names mapping'!$A$104:$A$133,0),MATCH(G40,'ei names mapping'!$B$3:$R$3,0))</f>
        <v>unit</v>
      </c>
      <c r="E40" s="12"/>
      <c r="F40" s="12" t="s">
        <v>91</v>
      </c>
      <c r="G40"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16">
        <f>INDEX('vehicles specifications'!$B$3:$CK$86,MATCH(B6,'vehicles specifications'!$A$3:$A$86,0),MATCH(G41,'vehicles specifications'!$B$2:$CK$2,0))*INDEX('ei names mapping'!$B$137:$BK$220,MATCH(B6,'ei names mapping'!$A$137:$A$220,0),MATCH(G41,'ei names mapping'!$B$136:$BK$136,0))</f>
        <v>32</v>
      </c>
      <c r="C41" s="12" t="str">
        <f>INDEX('ei names mapping'!$B$38:$R$67,MATCH(B3,'ei names mapping'!$A$4:$A$33,0),MATCH(G41,'ei names mapping'!$B$3:$R$3,0))</f>
        <v>GLO</v>
      </c>
      <c r="D41" s="12" t="str">
        <f>INDEX('ei names mapping'!$B$104:$R$133,MATCH(B3,'ei names mapping'!$A$104:$A$133,0),MATCH(G41,'ei names mapping'!$B$3:$R$3,0))</f>
        <v>unit</v>
      </c>
      <c r="E41" s="12"/>
      <c r="F41" s="12" t="s">
        <v>91</v>
      </c>
      <c r="G4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specifications'!$B$3:$CK$86,MATCH(B6,'vehicles specifications'!$A$3:$A$86,0),MATCH(G42,'vehicles specifications'!$B$2:$CK$2,0))*INDEX('ei names mapping'!$B$137:$BK$220,MATCH(B6,'ei names mapping'!$A$137:$A$220,0),MATCH(G42,'ei names mapping'!$B$136:$BK$136,0))</f>
        <v>-97.199999999999989</v>
      </c>
      <c r="C42" s="12" t="str">
        <f>INDEX('ei names mapping'!$B$38:$R$67,MATCH(B3,'ei names mapping'!$A$4:$A$33,0),MATCH(G42,'ei names mapping'!$B$3:$R$3,0))</f>
        <v>GLO</v>
      </c>
      <c r="D42" s="12" t="str">
        <f>INDEX('ei names mapping'!$B$104:$R$133,MATCH(B3,'ei names mapping'!$A$104:$A$133,0),MATCH(G42,'ei names mapping'!$B$3:$R$3,0))</f>
        <v>kilogram</v>
      </c>
      <c r="E42" s="12"/>
      <c r="F42" s="12" t="s">
        <v>91</v>
      </c>
      <c r="G42" t="s">
        <v>152</v>
      </c>
      <c r="H42" s="12" t="str">
        <f>INDEX('ei names mapping'!$B$71:$R$100,MATCH(B3,'ei names mapping'!$A$4:$A$33,0),MATCH(G42,'ei names mapping'!$B$3:$R$3,0))</f>
        <v>used Li-ion battery</v>
      </c>
    </row>
    <row r="43" spans="1:8" s="21" customFormat="1" x14ac:dyDescent="0.3">
      <c r="A43" s="22" t="s">
        <v>468</v>
      </c>
      <c r="B43" s="21">
        <f>(B16/1000)*B28</f>
        <v>161.6</v>
      </c>
      <c r="C43" s="21" t="s">
        <v>94</v>
      </c>
      <c r="D43" s="21" t="s">
        <v>243</v>
      </c>
      <c r="F43" s="21" t="s">
        <v>91</v>
      </c>
      <c r="H43" s="22" t="s">
        <v>469</v>
      </c>
    </row>
    <row r="44" spans="1:8" s="21" customFormat="1" x14ac:dyDescent="0.3">
      <c r="A44" s="22" t="s">
        <v>467</v>
      </c>
      <c r="B44" s="2">
        <f>(B16/1000)*B27</f>
        <v>2569.44</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Motorbike, electric, 11-35kW, 2030</v>
      </c>
    </row>
    <row r="47" spans="1:8" x14ac:dyDescent="0.3">
      <c r="A47" t="s">
        <v>73</v>
      </c>
      <c r="B47" t="s">
        <v>37</v>
      </c>
    </row>
    <row r="48" spans="1:8" x14ac:dyDescent="0.3">
      <c r="A48" t="s">
        <v>87</v>
      </c>
      <c r="B48" t="s">
        <v>522</v>
      </c>
    </row>
    <row r="49" spans="1:2" x14ac:dyDescent="0.3">
      <c r="A49" t="s">
        <v>88</v>
      </c>
      <c r="B49" s="12"/>
    </row>
    <row r="50" spans="1:2" x14ac:dyDescent="0.3">
      <c r="A50" t="s">
        <v>89</v>
      </c>
      <c r="B50" s="12">
        <v>2030</v>
      </c>
    </row>
    <row r="51" spans="1:2" x14ac:dyDescent="0.3">
      <c r="A51" t="s">
        <v>131</v>
      </c>
      <c r="B51" s="12" t="str">
        <f>B48&amp;" - "&amp;B50&amp;" - "&amp;B47</f>
        <v>Motorbike, electric, 11-35kW - 2030 - CH</v>
      </c>
    </row>
    <row r="52" spans="1:2" x14ac:dyDescent="0.3">
      <c r="A52" t="s">
        <v>74</v>
      </c>
      <c r="B52" t="str">
        <f>B48</f>
        <v>Motorbike, electric, 11-35kW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specifications'!$B$3:$CK$86,MATCH(B51,'vehicles specifications'!$A$3:$A$86,0),MATCH("Lifetime [km]",'vehicles specifications'!$B$2:$CK$2,0))</f>
        <v>62100</v>
      </c>
    </row>
    <row r="57" spans="1:2" x14ac:dyDescent="0.3">
      <c r="A57" t="s">
        <v>133</v>
      </c>
      <c r="B57">
        <f>INDEX('vehicles specifications'!$B$3:$CK$86,MATCH(B51,'vehicles specifications'!$A$3:$A$86,0),MATCH("Passengers [unit]",'vehicles specifications'!$B$2:$CK$2,0))</f>
        <v>1.1000000000000001</v>
      </c>
    </row>
    <row r="58" spans="1:2" x14ac:dyDescent="0.3">
      <c r="A58" t="s">
        <v>134</v>
      </c>
      <c r="B58">
        <f>INDEX('vehicles specifications'!$B$3:$CK$86,MATCH(B51,'vehicles specifications'!$A$3:$A$86,0),MATCH("Servicing [unit]",'vehicles specifications'!$B$2:$CK$2,0))</f>
        <v>1.242</v>
      </c>
    </row>
    <row r="59" spans="1:2" x14ac:dyDescent="0.3">
      <c r="A59" t="s">
        <v>135</v>
      </c>
      <c r="B59">
        <f>INDEX('vehicles specifications'!$B$3:$CK$86,MATCH(B51,'vehicles specifications'!$A$3:$A$86,0),MATCH("Energy battery replacement [unit]",'vehicles specifications'!$B$2:$CK$2,0))</f>
        <v>0.5</v>
      </c>
    </row>
    <row r="60" spans="1:2" x14ac:dyDescent="0.3">
      <c r="A60" t="s">
        <v>136</v>
      </c>
      <c r="B60">
        <f>INDEX('vehicles specifications'!$B$3:$CK$86,MATCH(B51,'vehicles specifications'!$A$3:$A$86,0),MATCH("Annual kilometers [km]",'vehicles specifications'!$B$2:$CK$2,0))</f>
        <v>4690</v>
      </c>
    </row>
    <row r="61" spans="1:2" x14ac:dyDescent="0.3">
      <c r="A61" t="s">
        <v>137</v>
      </c>
      <c r="B61" s="2">
        <f>INDEX('vehicles specifications'!$B$3:$CK$86,MATCH(B51,'vehicles specifications'!$A$3:$A$86,0),MATCH("Curb mass [kg]",'vehicles specifications'!$B$2:$CK$2,0))</f>
        <v>161.76999999999998</v>
      </c>
    </row>
    <row r="62" spans="1:2" x14ac:dyDescent="0.3">
      <c r="A62" t="s">
        <v>138</v>
      </c>
      <c r="B62">
        <f>INDEX('vehicles specifications'!$B$3:$CK$86,MATCH(B51,'vehicles specifications'!$A$3:$A$86,0),MATCH("Power [kW]",'vehicles specifications'!$B$2:$CK$2,0))</f>
        <v>14</v>
      </c>
    </row>
    <row r="63" spans="1:2" x14ac:dyDescent="0.3">
      <c r="A63" t="s">
        <v>139</v>
      </c>
      <c r="B63">
        <f>INDEX('vehicles specifications'!$B$3:$CK$86,MATCH(B51,'vehicles specifications'!$A$3:$A$86,0),MATCH("Energy battery mass [kg]",'vehicles specifications'!$B$2:$CK$2,0))</f>
        <v>51.2</v>
      </c>
    </row>
    <row r="64" spans="1:2" x14ac:dyDescent="0.3">
      <c r="A64" t="s">
        <v>140</v>
      </c>
      <c r="B64" s="21">
        <f>INDEX('vehicles specifications'!$B$3:$CK$86,MATCH(B51,'vehicles specifications'!$A$3:$A$86,0),MATCH("Electric energy stored [kWh]",'vehicles specifications'!$B$2:$CK$2,0))</f>
        <v>12.8</v>
      </c>
    </row>
    <row r="65" spans="1:8" s="21" customFormat="1" x14ac:dyDescent="0.3">
      <c r="A65" s="21" t="s">
        <v>654</v>
      </c>
      <c r="B65" s="21">
        <f>INDEX('vehicles specifications'!$B$3:$CK$86,MATCH(B51,'vehicles specifications'!$A$3:$A$86,0),MATCH("Electric energy available [kWh]",'vehicles specifications'!$B$2:$CK$2,0))</f>
        <v>10.240000000000002</v>
      </c>
    </row>
    <row r="66" spans="1:8" x14ac:dyDescent="0.3">
      <c r="A66" t="s">
        <v>143</v>
      </c>
      <c r="B66" s="2">
        <f>INDEX('vehicles specifications'!$B$3:$CK$86,MATCH(B51,'vehicles specifications'!$A$3:$A$86,0),MATCH("Oxydation energy stored [kWh]",'vehicles specifications'!$B$2:$CK$2,0))</f>
        <v>0</v>
      </c>
    </row>
    <row r="67" spans="1:8" x14ac:dyDescent="0.3">
      <c r="A67" t="s">
        <v>145</v>
      </c>
      <c r="B67">
        <f>INDEX('vehicles specifications'!$B$3:$CK$86,MATCH(B51,'vehicles specifications'!$A$3:$A$86,0),MATCH("Fuel mass [kg]",'vehicles specifications'!$B$2:$CK$2,0))</f>
        <v>0</v>
      </c>
    </row>
    <row r="68" spans="1:8" x14ac:dyDescent="0.3">
      <c r="A68" t="s">
        <v>141</v>
      </c>
      <c r="B68" s="2">
        <f>INDEX('vehicles specifications'!$B$3:$CK$86,MATCH(B51,'vehicles specifications'!$A$3:$A$86,0),MATCH("Range [km]",'vehicles specifications'!$B$2:$CK$2,0))</f>
        <v>149.63723252747255</v>
      </c>
    </row>
    <row r="69" spans="1:8" x14ac:dyDescent="0.3">
      <c r="A69" t="s">
        <v>142</v>
      </c>
      <c r="B69" t="str">
        <f>INDEX('vehicles specifications'!$B$3:$CK$86,MATCH(B51,'vehicles specifications'!$A$3:$A$86,0),MATCH("Emission standard",'vehicles specifications'!$B$2:$CK$2,0))</f>
        <v>None</v>
      </c>
    </row>
    <row r="70" spans="1:8" x14ac:dyDescent="0.3">
      <c r="A70" t="s">
        <v>144</v>
      </c>
      <c r="B70" s="6">
        <f>INDEX('vehicles specifications'!$B$3:$CK$86,MATCH(B51,'vehicles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14 kW. Lifetime: 62100 km. Annual kilometers: 4690 km. Number of passengers: 1.1. Curb mass: 161.8 kg. Lightweighting of glider: 3%. Emission standard: None. Service visits throughout lifetime: 1.2. Range: 150 km. Battery capacity: 12.8 kWh. Available battery capacity: 10.24 kWh. Battery mass: 51.2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Motorbike, electric, 11-35kW, 2030</v>
      </c>
      <c r="B77" s="12">
        <v>1</v>
      </c>
      <c r="C77" s="12" t="str">
        <f>B47</f>
        <v>CH</v>
      </c>
      <c r="D77" s="12" t="str">
        <f>B54</f>
        <v>unit</v>
      </c>
      <c r="E77" s="12"/>
      <c r="F77" s="12" t="s">
        <v>85</v>
      </c>
      <c r="G77" s="12" t="s">
        <v>86</v>
      </c>
      <c r="H77" s="12" t="str">
        <f>B48</f>
        <v>Motorbike, electric, 11-35kW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81</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s="21" customFormat="1"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2.4299999999999997</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13</v>
      </c>
      <c r="C80" s="12" t="str">
        <f>INDEX('ei names mapping'!$B$38:$R$67,MATCH(B48,'ei names mapping'!$A$4:$A$33,0),MATCH(G80,'ei names mapping'!$B$3:$R$3,0))</f>
        <v>GLO</v>
      </c>
      <c r="D80" s="12" t="str">
        <f>INDEX('ei names mapping'!$B$104:$R$133,MATCH(B48,'ei names mapping'!$A$104:$A$133,0),MATCH(G80,'ei names mapping'!$B$3:$R$3,0))</f>
        <v>kilogram</v>
      </c>
      <c r="E80" s="12"/>
      <c r="F80" s="12" t="s">
        <v>91</v>
      </c>
      <c r="G80"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19</v>
      </c>
      <c r="C81" s="12" t="str">
        <f>INDEX('ei names mapping'!$B$38:$R$67,MATCH(B48,'ei names mapping'!$A$4:$A$33,0),MATCH(G81,'ei names mapping'!$B$3:$R$3,0))</f>
        <v>GLO</v>
      </c>
      <c r="D81" s="12" t="str">
        <f>INDEX('ei names mapping'!$B$104:$R$133,MATCH(B48,'ei names mapping'!$A$104:$A$133,0),MATCH(G81,'ei names mapping'!$B$3:$R$3,0))</f>
        <v>kilogram</v>
      </c>
      <c r="E81" s="12"/>
      <c r="F81" s="12" t="s">
        <v>91</v>
      </c>
      <c r="G8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64</v>
      </c>
      <c r="C82" s="12" t="str">
        <f>INDEX('ei names mapping'!$B$38:$R$67,MATCH(B48,'ei names mapping'!$A$4:$A$33,0),MATCH(G82,'ei names mapping'!$B$3:$R$3,0))</f>
        <v>GLO</v>
      </c>
      <c r="D82" s="12" t="str">
        <f>INDEX('ei names mapping'!$B$104:$R$133,MATCH(B48,'ei names mapping'!$A$104:$A$133,0),MATCH(G82,'ei names mapping'!$B$3:$R$3,0))</f>
        <v>kilogram</v>
      </c>
      <c r="E82" s="12"/>
      <c r="F82" s="12" t="s">
        <v>91</v>
      </c>
      <c r="G82"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12.800000000000002</v>
      </c>
      <c r="C83" s="12" t="str">
        <f>INDEX('ei names mapping'!$B$38:$R$67,MATCH(B48,'ei names mapping'!$A$4:$A$33,0),MATCH(G83,'ei names mapping'!$B$3:$R$3,0))</f>
        <v>GLO</v>
      </c>
      <c r="D83" s="12" t="str">
        <f>INDEX('ei names mapping'!$B$104:$R$133,MATCH(B48,'ei names mapping'!$A$104:$A$133,0),MATCH(G83,'ei names mapping'!$B$3:$R$3,0))</f>
        <v>kilogram</v>
      </c>
      <c r="E83" s="12"/>
      <c r="F83" s="12" t="s">
        <v>91</v>
      </c>
      <c r="G83"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manual dismantling of used electric scooter</v>
      </c>
      <c r="B85" s="16">
        <f>INDEX('vehicles specifications'!$B$3:$CK$86,MATCH(B51,'vehicles specifications'!$A$3:$A$86,0),MATCH(G85,'vehicles specifications'!$B$2:$CK$2,0))*INDEX('ei names mapping'!$B$137:$BK$220,MATCH(B51,'ei names mapping'!$A$137:$A$220,0),MATCH(G85,'ei names mapping'!$B$136:$BK$136,0))</f>
        <v>78.569999999999993</v>
      </c>
      <c r="C85" s="12" t="str">
        <f>INDEX('ei names mapping'!$B$38:$R$67,MATCH(B48,'ei names mapping'!$A$4:$A$33,0),MATCH(G85,'ei names mapping'!$B$3:$R$3,0))</f>
        <v>GLO</v>
      </c>
      <c r="D85" s="12" t="str">
        <f>INDEX('ei names mapping'!$B$104:$R$133,MATCH(B48,'ei names mapping'!$A$104:$A$133,0),MATCH(G85,'ei names mapping'!$B$3:$R$3,0))</f>
        <v>unit</v>
      </c>
      <c r="E85" s="12"/>
      <c r="F85" s="12" t="s">
        <v>91</v>
      </c>
      <c r="G85"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manual dismantling of used electric scooter</v>
      </c>
      <c r="B86" s="16">
        <f>INDEX('vehicles specifications'!$B$3:$CK$86,MATCH(B51,'vehicles specifications'!$A$3:$A$86,0),MATCH(G86,'vehicles specifications'!$B$2:$CK$2,0))*INDEX('ei names mapping'!$B$137:$BK$220,MATCH(B51,'ei names mapping'!$A$137:$A$220,0),MATCH(G86,'ei names mapping'!$B$136:$BK$136,0))</f>
        <v>32</v>
      </c>
      <c r="C86" s="12" t="str">
        <f>INDEX('ei names mapping'!$B$38:$R$67,MATCH(B48,'ei names mapping'!$A$4:$A$33,0),MATCH(G86,'ei names mapping'!$B$3:$R$3,0))</f>
        <v>GLO</v>
      </c>
      <c r="D86" s="12" t="str">
        <f>INDEX('ei names mapping'!$B$104:$R$133,MATCH(B48,'ei names mapping'!$A$104:$A$133,0),MATCH(G86,'ei names mapping'!$B$3:$R$3,0))</f>
        <v>unit</v>
      </c>
      <c r="E86" s="12"/>
      <c r="F86" s="12" t="s">
        <v>91</v>
      </c>
      <c r="G86"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-76.800000000000011</v>
      </c>
      <c r="C87" s="12" t="str">
        <f>INDEX('ei names mapping'!$B$38:$R$67,MATCH(B48,'ei names mapping'!$A$4:$A$33,0),MATCH(G87,'ei names mapping'!$B$3:$R$3,0))</f>
        <v>GLO</v>
      </c>
      <c r="D87" s="12" t="str">
        <f>INDEX('ei names mapping'!$B$104:$R$133,MATCH(B48,'ei names mapping'!$A$104:$A$133,0),MATCH(G87,'ei names mapping'!$B$3:$R$3,0))</f>
        <v>kilogram</v>
      </c>
      <c r="E87" s="12"/>
      <c r="F87" s="12" t="s">
        <v>91</v>
      </c>
      <c r="G87" t="s">
        <v>152</v>
      </c>
      <c r="H87" s="12" t="str">
        <f>INDEX('ei names mapping'!$B$71:$R$100,MATCH(B48,'ei names mapping'!$A$4:$A$33,0),MATCH(G87,'ei names mapping'!$B$3:$R$3,0))</f>
        <v>used Li-ion battery</v>
      </c>
    </row>
    <row r="88" spans="1:8" s="21" customFormat="1" x14ac:dyDescent="0.3">
      <c r="A88" s="22" t="s">
        <v>468</v>
      </c>
      <c r="B88" s="21">
        <f>(B61/1000)*B73</f>
        <v>161.76999999999998</v>
      </c>
      <c r="C88" s="21" t="s">
        <v>94</v>
      </c>
      <c r="D88" s="21" t="s">
        <v>243</v>
      </c>
      <c r="F88" s="21" t="s">
        <v>91</v>
      </c>
      <c r="H88" s="22" t="s">
        <v>469</v>
      </c>
    </row>
    <row r="89" spans="1:8" s="21" customFormat="1" x14ac:dyDescent="0.3">
      <c r="A89" s="22" t="s">
        <v>467</v>
      </c>
      <c r="B89" s="2">
        <f>(B61/1000)*B72</f>
        <v>2572.1429999999996</v>
      </c>
      <c r="C89" s="21" t="s">
        <v>98</v>
      </c>
      <c r="D89" s="21" t="s">
        <v>243</v>
      </c>
      <c r="F89" s="21" t="s">
        <v>91</v>
      </c>
      <c r="H89" s="22" t="s">
        <v>467</v>
      </c>
    </row>
    <row r="90" spans="1:8" x14ac:dyDescent="0.3">
      <c r="B90" s="12"/>
    </row>
    <row r="91" spans="1:8" ht="15.6" x14ac:dyDescent="0.3">
      <c r="A91" s="11" t="s">
        <v>72</v>
      </c>
      <c r="B91" s="9" t="str">
        <f>B93&amp;", "&amp;B95</f>
        <v>Motorbike, electric, 11-35kW, 2040</v>
      </c>
    </row>
    <row r="92" spans="1:8" x14ac:dyDescent="0.3">
      <c r="A92" t="s">
        <v>73</v>
      </c>
      <c r="B92" t="s">
        <v>37</v>
      </c>
    </row>
    <row r="93" spans="1:8" x14ac:dyDescent="0.3">
      <c r="A93" t="s">
        <v>87</v>
      </c>
      <c r="B93" t="s">
        <v>522</v>
      </c>
    </row>
    <row r="94" spans="1:8" x14ac:dyDescent="0.3">
      <c r="A94" t="s">
        <v>88</v>
      </c>
      <c r="B94" s="12"/>
    </row>
    <row r="95" spans="1:8" x14ac:dyDescent="0.3">
      <c r="A95" t="s">
        <v>89</v>
      </c>
      <c r="B95" s="12">
        <v>2040</v>
      </c>
    </row>
    <row r="96" spans="1:8" x14ac:dyDescent="0.3">
      <c r="A96" t="s">
        <v>131</v>
      </c>
      <c r="B96" s="12" t="str">
        <f>B93&amp;" - "&amp;B95&amp;" - "&amp;B92</f>
        <v>Motorbike, electric, 11-35kW - 2040 - CH</v>
      </c>
    </row>
    <row r="97" spans="1:2" x14ac:dyDescent="0.3">
      <c r="A97" t="s">
        <v>74</v>
      </c>
      <c r="B97" t="str">
        <f>B93</f>
        <v>Motorbike, electric, 11-35kW</v>
      </c>
    </row>
    <row r="98" spans="1:2" x14ac:dyDescent="0.3">
      <c r="A98" t="s">
        <v>75</v>
      </c>
      <c r="B98" t="s">
        <v>76</v>
      </c>
    </row>
    <row r="99" spans="1:2" x14ac:dyDescent="0.3">
      <c r="A99" t="s">
        <v>77</v>
      </c>
      <c r="B99" t="s">
        <v>77</v>
      </c>
    </row>
    <row r="100" spans="1:2" x14ac:dyDescent="0.3">
      <c r="A100" t="s">
        <v>79</v>
      </c>
      <c r="B100" t="s">
        <v>90</v>
      </c>
    </row>
    <row r="101" spans="1:2" x14ac:dyDescent="0.3">
      <c r="A101" t="s">
        <v>132</v>
      </c>
      <c r="B101">
        <f>INDEX('vehicles specifications'!$B$3:$CK$86,MATCH(B96,'vehicles specifications'!$A$3:$A$86,0),MATCH("Lifetime [km]",'vehicles specifications'!$B$2:$CK$2,0))</f>
        <v>62100</v>
      </c>
    </row>
    <row r="102" spans="1:2" x14ac:dyDescent="0.3">
      <c r="A102" t="s">
        <v>133</v>
      </c>
      <c r="B102">
        <f>INDEX('vehicles specifications'!$B$3:$CK$86,MATCH(B96,'vehicles specifications'!$A$3:$A$86,0),MATCH("Passengers [unit]",'vehicles specifications'!$B$2:$CK$2,0))</f>
        <v>1.1000000000000001</v>
      </c>
    </row>
    <row r="103" spans="1:2" x14ac:dyDescent="0.3">
      <c r="A103" t="s">
        <v>134</v>
      </c>
      <c r="B103">
        <f>INDEX('vehicles specifications'!$B$3:$CK$86,MATCH(B96,'vehicles specifications'!$A$3:$A$86,0),MATCH("Servicing [unit]",'vehicles specifications'!$B$2:$CK$2,0))</f>
        <v>1.242</v>
      </c>
    </row>
    <row r="104" spans="1:2" x14ac:dyDescent="0.3">
      <c r="A104" t="s">
        <v>135</v>
      </c>
      <c r="B104">
        <f>INDEX('vehicles specifications'!$B$3:$CK$86,MATCH(B96,'vehicles specifications'!$A$3:$A$86,0),MATCH("Energy battery replacement [unit]",'vehicles specifications'!$B$2:$CK$2,0))</f>
        <v>0.25</v>
      </c>
    </row>
    <row r="105" spans="1:2" x14ac:dyDescent="0.3">
      <c r="A105" t="s">
        <v>136</v>
      </c>
      <c r="B105">
        <f>INDEX('vehicles specifications'!$B$3:$CK$86,MATCH(B96,'vehicles specifications'!$A$3:$A$86,0),MATCH("Annual kilometers [km]",'vehicles specifications'!$B$2:$CK$2,0))</f>
        <v>4690</v>
      </c>
    </row>
    <row r="106" spans="1:2" x14ac:dyDescent="0.3">
      <c r="A106" t="s">
        <v>137</v>
      </c>
      <c r="B106" s="2">
        <f>INDEX('vehicles specifications'!$B$3:$CK$86,MATCH(B96,'vehicles specifications'!$A$3:$A$86,0),MATCH("Curb mass [kg]",'vehicles specifications'!$B$2:$CK$2,0))</f>
        <v>162.35</v>
      </c>
    </row>
    <row r="107" spans="1:2" x14ac:dyDescent="0.3">
      <c r="A107" t="s">
        <v>138</v>
      </c>
      <c r="B107">
        <f>INDEX('vehicles specifications'!$B$3:$CK$86,MATCH(B96,'vehicles specifications'!$A$3:$A$86,0),MATCH("Power [kW]",'vehicles specifications'!$B$2:$CK$2,0))</f>
        <v>14</v>
      </c>
    </row>
    <row r="108" spans="1:2" x14ac:dyDescent="0.3">
      <c r="A108" t="s">
        <v>139</v>
      </c>
      <c r="B108">
        <f>INDEX('vehicles specifications'!$B$3:$CK$86,MATCH(B96,'vehicles specifications'!$A$3:$A$86,0),MATCH("Energy battery mass [kg]",'vehicles specifications'!$B$2:$CK$2,0))</f>
        <v>53.4</v>
      </c>
    </row>
    <row r="109" spans="1:2" x14ac:dyDescent="0.3">
      <c r="A109" t="s">
        <v>140</v>
      </c>
      <c r="B109" s="21">
        <f>INDEX('vehicles specifications'!$B$3:$CK$86,MATCH(B96,'vehicles specifications'!$A$3:$A$86,0),MATCH("Electric energy stored [kWh]",'vehicles specifications'!$B$2:$CK$2,0))</f>
        <v>17.8</v>
      </c>
    </row>
    <row r="110" spans="1:2" s="21" customFormat="1" x14ac:dyDescent="0.3">
      <c r="A110" s="21" t="s">
        <v>654</v>
      </c>
      <c r="B110" s="21">
        <f>INDEX('vehicles specifications'!$B$3:$CK$86,MATCH(B96,'vehicles specifications'!$A$3:$A$86,0),MATCH("Electric energy available [kWh]",'vehicles specifications'!$B$2:$CK$2,0))</f>
        <v>14.240000000000002</v>
      </c>
    </row>
    <row r="111" spans="1:2" x14ac:dyDescent="0.3">
      <c r="A111" t="s">
        <v>143</v>
      </c>
      <c r="B111" s="2">
        <f>INDEX('vehicles specifications'!$B$3:$CK$86,MATCH(B96,'vehicles specifications'!$A$3:$A$86,0),MATCH("Oxydation energy stored [kWh]",'vehicles specifications'!$B$2:$CK$2,0))</f>
        <v>0</v>
      </c>
    </row>
    <row r="112" spans="1:2" x14ac:dyDescent="0.3">
      <c r="A112" t="s">
        <v>145</v>
      </c>
      <c r="B112">
        <f>INDEX('vehicles specifications'!$B$3:$CK$86,MATCH(B96,'vehicles specifications'!$A$3:$A$86,0),MATCH("Fuel mass [kg]",'vehicles specifications'!$B$2:$CK$2,0))</f>
        <v>0</v>
      </c>
    </row>
    <row r="113" spans="1:8" x14ac:dyDescent="0.3">
      <c r="A113" t="s">
        <v>141</v>
      </c>
      <c r="B113" s="2">
        <f>INDEX('vehicles specifications'!$B$3:$CK$86,MATCH(B96,'vehicles specifications'!$A$3:$A$86,0),MATCH("Range [km]",'vehicles specifications'!$B$2:$CK$2,0))</f>
        <v>208.08927648351653</v>
      </c>
    </row>
    <row r="114" spans="1:8" x14ac:dyDescent="0.3">
      <c r="A114" t="s">
        <v>142</v>
      </c>
      <c r="B114" t="str">
        <f>INDEX('vehicles specifications'!$B$3:$CK$86,MATCH(B96,'vehicles specifications'!$A$3:$A$86,0),MATCH("Emission standard",'vehicles specifications'!$B$2:$CK$2,0))</f>
        <v>None</v>
      </c>
    </row>
    <row r="115" spans="1:8" x14ac:dyDescent="0.3">
      <c r="A115" t="s">
        <v>144</v>
      </c>
      <c r="B115" s="6">
        <f>INDEX('vehicles specifications'!$B$3:$CK$86,MATCH(B96,'vehicles specifications'!$A$3:$A$86,0),MATCH("Lightweighting rate [%]",'vehicles specifications'!$B$2:$CK$2,0))</f>
        <v>0.05</v>
      </c>
    </row>
    <row r="116" spans="1:8" s="21" customFormat="1" x14ac:dyDescent="0.3">
      <c r="A116" s="21" t="s">
        <v>513</v>
      </c>
      <c r="B116" s="6" t="s">
        <v>514</v>
      </c>
    </row>
    <row r="117" spans="1:8" s="21" customFormat="1" x14ac:dyDescent="0.3">
      <c r="A117" s="21" t="s">
        <v>515</v>
      </c>
      <c r="B117" s="2">
        <v>15900</v>
      </c>
    </row>
    <row r="118" spans="1:8" s="21" customFormat="1" x14ac:dyDescent="0.3">
      <c r="A118" s="21" t="s">
        <v>516</v>
      </c>
      <c r="B118" s="2">
        <v>1000</v>
      </c>
    </row>
    <row r="119" spans="1:8" s="21" customFormat="1" x14ac:dyDescent="0.3">
      <c r="A119" s="21"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scooter'!B100</f>
        <v>Power: 14 kW. Lifetime: 62100 km. Annual kilometers: 4690 km. Number of passengers: 1.1. Curb mass: 162.4 kg. Lightweighting of glider: 5%. Emission standard: None. Service visits throughout lifetime: 1.2. Range: 208 km. Battery capacity: 17.8 kWh. Available battery capacity: 14.24 kWh. Battery mass: 53.4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1</v>
      </c>
    </row>
    <row r="120" spans="1:8" ht="15.6" x14ac:dyDescent="0.3">
      <c r="A120" s="11" t="s">
        <v>80</v>
      </c>
    </row>
    <row r="121" spans="1:8" x14ac:dyDescent="0.3">
      <c r="A121" t="s">
        <v>81</v>
      </c>
      <c r="B121" t="s">
        <v>82</v>
      </c>
      <c r="C121" t="s">
        <v>73</v>
      </c>
      <c r="D121" t="s">
        <v>77</v>
      </c>
      <c r="E121" t="s">
        <v>83</v>
      </c>
      <c r="F121" t="s">
        <v>75</v>
      </c>
      <c r="G121" t="s">
        <v>84</v>
      </c>
      <c r="H121" t="s">
        <v>74</v>
      </c>
    </row>
    <row r="122" spans="1:8" x14ac:dyDescent="0.3">
      <c r="A122" s="12" t="str">
        <f>B91</f>
        <v>Motorbike, electric, 11-35kW, 2040</v>
      </c>
      <c r="B122" s="12">
        <v>1</v>
      </c>
      <c r="C122" s="12" t="str">
        <f>B92</f>
        <v>CH</v>
      </c>
      <c r="D122" s="12" t="str">
        <f>B99</f>
        <v>unit</v>
      </c>
      <c r="E122" s="12"/>
      <c r="F122" s="12" t="s">
        <v>85</v>
      </c>
      <c r="G122" s="12" t="s">
        <v>86</v>
      </c>
      <c r="H122" s="12" t="str">
        <f>B93</f>
        <v>Motorbike, electric, 11-35kW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81</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s="21" customFormat="1"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4.05</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13</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19</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55.625</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11.125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manual dismantling of used electric scooter</v>
      </c>
      <c r="B130" s="16">
        <f>INDEX('vehicles specifications'!$B$3:$CK$86,MATCH(B96,'vehicles specifications'!$A$3:$A$86,0),MATCH(G130,'vehicles specifications'!$B$2:$CK$2,0))*INDEX('ei names mapping'!$B$137:$BK$220,MATCH(B96,'ei names mapping'!$A$137:$A$220,0),MATCH(G130,'ei names mapping'!$B$136:$BK$136,0))</f>
        <v>76.95</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manual dismantling of used electric scooter</v>
      </c>
      <c r="B131" s="16">
        <f>INDEX('vehicles specifications'!$B$3:$CK$86,MATCH(B96,'vehicles specifications'!$A$3:$A$86,0),MATCH(G131,'vehicles specifications'!$B$2:$CK$2,0))*INDEX('ei names mapping'!$B$137:$BK$220,MATCH(B96,'ei names mapping'!$A$137:$A$220,0),MATCH(G131,'ei names mapping'!$B$136:$BK$136,0))</f>
        <v>32</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-66.75</v>
      </c>
      <c r="C132" s="12" t="str">
        <f>INDEX('ei names mapping'!$B$38:$R$67,MATCH(B93,'ei names mapping'!$A$4:$A$33,0),MATCH(G132,'ei names mapping'!$B$3:$R$3,0))</f>
        <v>GLO</v>
      </c>
      <c r="D132" s="12" t="str">
        <f>INDEX('ei names mapping'!$B$104:$R$133,MATCH(B93,'ei names mapping'!$A$104:$A$133,0),MATCH(G132,'ei names mapping'!$B$3:$R$3,0))</f>
        <v>kilogram</v>
      </c>
      <c r="E132" s="12"/>
      <c r="F132" s="12" t="s">
        <v>91</v>
      </c>
      <c r="G132" t="s">
        <v>152</v>
      </c>
      <c r="H132" s="12" t="str">
        <f>INDEX('ei names mapping'!$B$71:$R$100,MATCH(B93,'ei names mapping'!$A$4:$A$33,0),MATCH(G132,'ei names mapping'!$B$3:$R$3,0))</f>
        <v>used Li-ion battery</v>
      </c>
    </row>
    <row r="133" spans="1:8" s="21" customFormat="1" x14ac:dyDescent="0.3">
      <c r="A133" s="22" t="s">
        <v>468</v>
      </c>
      <c r="B133" s="21">
        <f>(B106/1000)*B118</f>
        <v>162.35</v>
      </c>
      <c r="C133" s="21" t="s">
        <v>94</v>
      </c>
      <c r="D133" s="21" t="s">
        <v>243</v>
      </c>
      <c r="F133" s="21" t="s">
        <v>91</v>
      </c>
      <c r="H133" s="22" t="s">
        <v>469</v>
      </c>
    </row>
    <row r="134" spans="1:8" s="21" customFormat="1" x14ac:dyDescent="0.3">
      <c r="A134" s="22" t="s">
        <v>467</v>
      </c>
      <c r="B134" s="2">
        <f>(B106/1000)*B117</f>
        <v>2581.3649999999998</v>
      </c>
      <c r="C134" s="21" t="s">
        <v>98</v>
      </c>
      <c r="D134" s="21" t="s">
        <v>243</v>
      </c>
      <c r="F134" s="21" t="s">
        <v>91</v>
      </c>
      <c r="H134" s="22" t="s">
        <v>467</v>
      </c>
    </row>
    <row r="136" spans="1:8" ht="15.6" x14ac:dyDescent="0.3">
      <c r="A136" s="11" t="s">
        <v>72</v>
      </c>
      <c r="B136" s="9" t="str">
        <f>B138&amp;", "&amp;B140</f>
        <v>Motorbike, electric, 11-35kW, 2050</v>
      </c>
    </row>
    <row r="137" spans="1:8" x14ac:dyDescent="0.3">
      <c r="A137" t="s">
        <v>73</v>
      </c>
      <c r="B137" t="s">
        <v>37</v>
      </c>
    </row>
    <row r="138" spans="1:8" x14ac:dyDescent="0.3">
      <c r="A138" t="s">
        <v>87</v>
      </c>
      <c r="B138" t="s">
        <v>522</v>
      </c>
    </row>
    <row r="139" spans="1:8" x14ac:dyDescent="0.3">
      <c r="A139" t="s">
        <v>88</v>
      </c>
      <c r="B139" s="12"/>
    </row>
    <row r="140" spans="1:8" x14ac:dyDescent="0.3">
      <c r="A140" t="s">
        <v>89</v>
      </c>
      <c r="B140" s="12">
        <v>2050</v>
      </c>
    </row>
    <row r="141" spans="1:8" x14ac:dyDescent="0.3">
      <c r="A141" t="s">
        <v>131</v>
      </c>
      <c r="B141" s="12" t="str">
        <f>B138&amp;" - "&amp;B140&amp;" - "&amp;B137</f>
        <v>Motorbike, electric, 11-35kW - 2050 - CH</v>
      </c>
    </row>
    <row r="142" spans="1:8" x14ac:dyDescent="0.3">
      <c r="A142" t="s">
        <v>74</v>
      </c>
      <c r="B142" t="str">
        <f>B138</f>
        <v>Motorbike, electric, 11-35kW</v>
      </c>
    </row>
    <row r="143" spans="1:8" x14ac:dyDescent="0.3">
      <c r="A143" t="s">
        <v>75</v>
      </c>
      <c r="B143" t="s">
        <v>76</v>
      </c>
    </row>
    <row r="144" spans="1:8" x14ac:dyDescent="0.3">
      <c r="A144" t="s">
        <v>77</v>
      </c>
      <c r="B144" t="s">
        <v>77</v>
      </c>
    </row>
    <row r="145" spans="1:2" x14ac:dyDescent="0.3">
      <c r="A145" t="s">
        <v>79</v>
      </c>
      <c r="B145" t="s">
        <v>90</v>
      </c>
    </row>
    <row r="146" spans="1:2" x14ac:dyDescent="0.3">
      <c r="A146" t="s">
        <v>132</v>
      </c>
      <c r="B146">
        <f>INDEX('vehicles specifications'!$B$3:$CK$86,MATCH(B141,'vehicles specifications'!$A$3:$A$86,0),MATCH("Lifetime [km]",'vehicles specifications'!$B$2:$CK$2,0))</f>
        <v>62100</v>
      </c>
    </row>
    <row r="147" spans="1:2" x14ac:dyDescent="0.3">
      <c r="A147" t="s">
        <v>133</v>
      </c>
      <c r="B147">
        <f>INDEX('vehicles specifications'!$B$3:$CK$86,MATCH(B141,'vehicles specifications'!$A$3:$A$86,0),MATCH("Passengers [unit]",'vehicles specifications'!$B$2:$CK$2,0))</f>
        <v>1.1000000000000001</v>
      </c>
    </row>
    <row r="148" spans="1:2" x14ac:dyDescent="0.3">
      <c r="A148" t="s">
        <v>134</v>
      </c>
      <c r="B148">
        <f>INDEX('vehicles specifications'!$B$3:$CK$86,MATCH(B141,'vehicles specifications'!$A$3:$A$86,0),MATCH("Servicing [unit]",'vehicles specifications'!$B$2:$CK$2,0))</f>
        <v>1.242</v>
      </c>
    </row>
    <row r="149" spans="1:2" x14ac:dyDescent="0.3">
      <c r="A149" t="s">
        <v>135</v>
      </c>
      <c r="B149">
        <f>INDEX('vehicles specifications'!$B$3:$CK$86,MATCH(B141,'vehicles specifications'!$A$3:$A$86,0),MATCH("Energy battery replacement [unit]",'vehicles specifications'!$B$2:$CK$2,0))</f>
        <v>0</v>
      </c>
    </row>
    <row r="150" spans="1:2" x14ac:dyDescent="0.3">
      <c r="A150" t="s">
        <v>136</v>
      </c>
      <c r="B150">
        <f>INDEX('vehicles specifications'!$B$3:$CK$86,MATCH(B141,'vehicles specifications'!$A$3:$A$86,0),MATCH("Annual kilometers [km]",'vehicles specifications'!$B$2:$CK$2,0))</f>
        <v>4690</v>
      </c>
    </row>
    <row r="151" spans="1:2" x14ac:dyDescent="0.3">
      <c r="A151" t="s">
        <v>137</v>
      </c>
      <c r="B151" s="2">
        <f>INDEX('vehicles specifications'!$B$3:$CK$86,MATCH(B141,'vehicles specifications'!$A$3:$A$86,0),MATCH("Curb mass [kg]",'vehicles specifications'!$B$2:$CK$2,0))</f>
        <v>162.05000000000001</v>
      </c>
    </row>
    <row r="152" spans="1:2" x14ac:dyDescent="0.3">
      <c r="A152" t="s">
        <v>138</v>
      </c>
      <c r="B152">
        <f>INDEX('vehicles specifications'!$B$3:$CK$86,MATCH(B141,'vehicles specifications'!$A$3:$A$86,0),MATCH("Power [kW]",'vehicles specifications'!$B$2:$CK$2,0))</f>
        <v>14</v>
      </c>
    </row>
    <row r="153" spans="1:2" x14ac:dyDescent="0.3">
      <c r="A153" t="s">
        <v>139</v>
      </c>
      <c r="B153">
        <f>INDEX('vehicles specifications'!$B$3:$CK$86,MATCH(B141,'vehicles specifications'!$A$3:$A$86,0),MATCH("Energy battery mass [kg]",'vehicles specifications'!$B$2:$CK$2,0))</f>
        <v>54.72</v>
      </c>
    </row>
    <row r="154" spans="1:2" x14ac:dyDescent="0.3">
      <c r="A154" t="s">
        <v>140</v>
      </c>
      <c r="B154" s="21">
        <f>INDEX('vehicles specifications'!$B$3:$CK$86,MATCH(B141,'vehicles specifications'!$A$3:$A$86,0),MATCH("Electric energy stored [kWh]",'vehicles specifications'!$B$2:$CK$2,0))</f>
        <v>22.8</v>
      </c>
    </row>
    <row r="155" spans="1:2" s="21" customFormat="1" x14ac:dyDescent="0.3">
      <c r="A155" s="21" t="s">
        <v>654</v>
      </c>
      <c r="B155" s="21">
        <f>INDEX('vehicles specifications'!$B$3:$CK$86,MATCH(B141,'vehicles specifications'!$A$3:$A$86,0),MATCH("Electric energy available [kWh]",'vehicles specifications'!$B$2:$CK$2,0))</f>
        <v>18.240000000000002</v>
      </c>
    </row>
    <row r="156" spans="1:2" x14ac:dyDescent="0.3">
      <c r="A156" t="s">
        <v>143</v>
      </c>
      <c r="B156" s="2">
        <f>INDEX('vehicles specifications'!$B$3:$CK$86,MATCH(B141,'vehicles specifications'!$A$3:$A$86,0),MATCH("Oxydation energy stored [kWh]",'vehicles specifications'!$B$2:$CK$2,0))</f>
        <v>0</v>
      </c>
    </row>
    <row r="157" spans="1:2" x14ac:dyDescent="0.3">
      <c r="A157" t="s">
        <v>145</v>
      </c>
      <c r="B157">
        <f>INDEX('vehicles specifications'!$B$3:$CK$86,MATCH(B141,'vehicles specifications'!$A$3:$A$86,0),MATCH("Fuel mass [kg]",'vehicles specifications'!$B$2:$CK$2,0))</f>
        <v>0</v>
      </c>
    </row>
    <row r="158" spans="1:2" x14ac:dyDescent="0.3">
      <c r="A158" t="s">
        <v>141</v>
      </c>
      <c r="B158" s="2">
        <f>INDEX('vehicles specifications'!$B$3:$CK$86,MATCH(B141,'vehicles specifications'!$A$3:$A$86,0),MATCH("Range [km]",'vehicles specifications'!$B$2:$CK$2,0))</f>
        <v>266.54132043956048</v>
      </c>
    </row>
    <row r="159" spans="1:2" x14ac:dyDescent="0.3">
      <c r="A159" t="s">
        <v>142</v>
      </c>
      <c r="B159" t="str">
        <f>INDEX('vehicles specifications'!$B$3:$CK$86,MATCH(B141,'vehicles specifications'!$A$3:$A$86,0),MATCH("Emission standard",'vehicles specifications'!$B$2:$CK$2,0))</f>
        <v>None</v>
      </c>
    </row>
    <row r="160" spans="1:2" x14ac:dyDescent="0.3">
      <c r="A160" t="s">
        <v>144</v>
      </c>
      <c r="B160" s="6">
        <f>INDEX('vehicles specifications'!$B$3:$CK$86,MATCH(B141,'vehicles specifications'!$A$3:$A$86,0),MATCH("Lightweighting rate [%]",'vehicles specifications'!$B$2:$CK$2,0))</f>
        <v>7.0000000000000007E-2</v>
      </c>
    </row>
    <row r="161" spans="1:8" s="21" customFormat="1" x14ac:dyDescent="0.3">
      <c r="A161" s="21" t="s">
        <v>513</v>
      </c>
      <c r="B161" s="6" t="s">
        <v>514</v>
      </c>
    </row>
    <row r="162" spans="1:8" s="21" customFormat="1" x14ac:dyDescent="0.3">
      <c r="A162" s="21" t="s">
        <v>515</v>
      </c>
      <c r="B162" s="2">
        <v>15900</v>
      </c>
    </row>
    <row r="163" spans="1:8" s="21" customFormat="1" x14ac:dyDescent="0.3">
      <c r="A163" s="21" t="s">
        <v>516</v>
      </c>
      <c r="B163" s="2">
        <v>1000</v>
      </c>
    </row>
    <row r="164" spans="1:8" s="21" customFormat="1" x14ac:dyDescent="0.3">
      <c r="A164" s="21"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scooter'!B145</f>
        <v>Power: 14 kW. Lifetime: 62100 km. Annual kilometers: 4690 km. Number of passengers: 1.1. Curb mass: 162.1 kg. Lightweighting of glider: 7%. Emission standard: None. Service visits throughout lifetime: 1.2. Range: 267 km. Battery capacity: 22.8 kWh. Available battery capacity: 18.24 kWh. Battery mass: 54.7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v>
      </c>
    </row>
    <row r="165" spans="1:8" ht="15.6" x14ac:dyDescent="0.3">
      <c r="A165" s="11" t="s">
        <v>80</v>
      </c>
    </row>
    <row r="166" spans="1:8" x14ac:dyDescent="0.3">
      <c r="A166" t="s">
        <v>81</v>
      </c>
      <c r="B166" t="s">
        <v>82</v>
      </c>
      <c r="C166" t="s">
        <v>73</v>
      </c>
      <c r="D166" t="s">
        <v>77</v>
      </c>
      <c r="E166" t="s">
        <v>83</v>
      </c>
      <c r="F166" t="s">
        <v>75</v>
      </c>
      <c r="G166" t="s">
        <v>84</v>
      </c>
      <c r="H166" t="s">
        <v>74</v>
      </c>
    </row>
    <row r="167" spans="1:8" x14ac:dyDescent="0.3">
      <c r="A167" s="12" t="str">
        <f>B136</f>
        <v>Motorbike, electric, 11-35kW, 2050</v>
      </c>
      <c r="B167" s="12">
        <v>1</v>
      </c>
      <c r="C167" s="12" t="str">
        <f>B137</f>
        <v>CH</v>
      </c>
      <c r="D167" s="12" t="str">
        <f>B144</f>
        <v>unit</v>
      </c>
      <c r="E167" s="12"/>
      <c r="F167" s="12" t="s">
        <v>85</v>
      </c>
      <c r="G167" s="12" t="s">
        <v>86</v>
      </c>
      <c r="H167" s="12" t="str">
        <f>B138</f>
        <v>Motorbike, electric, 11-35kW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81</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s="21" customFormat="1"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5.6700000000000008</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13</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19</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45.6</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9.120000000000001</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manual dismantling of used electric scooter</v>
      </c>
      <c r="B175" s="16">
        <f>INDEX('vehicles specifications'!$B$3:$CK$86,MATCH(B141,'vehicles specifications'!$A$3:$A$86,0),MATCH(G175,'vehicles specifications'!$B$2:$CK$2,0))*INDEX('ei names mapping'!$B$137:$BK$220,MATCH(B141,'ei names mapping'!$A$137:$A$220,0),MATCH(G175,'ei names mapping'!$B$136:$BK$136,0))</f>
        <v>75.33</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manual dismantling of used electric scooter</v>
      </c>
      <c r="B176" s="16">
        <f>INDEX('vehicles specifications'!$B$3:$CK$86,MATCH(B141,'vehicles specifications'!$A$3:$A$86,0),MATCH(G176,'vehicles specifications'!$B$2:$CK$2,0))*INDEX('ei names mapping'!$B$137:$BK$220,MATCH(B141,'ei names mapping'!$A$137:$A$220,0),MATCH(G176,'ei names mapping'!$B$136:$BK$136,0))</f>
        <v>32</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-54.72</v>
      </c>
      <c r="C177" s="12" t="str">
        <f>INDEX('ei names mapping'!$B$38:$R$67,MATCH(B138,'ei names mapping'!$A$4:$A$33,0),MATCH(G177,'ei names mapping'!$B$3:$R$3,0))</f>
        <v>GLO</v>
      </c>
      <c r="D177" s="12" t="str">
        <f>INDEX('ei names mapping'!$B$104:$R$133,MATCH(B138,'ei names mapping'!$A$104:$A$133,0),MATCH(G177,'ei names mapping'!$B$3:$R$3,0))</f>
        <v>kilogram</v>
      </c>
      <c r="E177" s="12"/>
      <c r="F177" s="12" t="s">
        <v>91</v>
      </c>
      <c r="G177" t="s">
        <v>152</v>
      </c>
      <c r="H177" s="12" t="str">
        <f>INDEX('ei names mapping'!$B$71:$R$100,MATCH(B138,'ei names mapping'!$A$4:$A$33,0),MATCH(G177,'ei names mapping'!$B$3:$R$3,0))</f>
        <v>used Li-ion battery</v>
      </c>
    </row>
    <row r="178" spans="1:8" s="21" customFormat="1" x14ac:dyDescent="0.3">
      <c r="A178" s="22" t="s">
        <v>468</v>
      </c>
      <c r="B178" s="21">
        <f>(B151/1000)*B163</f>
        <v>162.05000000000001</v>
      </c>
      <c r="C178" s="21" t="s">
        <v>94</v>
      </c>
      <c r="D178" s="21" t="s">
        <v>243</v>
      </c>
      <c r="F178" s="21" t="s">
        <v>91</v>
      </c>
      <c r="H178" s="22" t="s">
        <v>469</v>
      </c>
    </row>
    <row r="179" spans="1:8" s="21" customFormat="1" x14ac:dyDescent="0.3">
      <c r="A179" s="22" t="s">
        <v>467</v>
      </c>
      <c r="B179" s="2">
        <f>(B151/1000)*B162</f>
        <v>2576.5949999999998</v>
      </c>
      <c r="C179" s="21" t="s">
        <v>98</v>
      </c>
      <c r="D179" s="21" t="s">
        <v>243</v>
      </c>
      <c r="F179" s="21" t="s">
        <v>91</v>
      </c>
      <c r="H179" s="22" t="s">
        <v>467</v>
      </c>
    </row>
    <row r="180" spans="1:8" x14ac:dyDescent="0.3">
      <c r="B180" s="2"/>
    </row>
    <row r="181" spans="1:8" ht="15.6" x14ac:dyDescent="0.3">
      <c r="A181" s="11" t="s">
        <v>72</v>
      </c>
      <c r="B181" s="9" t="str">
        <f>"transport, "&amp;B183&amp;", "&amp;B185</f>
        <v>transport, Motorbike, electric, 11-35kW, 2020</v>
      </c>
    </row>
    <row r="182" spans="1:8" x14ac:dyDescent="0.3">
      <c r="A182" t="s">
        <v>73</v>
      </c>
      <c r="B182" t="s">
        <v>37</v>
      </c>
    </row>
    <row r="183" spans="1:8" x14ac:dyDescent="0.3">
      <c r="A183" t="s">
        <v>87</v>
      </c>
      <c r="B183" t="s">
        <v>522</v>
      </c>
    </row>
    <row r="184" spans="1:8" x14ac:dyDescent="0.3">
      <c r="A184" t="s">
        <v>88</v>
      </c>
      <c r="B184" s="12"/>
    </row>
    <row r="185" spans="1:8" x14ac:dyDescent="0.3">
      <c r="A185" t="s">
        <v>89</v>
      </c>
      <c r="B185" s="12">
        <v>2020</v>
      </c>
    </row>
    <row r="186" spans="1:8" x14ac:dyDescent="0.3">
      <c r="A186" t="s">
        <v>131</v>
      </c>
      <c r="B186" s="12" t="str">
        <f>B183&amp;" - "&amp;B185&amp;" - "&amp;B182</f>
        <v>Motorbike, electric, 11-35kW - 2020 - CH</v>
      </c>
    </row>
    <row r="187" spans="1:8" x14ac:dyDescent="0.3">
      <c r="A187" t="s">
        <v>74</v>
      </c>
      <c r="B187" s="12" t="str">
        <f>"transport, "&amp;B183</f>
        <v>transport, Motorbike, electric, 11-35kW</v>
      </c>
    </row>
    <row r="188" spans="1:8" x14ac:dyDescent="0.3">
      <c r="A188" t="s">
        <v>75</v>
      </c>
      <c r="B188" t="s">
        <v>76</v>
      </c>
    </row>
    <row r="189" spans="1:8" x14ac:dyDescent="0.3">
      <c r="A189" t="s">
        <v>77</v>
      </c>
      <c r="B189" t="s">
        <v>172</v>
      </c>
    </row>
    <row r="190" spans="1:8" x14ac:dyDescent="0.3">
      <c r="A190" t="s">
        <v>79</v>
      </c>
      <c r="B190" t="s">
        <v>90</v>
      </c>
    </row>
    <row r="191" spans="1:8" x14ac:dyDescent="0.3">
      <c r="A191" t="s">
        <v>132</v>
      </c>
      <c r="B191">
        <f>INDEX('vehicles specifications'!$B$3:$CK$86,MATCH(B186,'vehicles specifications'!$A$3:$A$86,0),MATCH("Lifetime [km]",'vehicles specifications'!$B$2:$CK$2,0))</f>
        <v>62100</v>
      </c>
    </row>
    <row r="192" spans="1:8" x14ac:dyDescent="0.3">
      <c r="A192" t="s">
        <v>133</v>
      </c>
      <c r="B192">
        <f>INDEX('vehicles specifications'!$B$3:$CK$86,MATCH(B186,'vehicles specifications'!$A$3:$A$86,0),MATCH("Passengers [unit]",'vehicles specifications'!$B$2:$CK$2,0))</f>
        <v>1.1000000000000001</v>
      </c>
    </row>
    <row r="193" spans="1:8" x14ac:dyDescent="0.3">
      <c r="A193" t="s">
        <v>134</v>
      </c>
      <c r="B193">
        <f>INDEX('vehicles specifications'!$B$3:$CK$86,MATCH(B186,'vehicles specifications'!$A$3:$A$86,0),MATCH("Servicing [unit]",'vehicles specifications'!$B$2:$CK$2,0))</f>
        <v>1.242</v>
      </c>
    </row>
    <row r="194" spans="1:8" x14ac:dyDescent="0.3">
      <c r="A194" t="s">
        <v>135</v>
      </c>
      <c r="B194">
        <f>INDEX('vehicles specifications'!$B$3:$CK$86,MATCH(B186,'vehicles specifications'!$A$3:$A$86,0),MATCH("Energy battery replacement [unit]",'vehicles specifications'!$B$2:$CK$2,0))</f>
        <v>1</v>
      </c>
    </row>
    <row r="195" spans="1:8" x14ac:dyDescent="0.3">
      <c r="A195" t="s">
        <v>136</v>
      </c>
      <c r="B195">
        <f>INDEX('vehicles specifications'!$B$3:$CK$86,MATCH(B186,'vehicles specifications'!$A$3:$A$86,0),MATCH("Annual kilometers [km]",'vehicles specifications'!$B$2:$CK$2,0))</f>
        <v>4690</v>
      </c>
    </row>
    <row r="196" spans="1:8" x14ac:dyDescent="0.3">
      <c r="A196" t="s">
        <v>137</v>
      </c>
      <c r="B196" s="2">
        <f>INDEX('vehicles specifications'!$B$3:$CK$86,MATCH(B186,'vehicles specifications'!$A$3:$A$86,0),MATCH("Curb mass [kg]",'vehicles specifications'!$B$2:$CK$2,0))</f>
        <v>161.6</v>
      </c>
    </row>
    <row r="197" spans="1:8" x14ac:dyDescent="0.3">
      <c r="A197" t="s">
        <v>138</v>
      </c>
      <c r="B197">
        <f>INDEX('vehicles specifications'!$B$3:$CK$86,MATCH(B186,'vehicles specifications'!$A$3:$A$86,0),MATCH("Power [kW]",'vehicles specifications'!$B$2:$CK$2,0))</f>
        <v>14</v>
      </c>
    </row>
    <row r="198" spans="1:8" x14ac:dyDescent="0.3">
      <c r="A198" t="s">
        <v>139</v>
      </c>
      <c r="B198">
        <f>INDEX('vehicles specifications'!$B$3:$CK$86,MATCH(B186,'vehicles specifications'!$A$3:$A$86,0),MATCH("Energy battery mass [kg]",'vehicles specifications'!$B$2:$CK$2,0))</f>
        <v>48.599999999999994</v>
      </c>
    </row>
    <row r="199" spans="1:8" x14ac:dyDescent="0.3">
      <c r="A199" t="s">
        <v>140</v>
      </c>
      <c r="B199" s="21">
        <f>INDEX('vehicles specifications'!$B$3:$CK$86,MATCH(B186,'vehicles specifications'!$A$3:$A$86,0),MATCH("Electric energy stored [kWh]",'vehicles specifications'!$B$2:$CK$2,0))</f>
        <v>8.1</v>
      </c>
    </row>
    <row r="200" spans="1:8" s="21" customFormat="1" x14ac:dyDescent="0.3">
      <c r="A200" s="21" t="s">
        <v>654</v>
      </c>
      <c r="B200" s="21">
        <f>INDEX('vehicles specifications'!$B$3:$CK$86,MATCH(B186,'vehicles specifications'!$A$3:$A$86,0),MATCH("Electric energy available [kWh]",'vehicles specifications'!$B$2:$CK$2,0))</f>
        <v>6.48</v>
      </c>
    </row>
    <row r="201" spans="1:8" x14ac:dyDescent="0.3">
      <c r="A201" t="s">
        <v>143</v>
      </c>
      <c r="B201" s="2">
        <f>INDEX('vehicles specifications'!$B$3:$CK$86,MATCH(B186,'vehicles specifications'!$A$3:$A$86,0),MATCH("Oxydation energy stored [kWh]",'vehicles specifications'!$B$2:$CK$2,0))</f>
        <v>0</v>
      </c>
    </row>
    <row r="202" spans="1:8" x14ac:dyDescent="0.3">
      <c r="A202" t="s">
        <v>145</v>
      </c>
      <c r="B202">
        <f>INDEX('vehicles specifications'!$B$3:$CK$86,MATCH(B186,'vehicles specifications'!$A$3:$A$86,0),MATCH("Fuel mass [kg]",'vehicles specifications'!$B$2:$CK$2,0))</f>
        <v>0</v>
      </c>
    </row>
    <row r="203" spans="1:8" x14ac:dyDescent="0.3">
      <c r="A203" t="s">
        <v>141</v>
      </c>
      <c r="B203" s="2">
        <f>INDEX('vehicles specifications'!$B$3:$CK$86,MATCH(B186,'vehicles specifications'!$A$3:$A$86,0),MATCH("Range [km]",'vehicles specifications'!$B$2:$CK$2,0))</f>
        <v>94.692311208791224</v>
      </c>
    </row>
    <row r="204" spans="1:8" x14ac:dyDescent="0.3">
      <c r="A204" t="s">
        <v>142</v>
      </c>
      <c r="B204" t="str">
        <f>INDEX('vehicles specifications'!$B$3:$CK$86,MATCH(B186,'vehicles specifications'!$A$3:$A$86,0),MATCH("Emission standard",'vehicles specifications'!$B$2:$CK$2,0))</f>
        <v>None</v>
      </c>
    </row>
    <row r="205" spans="1:8" x14ac:dyDescent="0.3">
      <c r="A205" t="s">
        <v>144</v>
      </c>
      <c r="B205" s="6">
        <f>INDEX('vehicles specifications'!$B$3:$CK$86,MATCH(B186,'vehicles specifications'!$A$3:$A$86,0),MATCH("Lightweighting rate [%]",'vehicles specifications'!$B$2:$CK$2,0))</f>
        <v>0</v>
      </c>
    </row>
    <row r="206" spans="1:8" x14ac:dyDescent="0.3">
      <c r="A206"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"&amp;'lci-kick scooter'!B149</f>
        <v>Power: 14 kW. Lifetime: 62100 km. Annual kilometers: 4690 km. Number of passengers: 1.1. Curb mass: 161.6 kg. Lightweighting of glider: 0%. Emission standard: None. Service visits throughout lifetime: 1.2. Range: 95 km. Battery capacity: 8.1 kWh. Available battery capacity: 6.48 kWh. Battery mass: 48.6 kg. Battery replacement throughout lifetime: 1. Fuel tank capacity: 0 kWh. Fuel mass: 0 kg. Documentation: 2021 UVEK life-cycle inventories update of on-road vehicles, Sacchi R. (PSI), Bauer C. (PSI), 2021. 2.6</v>
      </c>
    </row>
    <row r="207" spans="1:8" ht="15.6" x14ac:dyDescent="0.3">
      <c r="A207" s="11" t="s">
        <v>80</v>
      </c>
    </row>
    <row r="208" spans="1:8" x14ac:dyDescent="0.3">
      <c r="A208" t="s">
        <v>81</v>
      </c>
      <c r="B208" t="s">
        <v>82</v>
      </c>
      <c r="C208" t="s">
        <v>73</v>
      </c>
      <c r="D208" t="s">
        <v>77</v>
      </c>
      <c r="E208" t="s">
        <v>83</v>
      </c>
      <c r="F208" t="s">
        <v>75</v>
      </c>
      <c r="G208" t="s">
        <v>84</v>
      </c>
      <c r="H208" t="s">
        <v>74</v>
      </c>
    </row>
    <row r="209" spans="1:8" x14ac:dyDescent="0.3">
      <c r="A209" s="12" t="str">
        <f>B181</f>
        <v>transport, Motorbike, electric, 11-35kW, 2020</v>
      </c>
      <c r="B209" s="12">
        <v>1</v>
      </c>
      <c r="C209" s="12" t="str">
        <f>B182</f>
        <v>CH</v>
      </c>
      <c r="D209" s="12" t="s">
        <v>172</v>
      </c>
      <c r="E209" s="12"/>
      <c r="F209" s="12" t="s">
        <v>85</v>
      </c>
      <c r="G209" s="12" t="s">
        <v>86</v>
      </c>
      <c r="H209" s="12" t="str">
        <f>B187</f>
        <v>transport, Motorbike, electric, 11-35kW</v>
      </c>
    </row>
    <row r="210" spans="1:8" x14ac:dyDescent="0.3">
      <c r="A210" s="12" t="str">
        <f>RIGHT(A209,LEN(A209)-11)</f>
        <v>Motorbike, electric, 11-35kW, 2020</v>
      </c>
      <c r="B210" s="15">
        <f>1/B191</f>
        <v>1.6103059581320449E-5</v>
      </c>
      <c r="C210" s="12" t="str">
        <f>B182</f>
        <v>CH</v>
      </c>
      <c r="D210" s="12" t="s">
        <v>77</v>
      </c>
      <c r="E210" s="12"/>
      <c r="F210" s="12" t="s">
        <v>91</v>
      </c>
      <c r="G210" s="12"/>
      <c r="H210" s="12" t="str">
        <f>RIGHT(H209,LEN(H209)-11)</f>
        <v>Motorbike, electric, 11-35kW</v>
      </c>
    </row>
    <row r="211" spans="1:8" x14ac:dyDescent="0.3">
      <c r="A211" s="12" t="str">
        <f>INDEX('ei names mapping'!$B$4:$R$33,MATCH(B183,'ei names mapping'!$A$4:$A$33,0),MATCH(G211,'ei names mapping'!$B$3:$R$3,0))</f>
        <v>road maintenance</v>
      </c>
      <c r="B211" s="16">
        <f>INDEX('vehicles specifications'!$B$3:$CK$86,MATCH(B186,'vehicles specifications'!$A$3:$A$86,0),MATCH(G211,'vehicles specifications'!$B$2:$CK$2,0))*INDEX('ei names mapping'!$B$137:$BK$220,MATCH(B186,'ei names mapping'!$A$137:$A$220,0),MATCH(G211,'ei names mapping'!$B$136:$BK$136,0))</f>
        <v>1.2899999999999999E-3</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t="s">
        <v>117</v>
      </c>
      <c r="H211" s="12" t="str">
        <f>INDEX('ei names mapping'!$B$71:$BK$100,MATCH(B183,'ei names mapping'!$A$4:$A$33,0),MATCH(G211,'ei names mapping'!$B$3:$BK$3,0))</f>
        <v>road maintenance</v>
      </c>
    </row>
    <row r="212" spans="1:8" x14ac:dyDescent="0.3">
      <c r="A212" s="12" t="str">
        <f>INDEX('ei names mapping'!$B$4:$R$33,MATCH(B183,'ei names mapping'!$A$4:$A$33,0),MATCH(G212,'ei names mapping'!$B$3:$R$3,0))</f>
        <v>market for electricity, low voltage</v>
      </c>
      <c r="B212" s="14">
        <f>INDEX('vehicles specifications'!$B$3:$CK$86,MATCH(B186,'vehicles specifications'!$A$3:$A$86,0),MATCH(G212,'vehicles specifications'!$B$2:$CK$2,0))*INDEX('ei names mapping'!$B$137:$BK$220,MATCH(B186,'ei names mapping'!$A$137:$A$220,0),MATCH(G212,'ei names mapping'!$B$136:$BK$136,0))</f>
        <v>7.5275383069731625E-2</v>
      </c>
      <c r="C212" s="12" t="str">
        <f>INDEX('ei names mapping'!$B$38:$R$67,MATCH($B$3,'ei names mapping'!$A$4:$A$33,0),MATCH(G212,'ei names mapping'!$B$3:$R$3,0))</f>
        <v>CH</v>
      </c>
      <c r="D212" s="12" t="str">
        <f>INDEX('ei names mapping'!$B$104:$R$133,MATCH($B$3,'ei names mapping'!$A$4:$A$33,0),MATCH(G212,'ei names mapping'!$B$3:$R$3,0))</f>
        <v>kilowatt hour</v>
      </c>
      <c r="E212" s="12"/>
      <c r="F212" s="12" t="s">
        <v>91</v>
      </c>
      <c r="G212" t="s">
        <v>28</v>
      </c>
      <c r="H212" s="12" t="str">
        <f>INDEX('ei names mapping'!$B$71:$R$100,MATCH(B183,'ei names mapping'!$A$4:$A$33,0),MATCH(G212,'ei names mapping'!$B$3:$R$3,0))</f>
        <v>electricity, low voltage</v>
      </c>
    </row>
    <row r="213" spans="1:8" x14ac:dyDescent="0.3">
      <c r="A213" s="12" t="str">
        <f>INDEX('ei names mapping'!$B$4:$R$33,MATCH(B183,'ei names mapping'!$A$4:$A$33,0),MATCH(G213,'ei names mapping'!$B$3:$R$3,0))</f>
        <v>market for maintenance, electric scooter, without battery</v>
      </c>
      <c r="B213" s="16">
        <f>INDEX('vehicles specifications'!$B$3:$CK$86,MATCH(B186,'vehicles specifications'!$A$3:$A$86,0),MATCH(G213,'vehicles specifications'!$B$2:$CK$2,0))*INDEX('ei names mapping'!$B$137:$BK$220,MATCH(B186,'ei names mapping'!$A$137:$A$220,0),MATCH(G213,'ei names mapping'!$B$136:$BK$136,0))</f>
        <v>1.9999999999999998E-5</v>
      </c>
      <c r="C213" s="12" t="str">
        <f>INDEX('ei names mapping'!$B$38:$BK$67,MATCH(B183,'ei names mapping'!$A$4:$A$33,0),MATCH(G213,'ei names mapping'!$B$3:$BK$3,0))</f>
        <v>GLO</v>
      </c>
      <c r="D213" s="12" t="str">
        <f>INDEX('ei names mapping'!$B$104:$BK$133,MATCH(B183,'ei names mapping'!$A$4:$A$33,0),MATCH(G213,'ei names mapping'!$B$3:$BK$3,0))</f>
        <v>unit</v>
      </c>
      <c r="F213" s="12" t="s">
        <v>91</v>
      </c>
      <c r="G213" s="12" t="s">
        <v>123</v>
      </c>
      <c r="H213" s="12" t="str">
        <f>INDEX('ei names mapping'!$B$71:$BK$100,MATCH(B183,'ei names mapping'!$A$4:$A$33,0),MATCH(G213,'ei names mapping'!$B$3:$BK$3,0))</f>
        <v>maintenance, electric scooter, without battery</v>
      </c>
    </row>
    <row r="214" spans="1:8" s="21" customFormat="1" x14ac:dyDescent="0.3">
      <c r="A214" s="12" t="str">
        <f>INDEX('ei names mapping'!$B$4:$R$33,MATCH(B183,'ei names mapping'!$A$4:$A$33,0),MATCH(G214,'ei names mapping'!$B$3:$R$3,0))</f>
        <v>road construction</v>
      </c>
      <c r="B214" s="16">
        <f>INDEX('vehicles specifications'!$B$3:$CK$86,MATCH(B186,'vehicles specifications'!$A$3:$A$86,0),MATCH(G214,'vehicles specifications'!$B$2:$CK$2,0))*INDEX('ei names mapping'!$B$137:$BK$220,MATCH(B186,'ei names mapping'!$A$137:$A$220,0),MATCH(G214,'ei names mapping'!$B$136:$BK$136,0))</f>
        <v>1.3135020000000001E-4</v>
      </c>
      <c r="C214" s="12" t="str">
        <f>INDEX('ei names mapping'!$B$38:$R$67,MATCH(B183,'ei names mapping'!$A$4:$A$33,0),MATCH(G214,'ei names mapping'!$B$3:$R$3,0))</f>
        <v>CH</v>
      </c>
      <c r="D214" s="12" t="str">
        <f>INDEX('ei names mapping'!$B$104:$R$133,MATCH(B183,'ei names mapping'!$A$104:$A$133,0),MATCH(G214,'ei names mapping'!$B$3:$R$3,0))</f>
        <v>meter-year</v>
      </c>
      <c r="E214" s="12"/>
      <c r="F214" s="12" t="s">
        <v>91</v>
      </c>
      <c r="G214" s="21" t="s">
        <v>108</v>
      </c>
      <c r="H214" s="12" t="str">
        <f>INDEX('ei names mapping'!$B$71:$R$100,MATCH(B183,'ei names mapping'!$A$4:$A$33,0),MATCH(G214,'ei names mapping'!$B$3:$R$3,0))</f>
        <v>road</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-7.3669999999999991E-6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-4.1749999999999998E-6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Motorbike, electric, 11-35kW, 2030</v>
      </c>
    </row>
    <row r="220" spans="1:8" x14ac:dyDescent="0.3">
      <c r="A220" t="s">
        <v>73</v>
      </c>
      <c r="B220" t="s">
        <v>37</v>
      </c>
    </row>
    <row r="221" spans="1:8" x14ac:dyDescent="0.3">
      <c r="A221" t="s">
        <v>87</v>
      </c>
      <c r="B221" t="s">
        <v>522</v>
      </c>
    </row>
    <row r="222" spans="1:8" x14ac:dyDescent="0.3">
      <c r="A222" t="s">
        <v>88</v>
      </c>
      <c r="B222" s="12"/>
    </row>
    <row r="223" spans="1:8" x14ac:dyDescent="0.3">
      <c r="A223" t="s">
        <v>89</v>
      </c>
      <c r="B223" s="12">
        <v>2030</v>
      </c>
    </row>
    <row r="224" spans="1:8" x14ac:dyDescent="0.3">
      <c r="A224" t="s">
        <v>131</v>
      </c>
      <c r="B224" s="12" t="str">
        <f>B221&amp;" - "&amp;B223&amp;" - "&amp;B220</f>
        <v>Motorbike, electric, 11-35kW - 2030 - CH</v>
      </c>
    </row>
    <row r="225" spans="1:2" x14ac:dyDescent="0.3">
      <c r="A225" t="s">
        <v>74</v>
      </c>
      <c r="B225" s="12" t="str">
        <f>"transport, "&amp;B221</f>
        <v>transport, Motorbike, electric, 11-35kW</v>
      </c>
    </row>
    <row r="226" spans="1:2" x14ac:dyDescent="0.3">
      <c r="A226" t="s">
        <v>75</v>
      </c>
      <c r="B226" t="s">
        <v>76</v>
      </c>
    </row>
    <row r="227" spans="1:2" x14ac:dyDescent="0.3">
      <c r="A227" t="s">
        <v>77</v>
      </c>
      <c r="B227" t="s">
        <v>172</v>
      </c>
    </row>
    <row r="228" spans="1:2" x14ac:dyDescent="0.3">
      <c r="A228" t="s">
        <v>79</v>
      </c>
      <c r="B228" t="s">
        <v>90</v>
      </c>
    </row>
    <row r="229" spans="1:2" x14ac:dyDescent="0.3">
      <c r="A229" t="s">
        <v>132</v>
      </c>
      <c r="B229">
        <f>INDEX('vehicles specifications'!$B$3:$CK$86,MATCH(B224,'vehicles specifications'!$A$3:$A$86,0),MATCH("Lifetime [km]",'vehicles specifications'!$B$2:$CK$2,0))</f>
        <v>62100</v>
      </c>
    </row>
    <row r="230" spans="1:2" x14ac:dyDescent="0.3">
      <c r="A230" t="s">
        <v>133</v>
      </c>
      <c r="B230">
        <f>INDEX('vehicles specifications'!$B$3:$CK$86,MATCH(B224,'vehicles specifications'!$A$3:$A$86,0),MATCH("Passengers [unit]",'vehicles specifications'!$B$2:$CK$2,0))</f>
        <v>1.1000000000000001</v>
      </c>
    </row>
    <row r="231" spans="1:2" x14ac:dyDescent="0.3">
      <c r="A231" t="s">
        <v>134</v>
      </c>
      <c r="B231">
        <f>INDEX('vehicles specifications'!$B$3:$CK$86,MATCH(B224,'vehicles specifications'!$A$3:$A$86,0),MATCH("Servicing [unit]",'vehicles specifications'!$B$2:$CK$2,0))</f>
        <v>1.242</v>
      </c>
    </row>
    <row r="232" spans="1:2" x14ac:dyDescent="0.3">
      <c r="A232" t="s">
        <v>135</v>
      </c>
      <c r="B232">
        <f>INDEX('vehicles specifications'!$B$3:$CK$86,MATCH(B224,'vehicles specifications'!$A$3:$A$86,0),MATCH("Energy battery replacement [unit]",'vehicles specifications'!$B$2:$CK$2,0))</f>
        <v>0.5</v>
      </c>
    </row>
    <row r="233" spans="1:2" x14ac:dyDescent="0.3">
      <c r="A233" t="s">
        <v>136</v>
      </c>
      <c r="B233">
        <f>INDEX('vehicles specifications'!$B$3:$CK$86,MATCH(B224,'vehicles specifications'!$A$3:$A$86,0),MATCH("Annual kilometers [km]",'vehicles specifications'!$B$2:$CK$2,0))</f>
        <v>4690</v>
      </c>
    </row>
    <row r="234" spans="1:2" x14ac:dyDescent="0.3">
      <c r="A234" t="s">
        <v>137</v>
      </c>
      <c r="B234" s="2">
        <f>INDEX('vehicles specifications'!$B$3:$CK$86,MATCH(B224,'vehicles specifications'!$A$3:$A$86,0),MATCH("Curb mass [kg]",'vehicles specifications'!$B$2:$CK$2,0))</f>
        <v>161.76999999999998</v>
      </c>
    </row>
    <row r="235" spans="1:2" x14ac:dyDescent="0.3">
      <c r="A235" t="s">
        <v>138</v>
      </c>
      <c r="B235">
        <f>INDEX('vehicles specifications'!$B$3:$CK$86,MATCH(B224,'vehicles specifications'!$A$3:$A$86,0),MATCH("Power [kW]",'vehicles specifications'!$B$2:$CK$2,0))</f>
        <v>14</v>
      </c>
    </row>
    <row r="236" spans="1:2" x14ac:dyDescent="0.3">
      <c r="A236" t="s">
        <v>139</v>
      </c>
      <c r="B236">
        <f>INDEX('vehicles specifications'!$B$3:$CK$86,MATCH(B224,'vehicles specifications'!$A$3:$A$86,0),MATCH("Energy battery mass [kg]",'vehicles specifications'!$B$2:$CK$2,0))</f>
        <v>51.2</v>
      </c>
    </row>
    <row r="237" spans="1:2" x14ac:dyDescent="0.3">
      <c r="A237" t="s">
        <v>140</v>
      </c>
      <c r="B237" s="21">
        <f>INDEX('vehicles specifications'!$B$3:$CK$86,MATCH(B224,'vehicles specifications'!$A$3:$A$86,0),MATCH("Electric energy stored [kWh]",'vehicles specifications'!$B$2:$CK$2,0))</f>
        <v>12.8</v>
      </c>
    </row>
    <row r="238" spans="1:2" s="21" customFormat="1" x14ac:dyDescent="0.3">
      <c r="A238" s="21" t="s">
        <v>654</v>
      </c>
      <c r="B238" s="21">
        <f>INDEX('vehicles specifications'!$B$3:$CK$86,MATCH(B224,'vehicles specifications'!$A$3:$A$86,0),MATCH("Electric energy available [kWh]",'vehicles specifications'!$B$2:$CK$2,0))</f>
        <v>10.240000000000002</v>
      </c>
    </row>
    <row r="239" spans="1:2" x14ac:dyDescent="0.3">
      <c r="A239" t="s">
        <v>143</v>
      </c>
      <c r="B239" s="2">
        <f>INDEX('vehicles specifications'!$B$3:$CK$86,MATCH(B224,'vehicles specifications'!$A$3:$A$86,0),MATCH("Oxydation energy stored [kWh]",'vehicles specifications'!$B$2:$CK$2,0))</f>
        <v>0</v>
      </c>
    </row>
    <row r="240" spans="1:2" x14ac:dyDescent="0.3">
      <c r="A240" t="s">
        <v>145</v>
      </c>
      <c r="B240">
        <f>INDEX('vehicles specifications'!$B$3:$CK$86,MATCH(B224,'vehicles specifications'!$A$3:$A$86,0),MATCH("Fuel mass [kg]",'vehicles specifications'!$B$2:$CK$2,0))</f>
        <v>0</v>
      </c>
    </row>
    <row r="241" spans="1:8" x14ac:dyDescent="0.3">
      <c r="A241" t="s">
        <v>141</v>
      </c>
      <c r="B241" s="2">
        <f>INDEX('vehicles specifications'!$B$3:$CK$86,MATCH(B224,'vehicles specifications'!$A$3:$A$86,0),MATCH("Range [km]",'vehicles specifications'!$B$2:$CK$2,0))</f>
        <v>149.63723252747255</v>
      </c>
    </row>
    <row r="242" spans="1:8" x14ac:dyDescent="0.3">
      <c r="A242" t="s">
        <v>142</v>
      </c>
      <c r="B242" t="str">
        <f>INDEX('vehicles specifications'!$B$3:$CK$86,MATCH(B224,'vehicles specifications'!$A$3:$A$86,0),MATCH("Emission standard",'vehicles specifications'!$B$2:$CK$2,0))</f>
        <v>None</v>
      </c>
    </row>
    <row r="243" spans="1:8" x14ac:dyDescent="0.3">
      <c r="A243" t="s">
        <v>144</v>
      </c>
      <c r="B243" s="6">
        <f>INDEX('vehicles specifications'!$B$3:$CK$86,MATCH(B224,'vehicles specifications'!$A$3:$A$86,0),MATCH("Lightweighting rate [%]",'vehicles specifications'!$B$2:$CK$2,0))</f>
        <v>0.03</v>
      </c>
    </row>
    <row r="244" spans="1:8" x14ac:dyDescent="0.3">
      <c r="A244"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"&amp;'lci-kick scooter'!B187</f>
        <v>Power: 14 kW. Lifetime: 62100 km. Annual kilometers: 4690 km. Number of passengers: 1.1. Curb mass: 161.8 kg. Lightweighting of glider: 3%. Emission standard: None. Service visits throughout lifetime: 1.2. Range: 150 km. Battery capacity: 12.8 kWh. Available battery capacity: 10.24 kWh. Battery mass: 51.2 kg. Battery replacement throughout lifetime: 0.5. Fuel tank capacity: 0 kWh. Fuel mass: 0 kg. Documentation: 2021 UVEK life-cycle inventories update of on-road vehicles, Sacchi R. (PSI), Bauer C. (PSI), 2021. 0.44625</v>
      </c>
    </row>
    <row r="245" spans="1:8" ht="15.6" x14ac:dyDescent="0.3">
      <c r="A245" s="11" t="s">
        <v>80</v>
      </c>
    </row>
    <row r="246" spans="1:8" x14ac:dyDescent="0.3">
      <c r="A246" t="s">
        <v>81</v>
      </c>
      <c r="B246" t="s">
        <v>82</v>
      </c>
      <c r="C246" t="s">
        <v>73</v>
      </c>
      <c r="D246" t="s">
        <v>77</v>
      </c>
      <c r="E246" t="s">
        <v>83</v>
      </c>
      <c r="F246" t="s">
        <v>75</v>
      </c>
      <c r="G246" t="s">
        <v>84</v>
      </c>
      <c r="H246" t="s">
        <v>74</v>
      </c>
    </row>
    <row r="247" spans="1:8" x14ac:dyDescent="0.3">
      <c r="A247" s="12" t="str">
        <f>B219</f>
        <v>transport, Motorbike, electric, 11-35kW, 2030</v>
      </c>
      <c r="B247" s="12">
        <v>1</v>
      </c>
      <c r="C247" s="12" t="str">
        <f>B220</f>
        <v>CH</v>
      </c>
      <c r="D247" s="12" t="s">
        <v>172</v>
      </c>
      <c r="E247" s="12"/>
      <c r="F247" s="12" t="s">
        <v>85</v>
      </c>
      <c r="G247" s="12" t="s">
        <v>86</v>
      </c>
      <c r="H247" s="12" t="str">
        <f>B225</f>
        <v>transport, Motorbike, electric, 11-35kW</v>
      </c>
    </row>
    <row r="248" spans="1:8" x14ac:dyDescent="0.3">
      <c r="A248" s="12" t="str">
        <f>RIGHT(A247,LEN(A247)-11)</f>
        <v>Motorbike, electric, 11-35kW, 2030</v>
      </c>
      <c r="B248" s="12">
        <f>1/B229</f>
        <v>1.6103059581320449E-5</v>
      </c>
      <c r="C248" s="12" t="str">
        <f>B220</f>
        <v>CH</v>
      </c>
      <c r="D248" s="12" t="s">
        <v>77</v>
      </c>
      <c r="E248" s="12"/>
      <c r="F248" s="12" t="s">
        <v>91</v>
      </c>
      <c r="G248" s="12"/>
      <c r="H248" s="12" t="str">
        <f>RIGHT(H247,LEN(H247)-11)</f>
        <v>Motorbike, electric, 11-35kW</v>
      </c>
    </row>
    <row r="249" spans="1:8" x14ac:dyDescent="0.3">
      <c r="A249" s="12" t="str">
        <f>INDEX('ei names mapping'!$B$4:$R$33,MATCH(B221,'ei names mapping'!$A$4:$A$33,0),MATCH(G249,'ei names mapping'!$B$3:$R$3,0))</f>
        <v>road maintenance</v>
      </c>
      <c r="B249" s="16">
        <f>INDEX('vehicles specifications'!$B$3:$CK$86,MATCH(B224,'vehicles specifications'!$A$3:$A$86,0),MATCH(G249,'vehicles specifications'!$B$2:$CK$2,0))*INDEX('ei names mapping'!$B$137:$BK$220,MATCH(B224,'ei names mapping'!$A$137:$A$220,0),MATCH(G249,'ei names mapping'!$B$136:$BK$136,0))</f>
        <v>1.2899999999999999E-3</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t="s">
        <v>117</v>
      </c>
      <c r="H249" s="12" t="str">
        <f>INDEX('ei names mapping'!$B$71:$BK$100,MATCH(B221,'ei names mapping'!$A$4:$A$33,0),MATCH(G249,'ei names mapping'!$B$3:$BK$3,0))</f>
        <v>road maintenance</v>
      </c>
    </row>
    <row r="250" spans="1:8" x14ac:dyDescent="0.3">
      <c r="A250" s="12" t="str">
        <f>INDEX('ei names mapping'!$B$4:$R$33,MATCH(B221,'ei names mapping'!$A$4:$A$33,0),MATCH(G250,'ei names mapping'!$B$3:$R$3,0))</f>
        <v>market for electricity, low voltage</v>
      </c>
      <c r="B250" s="14">
        <f>INDEX('vehicles specifications'!$B$3:$CK$86,MATCH(B224,'vehicles specifications'!$A$3:$A$86,0),MATCH(G250,'vehicles specifications'!$B$2:$CK$2,0))*INDEX('ei names mapping'!$B$137:$BK$220,MATCH(B224,'ei names mapping'!$A$137:$A$220,0),MATCH(G250,'ei names mapping'!$B$136:$BK$136,0))</f>
        <v>7.5275383069731625E-2</v>
      </c>
      <c r="C250" s="12" t="str">
        <f>INDEX('ei names mapping'!$B$38:$R$67,MATCH($B$3,'ei names mapping'!$A$4:$A$33,0),MATCH(G250,'ei names mapping'!$B$3:$R$3,0))</f>
        <v>CH</v>
      </c>
      <c r="D250" s="12" t="str">
        <f>INDEX('ei names mapping'!$B$104:$R$133,MATCH($B$3,'ei names mapping'!$A$4:$A$33,0),MATCH(G250,'ei names mapping'!$B$3:$R$3,0))</f>
        <v>kilowatt hour</v>
      </c>
      <c r="E250" s="12"/>
      <c r="F250" s="12" t="s">
        <v>91</v>
      </c>
      <c r="G250" t="s">
        <v>28</v>
      </c>
      <c r="H250" s="12" t="str">
        <f>INDEX('ei names mapping'!$B$71:$R$100,MATCH(B221,'ei names mapping'!$A$4:$A$33,0),MATCH(G250,'ei names mapping'!$B$3:$R$3,0))</f>
        <v>electricity, low voltage</v>
      </c>
    </row>
    <row r="251" spans="1:8" x14ac:dyDescent="0.3">
      <c r="A251" s="12" t="str">
        <f>INDEX('ei names mapping'!$B$4:$R$33,MATCH(B221,'ei names mapping'!$A$4:$A$33,0),MATCH(G251,'ei names mapping'!$B$3:$R$3,0))</f>
        <v>market for maintenance, electric scooter, without battery</v>
      </c>
      <c r="B251" s="16">
        <f>INDEX('vehicles specifications'!$B$3:$CK$86,MATCH(B224,'vehicles specifications'!$A$3:$A$86,0),MATCH(G251,'vehicles specifications'!$B$2:$CK$2,0))*INDEX('ei names mapping'!$B$137:$BK$220,MATCH(B224,'ei names mapping'!$A$137:$A$220,0),MATCH(G251,'ei names mapping'!$B$136:$BK$136,0))</f>
        <v>1.9999999999999998E-5</v>
      </c>
      <c r="C251" s="12" t="str">
        <f>INDEX('ei names mapping'!$B$38:$BK$67,MATCH(B221,'ei names mapping'!$A$4:$A$33,0),MATCH(G251,'ei names mapping'!$B$3:$BK$3,0))</f>
        <v>GLO</v>
      </c>
      <c r="D251" s="12" t="str">
        <f>INDEX('ei names mapping'!$B$104:$BK$133,MATCH(B221,'ei names mapping'!$A$4:$A$33,0),MATCH(G251,'ei names mapping'!$B$3:$BK$3,0))</f>
        <v>unit</v>
      </c>
      <c r="F251" s="12" t="s">
        <v>91</v>
      </c>
      <c r="G251" s="12" t="s">
        <v>123</v>
      </c>
      <c r="H251" s="12" t="str">
        <f>INDEX('ei names mapping'!$B$71:$BK$100,MATCH(B221,'ei names mapping'!$A$4:$A$33,0),MATCH(G251,'ei names mapping'!$B$3:$BK$3,0))</f>
        <v>maintenance, electric scooter, without battery</v>
      </c>
    </row>
    <row r="252" spans="1:8" s="21" customFormat="1" x14ac:dyDescent="0.3">
      <c r="A252" s="12" t="str">
        <f>INDEX('ei names mapping'!$B$4:$R$33,MATCH(B221,'ei names mapping'!$A$4:$A$33,0),MATCH(G252,'ei names mapping'!$B$3:$R$3,0))</f>
        <v>road construction</v>
      </c>
      <c r="B252" s="16">
        <f>INDEX('vehicles specifications'!$B$3:$CK$86,MATCH(B224,'vehicles specifications'!$A$3:$A$86,0),MATCH(G252,'vehicles specifications'!$B$2:$CK$2,0))*INDEX('ei names mapping'!$B$137:$BK$220,MATCH(B224,'ei names mapping'!$A$137:$A$220,0),MATCH(G252,'ei names mapping'!$B$136:$BK$136,0))</f>
        <v>1.3144148999999998E-4</v>
      </c>
      <c r="C252" s="12" t="str">
        <f>INDEX('ei names mapping'!$B$38:$R$67,MATCH(B221,'ei names mapping'!$A$4:$A$33,0),MATCH(G252,'ei names mapping'!$B$3:$R$3,0))</f>
        <v>CH</v>
      </c>
      <c r="D252" s="12" t="str">
        <f>INDEX('ei names mapping'!$B$104:$R$133,MATCH(B221,'ei names mapping'!$A$104:$A$133,0),MATCH(G252,'ei names mapping'!$B$3:$R$3,0))</f>
        <v>meter-year</v>
      </c>
      <c r="E252" s="12"/>
      <c r="F252" s="12" t="s">
        <v>91</v>
      </c>
      <c r="G252" s="21" t="s">
        <v>108</v>
      </c>
      <c r="H252" s="12" t="str">
        <f>INDEX('ei names mapping'!$B$71:$R$100,MATCH(B221,'ei names mapping'!$A$4:$A$33,0),MATCH(G252,'ei names mapping'!$B$3:$R$3,0))</f>
        <v>road</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-7.3669999999999991E-6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-4.1749999999999998E-6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Motorbike, electric, 11-35kW, 2040</v>
      </c>
    </row>
    <row r="258" spans="1:2" x14ac:dyDescent="0.3">
      <c r="A258" t="s">
        <v>73</v>
      </c>
      <c r="B258" t="s">
        <v>37</v>
      </c>
    </row>
    <row r="259" spans="1:2" x14ac:dyDescent="0.3">
      <c r="A259" t="s">
        <v>87</v>
      </c>
      <c r="B259" t="s">
        <v>522</v>
      </c>
    </row>
    <row r="260" spans="1:2" x14ac:dyDescent="0.3">
      <c r="A260" t="s">
        <v>88</v>
      </c>
      <c r="B260" s="12"/>
    </row>
    <row r="261" spans="1:2" x14ac:dyDescent="0.3">
      <c r="A261" t="s">
        <v>89</v>
      </c>
      <c r="B261" s="12">
        <v>2040</v>
      </c>
    </row>
    <row r="262" spans="1:2" x14ac:dyDescent="0.3">
      <c r="A262" t="s">
        <v>131</v>
      </c>
      <c r="B262" s="12" t="str">
        <f>B259&amp;" - "&amp;B261&amp;" - "&amp;B258</f>
        <v>Motorbike, electric, 11-35kW - 2040 - CH</v>
      </c>
    </row>
    <row r="263" spans="1:2" x14ac:dyDescent="0.3">
      <c r="A263" t="s">
        <v>74</v>
      </c>
      <c r="B263" s="12" t="str">
        <f>"transport, "&amp;B259</f>
        <v>transport, Motorbike, electric, 11-35kW</v>
      </c>
    </row>
    <row r="264" spans="1:2" x14ac:dyDescent="0.3">
      <c r="A264" t="s">
        <v>75</v>
      </c>
      <c r="B264" t="s">
        <v>76</v>
      </c>
    </row>
    <row r="265" spans="1:2" x14ac:dyDescent="0.3">
      <c r="A265" t="s">
        <v>77</v>
      </c>
      <c r="B265" t="s">
        <v>172</v>
      </c>
    </row>
    <row r="266" spans="1:2" x14ac:dyDescent="0.3">
      <c r="A266" t="s">
        <v>79</v>
      </c>
      <c r="B266" t="s">
        <v>90</v>
      </c>
    </row>
    <row r="267" spans="1:2" x14ac:dyDescent="0.3">
      <c r="A267" t="s">
        <v>132</v>
      </c>
      <c r="B267">
        <f>INDEX('vehicles specifications'!$B$3:$CK$86,MATCH(B262,'vehicles specifications'!$A$3:$A$86,0),MATCH("Lifetime [km]",'vehicles specifications'!$B$2:$CK$2,0))</f>
        <v>62100</v>
      </c>
    </row>
    <row r="268" spans="1:2" x14ac:dyDescent="0.3">
      <c r="A268" t="s">
        <v>133</v>
      </c>
      <c r="B268">
        <f>INDEX('vehicles specifications'!$B$3:$CK$86,MATCH(B262,'vehicles specifications'!$A$3:$A$86,0),MATCH("Passengers [unit]",'vehicles specifications'!$B$2:$CK$2,0))</f>
        <v>1.1000000000000001</v>
      </c>
    </row>
    <row r="269" spans="1:2" x14ac:dyDescent="0.3">
      <c r="A269" t="s">
        <v>134</v>
      </c>
      <c r="B269">
        <f>INDEX('vehicles specifications'!$B$3:$CK$86,MATCH(B262,'vehicles specifications'!$A$3:$A$86,0),MATCH("Servicing [unit]",'vehicles specifications'!$B$2:$CK$2,0))</f>
        <v>1.242</v>
      </c>
    </row>
    <row r="270" spans="1:2" x14ac:dyDescent="0.3">
      <c r="A270" t="s">
        <v>135</v>
      </c>
      <c r="B270">
        <f>INDEX('vehicles specifications'!$B$3:$CK$86,MATCH(B262,'vehicles specifications'!$A$3:$A$86,0),MATCH("Energy battery replacement [unit]",'vehicles specifications'!$B$2:$CK$2,0))</f>
        <v>0.25</v>
      </c>
    </row>
    <row r="271" spans="1:2" x14ac:dyDescent="0.3">
      <c r="A271" t="s">
        <v>136</v>
      </c>
      <c r="B271">
        <f>INDEX('vehicles specifications'!$B$3:$CK$86,MATCH(B262,'vehicles specifications'!$A$3:$A$86,0),MATCH("Annual kilometers [km]",'vehicles specifications'!$B$2:$CK$2,0))</f>
        <v>4690</v>
      </c>
    </row>
    <row r="272" spans="1:2" x14ac:dyDescent="0.3">
      <c r="A272" t="s">
        <v>137</v>
      </c>
      <c r="B272" s="2">
        <f>INDEX('vehicles specifications'!$B$3:$CK$86,MATCH(B262,'vehicles specifications'!$A$3:$A$86,0),MATCH("Curb mass [kg]",'vehicles specifications'!$B$2:$CK$2,0))</f>
        <v>162.35</v>
      </c>
    </row>
    <row r="273" spans="1:8" x14ac:dyDescent="0.3">
      <c r="A273" t="s">
        <v>138</v>
      </c>
      <c r="B273">
        <f>INDEX('vehicles specifications'!$B$3:$CK$86,MATCH(B262,'vehicles specifications'!$A$3:$A$86,0),MATCH("Power [kW]",'vehicles specifications'!$B$2:$CK$2,0))</f>
        <v>14</v>
      </c>
    </row>
    <row r="274" spans="1:8" x14ac:dyDescent="0.3">
      <c r="A274" t="s">
        <v>139</v>
      </c>
      <c r="B274">
        <f>INDEX('vehicles specifications'!$B$3:$CK$86,MATCH(B262,'vehicles specifications'!$A$3:$A$86,0),MATCH("Energy battery mass [kg]",'vehicles specifications'!$B$2:$CK$2,0))</f>
        <v>53.4</v>
      </c>
    </row>
    <row r="275" spans="1:8" x14ac:dyDescent="0.3">
      <c r="A275" t="s">
        <v>140</v>
      </c>
      <c r="B275" s="21">
        <f>INDEX('vehicles specifications'!$B$3:$CK$86,MATCH(B262,'vehicles specifications'!$A$3:$A$86,0),MATCH("Electric energy stored [kWh]",'vehicles specifications'!$B$2:$CK$2,0))</f>
        <v>17.8</v>
      </c>
    </row>
    <row r="276" spans="1:8" s="21" customFormat="1" x14ac:dyDescent="0.3">
      <c r="A276" s="21" t="s">
        <v>654</v>
      </c>
      <c r="B276" s="21">
        <f>INDEX('vehicles specifications'!$B$3:$CK$86,MATCH(B262,'vehicles specifications'!$A$3:$A$86,0),MATCH("Electric energy available [kWh]",'vehicles specifications'!$B$2:$CK$2,0))</f>
        <v>14.240000000000002</v>
      </c>
    </row>
    <row r="277" spans="1:8" x14ac:dyDescent="0.3">
      <c r="A277" t="s">
        <v>143</v>
      </c>
      <c r="B277" s="2">
        <f>INDEX('vehicles specifications'!$B$3:$CK$86,MATCH(B262,'vehicles specifications'!$A$3:$A$86,0),MATCH("Oxydation energy stored [kWh]",'vehicles specifications'!$B$2:$CK$2,0))</f>
        <v>0</v>
      </c>
    </row>
    <row r="278" spans="1:8" x14ac:dyDescent="0.3">
      <c r="A278" t="s">
        <v>145</v>
      </c>
      <c r="B278">
        <f>INDEX('vehicles specifications'!$B$3:$CK$86,MATCH(B262,'vehicles specifications'!$A$3:$A$86,0),MATCH("Fuel mass [kg]",'vehicles specifications'!$B$2:$CK$2,0))</f>
        <v>0</v>
      </c>
    </row>
    <row r="279" spans="1:8" x14ac:dyDescent="0.3">
      <c r="A279" t="s">
        <v>141</v>
      </c>
      <c r="B279" s="2">
        <f>INDEX('vehicles specifications'!$B$3:$CK$86,MATCH(B262,'vehicles specifications'!$A$3:$A$86,0),MATCH("Range [km]",'vehicles specifications'!$B$2:$CK$2,0))</f>
        <v>208.08927648351653</v>
      </c>
    </row>
    <row r="280" spans="1:8" x14ac:dyDescent="0.3">
      <c r="A280" t="s">
        <v>142</v>
      </c>
      <c r="B280" t="str">
        <f>INDEX('vehicles specifications'!$B$3:$CK$86,MATCH(B262,'vehicles specifications'!$A$3:$A$86,0),MATCH("Emission standard",'vehicles specifications'!$B$2:$CK$2,0))</f>
        <v>None</v>
      </c>
    </row>
    <row r="281" spans="1:8" x14ac:dyDescent="0.3">
      <c r="A281" t="s">
        <v>144</v>
      </c>
      <c r="B281" s="6">
        <f>INDEX('vehicles specifications'!$B$3:$CK$86,MATCH(B262,'vehicles specifications'!$A$3:$A$86,0),MATCH("Lightweighting rate [%]",'vehicles specifications'!$B$2:$CK$2,0))</f>
        <v>0.05</v>
      </c>
    </row>
    <row r="282" spans="1:8" x14ac:dyDescent="0.3">
      <c r="A282"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"&amp;'lci-kick scooter'!B225</f>
        <v>Power: 14 kW. Lifetime: 62100 km. Annual kilometers: 4690 km. Number of passengers: 1.1. Curb mass: 162.4 kg. Lightweighting of glider: 5%. Emission standard: None. Service visits throughout lifetime: 1.2. Range: 208 km. Battery capacity: 17.8 kWh. Available battery capacity: 14.24 kWh. Battery mass: 53.4 kg. Battery replacement throughout lifetime: 0.3. Fuel tank capacity: 0 kWh. Fuel mass: 0 kg. Documentation: 2021 UVEK life-cycle inventories update of on-road vehicles, Sacchi R. (PSI), Bauer C. (PSI), 2021. 0</v>
      </c>
    </row>
    <row r="283" spans="1:8" ht="15.6" x14ac:dyDescent="0.3">
      <c r="A283" s="11" t="s">
        <v>80</v>
      </c>
    </row>
    <row r="284" spans="1:8" x14ac:dyDescent="0.3">
      <c r="A284" t="s">
        <v>81</v>
      </c>
      <c r="B284" t="s">
        <v>82</v>
      </c>
      <c r="C284" t="s">
        <v>73</v>
      </c>
      <c r="D284" t="s">
        <v>77</v>
      </c>
      <c r="E284" t="s">
        <v>83</v>
      </c>
      <c r="F284" t="s">
        <v>75</v>
      </c>
      <c r="G284" t="s">
        <v>84</v>
      </c>
      <c r="H284" t="s">
        <v>74</v>
      </c>
    </row>
    <row r="285" spans="1:8" x14ac:dyDescent="0.3">
      <c r="A285" s="12" t="str">
        <f>B257</f>
        <v>transport, Motorbike, electric, 11-35kW, 2040</v>
      </c>
      <c r="B285" s="12">
        <v>1</v>
      </c>
      <c r="C285" s="12" t="str">
        <f>B258</f>
        <v>CH</v>
      </c>
      <c r="D285" s="12" t="s">
        <v>172</v>
      </c>
      <c r="E285" s="12"/>
      <c r="F285" s="12" t="s">
        <v>85</v>
      </c>
      <c r="G285" s="12" t="s">
        <v>86</v>
      </c>
      <c r="H285" s="12" t="str">
        <f>B263</f>
        <v>transport, Motorbike, electric, 11-35kW</v>
      </c>
    </row>
    <row r="286" spans="1:8" x14ac:dyDescent="0.3">
      <c r="A286" s="12" t="str">
        <f>RIGHT(A285,LEN(A285)-11)</f>
        <v>Motorbike, electric, 11-35kW, 2040</v>
      </c>
      <c r="B286" s="12">
        <f>1/B267</f>
        <v>1.6103059581320449E-5</v>
      </c>
      <c r="C286" s="12" t="str">
        <f>B258</f>
        <v>CH</v>
      </c>
      <c r="D286" s="12" t="s">
        <v>77</v>
      </c>
      <c r="E286" s="12"/>
      <c r="F286" s="12" t="s">
        <v>91</v>
      </c>
      <c r="G286" s="12"/>
      <c r="H286" s="12" t="str">
        <f>RIGHT(H285,LEN(H285)-11)</f>
        <v>Motorbike, electric, 11-35kW</v>
      </c>
    </row>
    <row r="287" spans="1:8" x14ac:dyDescent="0.3">
      <c r="A287" s="12" t="str">
        <f>INDEX('ei names mapping'!$B$4:$R$33,MATCH(B259,'ei names mapping'!$A$4:$A$33,0),MATCH(G287,'ei names mapping'!$B$3:$R$3,0))</f>
        <v>road maintenance</v>
      </c>
      <c r="B287" s="16">
        <f>INDEX('vehicles specifications'!$B$3:$CK$86,MATCH(B262,'vehicles specifications'!$A$3:$A$86,0),MATCH(G287,'vehicles specifications'!$B$2:$CK$2,0))*INDEX('ei names mapping'!$B$137:$BK$220,MATCH(B262,'ei names mapping'!$A$137:$A$220,0),MATCH(G287,'ei names mapping'!$B$136:$BK$136,0))</f>
        <v>1.2899999999999999E-3</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t="s">
        <v>117</v>
      </c>
      <c r="H287" s="12" t="str">
        <f>INDEX('ei names mapping'!$B$71:$BK$100,MATCH(B259,'ei names mapping'!$A$4:$A$33,0),MATCH(G287,'ei names mapping'!$B$3:$BK$3,0))</f>
        <v>road maintenance</v>
      </c>
    </row>
    <row r="288" spans="1:8" x14ac:dyDescent="0.3">
      <c r="A288" s="12" t="str">
        <f>INDEX('ei names mapping'!$B$4:$R$33,MATCH(B259,'ei names mapping'!$A$4:$A$33,0),MATCH(G288,'ei names mapping'!$B$3:$R$3,0))</f>
        <v>market for electricity, low voltage</v>
      </c>
      <c r="B288" s="14">
        <f>INDEX('vehicles specifications'!$B$3:$CK$86,MATCH(B262,'vehicles specifications'!$A$3:$A$86,0),MATCH(G288,'vehicles specifications'!$B$2:$CK$2,0))*INDEX('ei names mapping'!$B$137:$BK$220,MATCH(B262,'ei names mapping'!$A$137:$A$220,0),MATCH(G288,'ei names mapping'!$B$136:$BK$136,0))</f>
        <v>7.5275383069731625E-2</v>
      </c>
      <c r="C288" s="12" t="str">
        <f>INDEX('ei names mapping'!$B$38:$R$67,MATCH($B$3,'ei names mapping'!$A$4:$A$33,0),MATCH(G288,'ei names mapping'!$B$3:$R$3,0))</f>
        <v>CH</v>
      </c>
      <c r="D288" s="12" t="str">
        <f>INDEX('ei names mapping'!$B$104:$R$133,MATCH($B$3,'ei names mapping'!$A$4:$A$33,0),MATCH(G288,'ei names mapping'!$B$3:$R$3,0))</f>
        <v>kilowatt hour</v>
      </c>
      <c r="E288" s="12"/>
      <c r="F288" s="12" t="s">
        <v>91</v>
      </c>
      <c r="G288" t="s">
        <v>28</v>
      </c>
      <c r="H288" s="12" t="str">
        <f>INDEX('ei names mapping'!$B$71:$R$100,MATCH(B259,'ei names mapping'!$A$4:$A$33,0),MATCH(G288,'ei names mapping'!$B$3:$R$3,0))</f>
        <v>electricity, low voltage</v>
      </c>
    </row>
    <row r="289" spans="1:8" x14ac:dyDescent="0.3">
      <c r="A289" s="12" t="str">
        <f>INDEX('ei names mapping'!$B$4:$R$33,MATCH(B259,'ei names mapping'!$A$4:$A$33,0),MATCH(G289,'ei names mapping'!$B$3:$R$3,0))</f>
        <v>market for maintenance, electric scooter, without battery</v>
      </c>
      <c r="B289" s="16">
        <f>INDEX('vehicles specifications'!$B$3:$CK$86,MATCH(B262,'vehicles specifications'!$A$3:$A$86,0),MATCH(G289,'vehicles specifications'!$B$2:$CK$2,0))*INDEX('ei names mapping'!$B$137:$BK$220,MATCH(B262,'ei names mapping'!$A$137:$A$220,0),MATCH(G289,'ei names mapping'!$B$136:$BK$136,0))</f>
        <v>1.9999999999999998E-5</v>
      </c>
      <c r="C289" s="12" t="str">
        <f>INDEX('ei names mapping'!$B$38:$BK$67,MATCH(B259,'ei names mapping'!$A$4:$A$33,0),MATCH(G289,'ei names mapping'!$B$3:$BK$3,0))</f>
        <v>GLO</v>
      </c>
      <c r="D289" s="12" t="str">
        <f>INDEX('ei names mapping'!$B$104:$BK$133,MATCH(B259,'ei names mapping'!$A$4:$A$33,0),MATCH(G289,'ei names mapping'!$B$3:$BK$3,0))</f>
        <v>unit</v>
      </c>
      <c r="F289" s="12" t="s">
        <v>91</v>
      </c>
      <c r="G289" s="12" t="s">
        <v>123</v>
      </c>
      <c r="H289" s="12" t="str">
        <f>INDEX('ei names mapping'!$B$71:$BK$100,MATCH(B259,'ei names mapping'!$A$4:$A$33,0),MATCH(G289,'ei names mapping'!$B$3:$BK$3,0))</f>
        <v>maintenance, electric scooter, without battery</v>
      </c>
    </row>
    <row r="290" spans="1:8" s="21" customFormat="1" x14ac:dyDescent="0.3">
      <c r="A290" s="12" t="str">
        <f>INDEX('ei names mapping'!$B$4:$R$33,MATCH(B259,'ei names mapping'!$A$4:$A$33,0),MATCH(G290,'ei names mapping'!$B$3:$R$3,0))</f>
        <v>road construction</v>
      </c>
      <c r="B290" s="16">
        <f>INDEX('vehicles specifications'!$B$3:$CK$86,MATCH(B262,'vehicles specifications'!$A$3:$A$86,0),MATCH(G290,'vehicles specifications'!$B$2:$CK$2,0))*INDEX('ei names mapping'!$B$137:$BK$220,MATCH(B262,'ei names mapping'!$A$137:$A$220,0),MATCH(G290,'ei names mapping'!$B$136:$BK$136,0))</f>
        <v>1.3175295000000001E-4</v>
      </c>
      <c r="C290" s="12" t="str">
        <f>INDEX('ei names mapping'!$B$38:$R$67,MATCH(B259,'ei names mapping'!$A$4:$A$33,0),MATCH(G290,'ei names mapping'!$B$3:$R$3,0))</f>
        <v>CH</v>
      </c>
      <c r="D290" s="12" t="str">
        <f>INDEX('ei names mapping'!$B$104:$R$133,MATCH(B259,'ei names mapping'!$A$104:$A$133,0),MATCH(G290,'ei names mapping'!$B$3:$R$3,0))</f>
        <v>meter-year</v>
      </c>
      <c r="E290" s="12"/>
      <c r="F290" s="12" t="s">
        <v>91</v>
      </c>
      <c r="G290" s="21" t="s">
        <v>108</v>
      </c>
      <c r="H290" s="12" t="str">
        <f>INDEX('ei names mapping'!$B$71:$R$100,MATCH(B259,'ei names mapping'!$A$4:$A$33,0),MATCH(G290,'ei names mapping'!$B$3:$R$3,0))</f>
        <v>road</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-7.3669999999999991E-6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-4.1749999999999998E-6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Motorbike, electric, 11-35kW, 2050</v>
      </c>
    </row>
    <row r="296" spans="1:8" x14ac:dyDescent="0.3">
      <c r="A296" t="s">
        <v>73</v>
      </c>
      <c r="B296" t="s">
        <v>37</v>
      </c>
    </row>
    <row r="297" spans="1:8" x14ac:dyDescent="0.3">
      <c r="A297" t="s">
        <v>87</v>
      </c>
      <c r="B297" t="s">
        <v>522</v>
      </c>
    </row>
    <row r="298" spans="1:8" x14ac:dyDescent="0.3">
      <c r="A298" t="s">
        <v>88</v>
      </c>
      <c r="B298" s="12"/>
    </row>
    <row r="299" spans="1:8" x14ac:dyDescent="0.3">
      <c r="A299" t="s">
        <v>89</v>
      </c>
      <c r="B299" s="12">
        <v>2050</v>
      </c>
    </row>
    <row r="300" spans="1:8" x14ac:dyDescent="0.3">
      <c r="A300" t="s">
        <v>131</v>
      </c>
      <c r="B300" s="12" t="str">
        <f>B297&amp;" - "&amp;B299&amp;" - "&amp;B296</f>
        <v>Motorbike, electric, 11-35kW - 2050 - CH</v>
      </c>
    </row>
    <row r="301" spans="1:8" x14ac:dyDescent="0.3">
      <c r="A301" t="s">
        <v>74</v>
      </c>
      <c r="B301" s="12" t="str">
        <f>"transport, "&amp;B297</f>
        <v>transport, Motorbike, electric, 11-35kW</v>
      </c>
    </row>
    <row r="302" spans="1:8" x14ac:dyDescent="0.3">
      <c r="A302" t="s">
        <v>75</v>
      </c>
      <c r="B302" t="s">
        <v>76</v>
      </c>
    </row>
    <row r="303" spans="1:8" x14ac:dyDescent="0.3">
      <c r="A303" t="s">
        <v>77</v>
      </c>
      <c r="B303" t="s">
        <v>172</v>
      </c>
    </row>
    <row r="304" spans="1:8" x14ac:dyDescent="0.3">
      <c r="A304" t="s">
        <v>79</v>
      </c>
      <c r="B304" t="s">
        <v>90</v>
      </c>
    </row>
    <row r="305" spans="1:2" x14ac:dyDescent="0.3">
      <c r="A305" t="s">
        <v>132</v>
      </c>
      <c r="B305">
        <f>INDEX('vehicles specifications'!$B$3:$CK$86,MATCH(B300,'vehicles specifications'!$A$3:$A$86,0),MATCH("Lifetime [km]",'vehicles specifications'!$B$2:$CK$2,0))</f>
        <v>62100</v>
      </c>
    </row>
    <row r="306" spans="1:2" x14ac:dyDescent="0.3">
      <c r="A306" t="s">
        <v>133</v>
      </c>
      <c r="B306">
        <f>INDEX('vehicles specifications'!$B$3:$CK$86,MATCH(B300,'vehicles specifications'!$A$3:$A$86,0),MATCH("Passengers [unit]",'vehicles specifications'!$B$2:$CK$2,0))</f>
        <v>1.1000000000000001</v>
      </c>
    </row>
    <row r="307" spans="1:2" x14ac:dyDescent="0.3">
      <c r="A307" t="s">
        <v>134</v>
      </c>
      <c r="B307">
        <f>INDEX('vehicles specifications'!$B$3:$CK$86,MATCH(B300,'vehicles specifications'!$A$3:$A$86,0),MATCH("Servicing [unit]",'vehicles specifications'!$B$2:$CK$2,0))</f>
        <v>1.242</v>
      </c>
    </row>
    <row r="308" spans="1:2" x14ac:dyDescent="0.3">
      <c r="A308" t="s">
        <v>135</v>
      </c>
      <c r="B308">
        <f>INDEX('vehicles specifications'!$B$3:$CK$86,MATCH(B300,'vehicles specifications'!$A$3:$A$86,0),MATCH("Energy battery replacement [unit]",'vehicles specifications'!$B$2:$CK$2,0))</f>
        <v>0</v>
      </c>
    </row>
    <row r="309" spans="1:2" x14ac:dyDescent="0.3">
      <c r="A309" t="s">
        <v>136</v>
      </c>
      <c r="B309">
        <f>INDEX('vehicles specifications'!$B$3:$CK$86,MATCH(B300,'vehicles specifications'!$A$3:$A$86,0),MATCH("Annual kilometers [km]",'vehicles specifications'!$B$2:$CK$2,0))</f>
        <v>4690</v>
      </c>
    </row>
    <row r="310" spans="1:2" x14ac:dyDescent="0.3">
      <c r="A310" t="s">
        <v>137</v>
      </c>
      <c r="B310" s="2">
        <f>INDEX('vehicles specifications'!$B$3:$CK$86,MATCH(B300,'vehicles specifications'!$A$3:$A$86,0),MATCH("Curb mass [kg]",'vehicles specifications'!$B$2:$CK$2,0))</f>
        <v>162.05000000000001</v>
      </c>
    </row>
    <row r="311" spans="1:2" x14ac:dyDescent="0.3">
      <c r="A311" t="s">
        <v>138</v>
      </c>
      <c r="B311">
        <f>INDEX('vehicles specifications'!$B$3:$CK$86,MATCH(B300,'vehicles specifications'!$A$3:$A$86,0),MATCH("Power [kW]",'vehicles specifications'!$B$2:$CK$2,0))</f>
        <v>14</v>
      </c>
    </row>
    <row r="312" spans="1:2" x14ac:dyDescent="0.3">
      <c r="A312" t="s">
        <v>139</v>
      </c>
      <c r="B312">
        <f>INDEX('vehicles specifications'!$B$3:$CK$86,MATCH(B300,'vehicles specifications'!$A$3:$A$86,0),MATCH("Energy battery mass [kg]",'vehicles specifications'!$B$2:$CK$2,0))</f>
        <v>54.72</v>
      </c>
    </row>
    <row r="313" spans="1:2" x14ac:dyDescent="0.3">
      <c r="A313" t="s">
        <v>140</v>
      </c>
      <c r="B313" s="21">
        <f>INDEX('vehicles specifications'!$B$3:$CK$86,MATCH(B300,'vehicles specifications'!$A$3:$A$86,0),MATCH("Electric energy stored [kWh]",'vehicles specifications'!$B$2:$CK$2,0))</f>
        <v>22.8</v>
      </c>
    </row>
    <row r="314" spans="1:2" s="21" customFormat="1" x14ac:dyDescent="0.3">
      <c r="A314" s="21" t="s">
        <v>654</v>
      </c>
      <c r="B314" s="21">
        <f>INDEX('vehicles specifications'!$B$3:$CK$86,MATCH(B300,'vehicles specifications'!$A$3:$A$86,0),MATCH("Electric energy available [kWh]",'vehicles specifications'!$B$2:$CK$2,0))</f>
        <v>18.240000000000002</v>
      </c>
    </row>
    <row r="315" spans="1:2" x14ac:dyDescent="0.3">
      <c r="A315" t="s">
        <v>143</v>
      </c>
      <c r="B315" s="2">
        <f>INDEX('vehicles specifications'!$B$3:$CK$86,MATCH(B300,'vehicles specifications'!$A$3:$A$86,0),MATCH("Oxydation energy stored [kWh]",'vehicles specifications'!$B$2:$CK$2,0))</f>
        <v>0</v>
      </c>
    </row>
    <row r="316" spans="1:2" x14ac:dyDescent="0.3">
      <c r="A316" t="s">
        <v>145</v>
      </c>
      <c r="B316">
        <f>INDEX('vehicles specifications'!$B$3:$CK$86,MATCH(B300,'vehicles specifications'!$A$3:$A$86,0),MATCH("Fuel mass [kg]",'vehicles specifications'!$B$2:$CK$2,0))</f>
        <v>0</v>
      </c>
    </row>
    <row r="317" spans="1:2" x14ac:dyDescent="0.3">
      <c r="A317" t="s">
        <v>141</v>
      </c>
      <c r="B317" s="2">
        <f>INDEX('vehicles specifications'!$B$3:$CK$86,MATCH(B300,'vehicles specifications'!$A$3:$A$86,0),MATCH("Range [km]",'vehicles specifications'!$B$2:$CK$2,0))</f>
        <v>266.54132043956048</v>
      </c>
    </row>
    <row r="318" spans="1:2" x14ac:dyDescent="0.3">
      <c r="A318" t="s">
        <v>142</v>
      </c>
      <c r="B318" t="str">
        <f>INDEX('vehicles specifications'!$B$3:$CK$86,MATCH(B300,'vehicles specifications'!$A$3:$A$86,0),MATCH("Emission standard",'vehicles specifications'!$B$2:$CK$2,0))</f>
        <v>None</v>
      </c>
    </row>
    <row r="319" spans="1:2" x14ac:dyDescent="0.3">
      <c r="A319" t="s">
        <v>144</v>
      </c>
      <c r="B319" s="6">
        <f>INDEX('vehicles specifications'!$B$3:$CK$86,MATCH(B300,'vehicles specifications'!$A$3:$A$86,0),MATCH("Lightweighting rate [%]",'vehicles specifications'!$B$2:$CK$2,0))</f>
        <v>7.0000000000000007E-2</v>
      </c>
    </row>
    <row r="320" spans="1:2" x14ac:dyDescent="0.3">
      <c r="A320"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"&amp;'lci-kick scooter'!B263</f>
        <v>Power: 14 kW. Lifetime: 62100 km. Annual kilometers: 4690 km. Number of passengers: 1.1. Curb mass: 162.1 kg. Lightweighting of glider: 7%. Emission standard: None. Service visits throughout lifetime: 1.2. Range: 267 km. Battery capacity: 22.8 kWh. Available battery capacity: 18.24 kWh. Battery mass: 54.7 kg. Battery replacement throughout lifetime: 0. Fuel tank capacity: 0 kWh. Fuel mass: 0 kg. Documentation: 2021 UVEK life-cycle inventories update of on-road vehicles, Sacchi R. (PSI), Bauer C. (PSI), 2021. 890</v>
      </c>
    </row>
    <row r="321" spans="1:8" ht="15.6" x14ac:dyDescent="0.3">
      <c r="A321" s="11" t="s">
        <v>80</v>
      </c>
    </row>
    <row r="322" spans="1:8" x14ac:dyDescent="0.3">
      <c r="A322" t="s">
        <v>81</v>
      </c>
      <c r="B322" t="s">
        <v>82</v>
      </c>
      <c r="C322" t="s">
        <v>73</v>
      </c>
      <c r="D322" t="s">
        <v>77</v>
      </c>
      <c r="E322" t="s">
        <v>83</v>
      </c>
      <c r="F322" t="s">
        <v>75</v>
      </c>
      <c r="G322" t="s">
        <v>84</v>
      </c>
      <c r="H322" t="s">
        <v>74</v>
      </c>
    </row>
    <row r="323" spans="1:8" x14ac:dyDescent="0.3">
      <c r="A323" s="12" t="str">
        <f>B295</f>
        <v>transport, Motorbike, electric, 11-35kW, 2050</v>
      </c>
      <c r="B323" s="12">
        <v>1</v>
      </c>
      <c r="C323" s="12" t="str">
        <f>B296</f>
        <v>CH</v>
      </c>
      <c r="D323" s="12" t="s">
        <v>172</v>
      </c>
      <c r="E323" s="12"/>
      <c r="F323" s="12" t="s">
        <v>85</v>
      </c>
      <c r="G323" s="12" t="s">
        <v>86</v>
      </c>
      <c r="H323" s="12" t="str">
        <f>B301</f>
        <v>transport, Motorbike, electric, 11-35kW</v>
      </c>
    </row>
    <row r="324" spans="1:8" x14ac:dyDescent="0.3">
      <c r="A324" s="12" t="str">
        <f>RIGHT(A323,LEN(A323)-11)</f>
        <v>Motorbike, electric, 11-35kW, 2050</v>
      </c>
      <c r="B324" s="12">
        <f>1/B305</f>
        <v>1.6103059581320449E-5</v>
      </c>
      <c r="C324" s="12" t="str">
        <f>B296</f>
        <v>CH</v>
      </c>
      <c r="D324" s="12" t="s">
        <v>77</v>
      </c>
      <c r="E324" s="12"/>
      <c r="F324" s="12" t="s">
        <v>91</v>
      </c>
      <c r="G324" s="12"/>
      <c r="H324" s="12" t="str">
        <f>RIGHT(H323,LEN(H323)-11)</f>
        <v>Motorbike, electric, 11-35kW</v>
      </c>
    </row>
    <row r="325" spans="1:8" x14ac:dyDescent="0.3">
      <c r="A325" s="12" t="str">
        <f>INDEX('ei names mapping'!$B$4:$R$33,MATCH(B297,'ei names mapping'!$A$4:$A$33,0),MATCH(G325,'ei names mapping'!$B$3:$R$3,0))</f>
        <v>road maintenance</v>
      </c>
      <c r="B325" s="16">
        <f>INDEX('vehicles specifications'!$B$3:$CK$86,MATCH(B300,'vehicles specifications'!$A$3:$A$86,0),MATCH(G325,'vehicles specifications'!$B$2:$CK$2,0))*INDEX('ei names mapping'!$B$137:$BK$220,MATCH(B300,'ei names mapping'!$A$137:$A$220,0),MATCH(G325,'ei names mapping'!$B$136:$BK$136,0))</f>
        <v>1.2899999999999999E-3</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t="s">
        <v>117</v>
      </c>
      <c r="H325" s="12" t="str">
        <f>INDEX('ei names mapping'!$B$71:$BK$100,MATCH(B297,'ei names mapping'!$A$4:$A$33,0),MATCH(G325,'ei names mapping'!$B$3:$BK$3,0))</f>
        <v>road maintenance</v>
      </c>
    </row>
    <row r="326" spans="1:8" x14ac:dyDescent="0.3">
      <c r="A326" s="12" t="str">
        <f>INDEX('ei names mapping'!$B$4:$R$33,MATCH(B297,'ei names mapping'!$A$4:$A$33,0),MATCH(G326,'ei names mapping'!$B$3:$R$3,0))</f>
        <v>market for electricity, low voltage</v>
      </c>
      <c r="B326" s="14">
        <f>INDEX('vehicles specifications'!$B$3:$CK$86,MATCH(B300,'vehicles specifications'!$A$3:$A$86,0),MATCH(G326,'vehicles specifications'!$B$2:$CK$2,0))*INDEX('ei names mapping'!$B$137:$BK$220,MATCH(B300,'ei names mapping'!$A$137:$A$220,0),MATCH(G326,'ei names mapping'!$B$136:$BK$136,0))</f>
        <v>7.5275383069731625E-2</v>
      </c>
      <c r="C326" s="12" t="str">
        <f>INDEX('ei names mapping'!$B$38:$R$67,MATCH($B$3,'ei names mapping'!$A$4:$A$33,0),MATCH(G326,'ei names mapping'!$B$3:$R$3,0))</f>
        <v>CH</v>
      </c>
      <c r="D326" s="12" t="str">
        <f>INDEX('ei names mapping'!$B$104:$R$133,MATCH($B$3,'ei names mapping'!$A$4:$A$33,0),MATCH(G326,'ei names mapping'!$B$3:$R$3,0))</f>
        <v>kilowatt hour</v>
      </c>
      <c r="E326" s="12"/>
      <c r="F326" s="12" t="s">
        <v>91</v>
      </c>
      <c r="G326" t="s">
        <v>28</v>
      </c>
      <c r="H326" s="12" t="str">
        <f>INDEX('ei names mapping'!$B$71:$R$100,MATCH(B297,'ei names mapping'!$A$4:$A$33,0),MATCH(G326,'ei names mapping'!$B$3:$R$3,0))</f>
        <v>electricity, low voltage</v>
      </c>
    </row>
    <row r="327" spans="1:8" x14ac:dyDescent="0.3">
      <c r="A327" s="12" t="str">
        <f>INDEX('ei names mapping'!$B$4:$R$33,MATCH(B297,'ei names mapping'!$A$4:$A$33,0),MATCH(G327,'ei names mapping'!$B$3:$R$3,0))</f>
        <v>market for maintenance, electric scooter, without battery</v>
      </c>
      <c r="B327" s="16">
        <f>INDEX('vehicles specifications'!$B$3:$CK$86,MATCH(B300,'vehicles specifications'!$A$3:$A$86,0),MATCH(G327,'vehicles specifications'!$B$2:$CK$2,0))*INDEX('ei names mapping'!$B$137:$BK$220,MATCH(B300,'ei names mapping'!$A$137:$A$220,0),MATCH(G327,'ei names mapping'!$B$136:$BK$136,0))</f>
        <v>1.9999999999999998E-5</v>
      </c>
      <c r="C327" s="12" t="str">
        <f>INDEX('ei names mapping'!$B$38:$BK$67,MATCH(B297,'ei names mapping'!$A$4:$A$33,0),MATCH(G327,'ei names mapping'!$B$3:$BK$3,0))</f>
        <v>GLO</v>
      </c>
      <c r="D327" s="12" t="str">
        <f>INDEX('ei names mapping'!$B$104:$BK$133,MATCH(B297,'ei names mapping'!$A$4:$A$33,0),MATCH(G327,'ei names mapping'!$B$3:$BK$3,0))</f>
        <v>unit</v>
      </c>
      <c r="F327" s="12" t="s">
        <v>91</v>
      </c>
      <c r="G327" s="12" t="s">
        <v>123</v>
      </c>
      <c r="H327" s="12" t="str">
        <f>INDEX('ei names mapping'!$B$71:$BK$100,MATCH(B297,'ei names mapping'!$A$4:$A$33,0),MATCH(G327,'ei names mapping'!$B$3:$BK$3,0))</f>
        <v>maintenance, electric scooter, without battery</v>
      </c>
    </row>
    <row r="328" spans="1:8" s="21" customFormat="1" x14ac:dyDescent="0.3">
      <c r="A328" s="12" t="str">
        <f>INDEX('ei names mapping'!$B$4:$R$33,MATCH(B297,'ei names mapping'!$A$4:$A$33,0),MATCH(G328,'ei names mapping'!$B$3:$R$3,0))</f>
        <v>road construction</v>
      </c>
      <c r="B328" s="16">
        <f>INDEX('vehicles specifications'!$B$3:$CK$86,MATCH(B300,'vehicles specifications'!$A$3:$A$86,0),MATCH(G328,'vehicles specifications'!$B$2:$CK$2,0))*INDEX('ei names mapping'!$B$137:$BK$220,MATCH(B300,'ei names mapping'!$A$137:$A$220,0),MATCH(G328,'ei names mapping'!$B$136:$BK$136,0))</f>
        <v>1.3159185000000001E-4</v>
      </c>
      <c r="C328" s="12" t="str">
        <f>INDEX('ei names mapping'!$B$38:$R$67,MATCH(B297,'ei names mapping'!$A$4:$A$33,0),MATCH(G328,'ei names mapping'!$B$3:$R$3,0))</f>
        <v>CH</v>
      </c>
      <c r="D328" s="12" t="str">
        <f>INDEX('ei names mapping'!$B$104:$R$133,MATCH(B297,'ei names mapping'!$A$104:$A$133,0),MATCH(G328,'ei names mapping'!$B$3:$R$3,0))</f>
        <v>meter-year</v>
      </c>
      <c r="E328" s="12"/>
      <c r="F328" s="12" t="s">
        <v>91</v>
      </c>
      <c r="G328" s="21" t="s">
        <v>108</v>
      </c>
      <c r="H328" s="12" t="str">
        <f>INDEX('ei names mapping'!$B$71:$R$100,MATCH(B297,'ei names mapping'!$A$4:$A$33,0),MATCH(G328,'ei names mapping'!$B$3:$R$3,0))</f>
        <v>road</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-7.3669999999999991E-6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-4.1749999999999998E-6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t="s">
        <v>31</v>
      </c>
      <c r="H331" s="12" t="str">
        <f>INDEX('ei names mapping'!$B$71:$BK$100,MATCH(B297,'ei names mapping'!$A$4:$A$33,0),MATCH(G331,'ei names mapping'!$B$3:$BK$3,0))</f>
        <v>brake wear emissions, passenger car</v>
      </c>
    </row>
    <row r="333" spans="1:8" ht="15.6" x14ac:dyDescent="0.3">
      <c r="A333" s="11" t="s">
        <v>72</v>
      </c>
      <c r="B333" s="9" t="str">
        <f>"transport, "&amp;B335&amp;", "&amp;B337&amp;", label-certified electricity"</f>
        <v>transport, Motorbike, electric, 11-35kW, 2020, label-certified electricity</v>
      </c>
    </row>
    <row r="334" spans="1:8" x14ac:dyDescent="0.3">
      <c r="A334" t="s">
        <v>73</v>
      </c>
      <c r="B334" t="s">
        <v>37</v>
      </c>
    </row>
    <row r="335" spans="1:8" x14ac:dyDescent="0.3">
      <c r="A335" t="s">
        <v>87</v>
      </c>
      <c r="B335" t="s">
        <v>522</v>
      </c>
    </row>
    <row r="336" spans="1:8" x14ac:dyDescent="0.3">
      <c r="A336" t="s">
        <v>88</v>
      </c>
      <c r="B336" s="12"/>
    </row>
    <row r="337" spans="1:2" x14ac:dyDescent="0.3">
      <c r="A337" t="s">
        <v>89</v>
      </c>
      <c r="B337" s="12">
        <v>2020</v>
      </c>
    </row>
    <row r="338" spans="1:2" x14ac:dyDescent="0.3">
      <c r="A338" t="s">
        <v>131</v>
      </c>
      <c r="B338" s="12" t="str">
        <f>B335&amp;" - "&amp;B337&amp;" - "&amp;B334</f>
        <v>Motorbike, electric, 11-35kW - 2020 - CH</v>
      </c>
    </row>
    <row r="339" spans="1:2" x14ac:dyDescent="0.3">
      <c r="A339" t="s">
        <v>74</v>
      </c>
      <c r="B339" s="12" t="str">
        <f>"transport, "&amp;B335</f>
        <v>transport, Motorbike, electric, 11-35kW</v>
      </c>
    </row>
    <row r="340" spans="1:2" x14ac:dyDescent="0.3">
      <c r="A340" t="s">
        <v>75</v>
      </c>
      <c r="B340" t="s">
        <v>76</v>
      </c>
    </row>
    <row r="341" spans="1:2" x14ac:dyDescent="0.3">
      <c r="A341" t="s">
        <v>77</v>
      </c>
      <c r="B341" t="s">
        <v>172</v>
      </c>
    </row>
    <row r="342" spans="1:2" x14ac:dyDescent="0.3">
      <c r="A342" t="s">
        <v>79</v>
      </c>
      <c r="B342" t="s">
        <v>90</v>
      </c>
    </row>
    <row r="343" spans="1:2" x14ac:dyDescent="0.3">
      <c r="A343" t="s">
        <v>132</v>
      </c>
      <c r="B343">
        <f>INDEX('vehicles specifications'!$B$3:$CK$86,MATCH(B338,'vehicles specifications'!$A$3:$A$86,0),MATCH("Lifetime [km]",'vehicles specifications'!$B$2:$CK$2,0))</f>
        <v>62100</v>
      </c>
    </row>
    <row r="344" spans="1:2" x14ac:dyDescent="0.3">
      <c r="A344" t="s">
        <v>133</v>
      </c>
      <c r="B344">
        <f>INDEX('vehicles specifications'!$B$3:$CK$86,MATCH(B338,'vehicles specifications'!$A$3:$A$86,0),MATCH("Passengers [unit]",'vehicles specifications'!$B$2:$CK$2,0))</f>
        <v>1.1000000000000001</v>
      </c>
    </row>
    <row r="345" spans="1:2" x14ac:dyDescent="0.3">
      <c r="A345" t="s">
        <v>134</v>
      </c>
      <c r="B345">
        <f>INDEX('vehicles specifications'!$B$3:$CK$86,MATCH(B338,'vehicles specifications'!$A$3:$A$86,0),MATCH("Servicing [unit]",'vehicles specifications'!$B$2:$CK$2,0))</f>
        <v>1.242</v>
      </c>
    </row>
    <row r="346" spans="1:2" x14ac:dyDescent="0.3">
      <c r="A346" t="s">
        <v>135</v>
      </c>
      <c r="B346">
        <f>INDEX('vehicles specifications'!$B$3:$CK$86,MATCH(B338,'vehicles specifications'!$A$3:$A$86,0),MATCH("Energy battery replacement [unit]",'vehicles specifications'!$B$2:$CK$2,0))</f>
        <v>1</v>
      </c>
    </row>
    <row r="347" spans="1:2" x14ac:dyDescent="0.3">
      <c r="A347" t="s">
        <v>136</v>
      </c>
      <c r="B347">
        <f>INDEX('vehicles specifications'!$B$3:$CK$86,MATCH(B338,'vehicles specifications'!$A$3:$A$86,0),MATCH("Annual kilometers [km]",'vehicles specifications'!$B$2:$CK$2,0))</f>
        <v>4690</v>
      </c>
    </row>
    <row r="348" spans="1:2" x14ac:dyDescent="0.3">
      <c r="A348" t="s">
        <v>137</v>
      </c>
      <c r="B348" s="2">
        <f>INDEX('vehicles specifications'!$B$3:$CK$86,MATCH(B338,'vehicles specifications'!$A$3:$A$86,0),MATCH("Curb mass [kg]",'vehicles specifications'!$B$2:$CK$2,0))</f>
        <v>161.6</v>
      </c>
    </row>
    <row r="349" spans="1:2" x14ac:dyDescent="0.3">
      <c r="A349" t="s">
        <v>138</v>
      </c>
      <c r="B349">
        <f>INDEX('vehicles specifications'!$B$3:$CK$86,MATCH(B338,'vehicles specifications'!$A$3:$A$86,0),MATCH("Power [kW]",'vehicles specifications'!$B$2:$CK$2,0))</f>
        <v>14</v>
      </c>
    </row>
    <row r="350" spans="1:2" x14ac:dyDescent="0.3">
      <c r="A350" t="s">
        <v>139</v>
      </c>
      <c r="B350">
        <f>INDEX('vehicles specifications'!$B$3:$CK$86,MATCH(B338,'vehicles specifications'!$A$3:$A$86,0),MATCH("Energy battery mass [kg]",'vehicles specifications'!$B$2:$CK$2,0))</f>
        <v>48.599999999999994</v>
      </c>
    </row>
    <row r="351" spans="1:2" x14ac:dyDescent="0.3">
      <c r="A351" t="s">
        <v>140</v>
      </c>
      <c r="B351" s="21">
        <f>INDEX('vehicles specifications'!$B$3:$CK$86,MATCH(B338,'vehicles specifications'!$A$3:$A$86,0),MATCH("Electric energy stored [kWh]",'vehicles specifications'!$B$2:$CK$2,0))</f>
        <v>8.1</v>
      </c>
    </row>
    <row r="352" spans="1:2" s="21" customFormat="1" x14ac:dyDescent="0.3">
      <c r="A352" s="21" t="s">
        <v>654</v>
      </c>
      <c r="B352" s="21">
        <f>INDEX('vehicles specifications'!$B$3:$CK$86,MATCH(B338,'vehicles specifications'!$A$3:$A$86,0),MATCH("Electric energy available [kWh]",'vehicles specifications'!$B$2:$CK$2,0))</f>
        <v>6.48</v>
      </c>
    </row>
    <row r="353" spans="1:8" x14ac:dyDescent="0.3">
      <c r="A353" t="s">
        <v>143</v>
      </c>
      <c r="B353" s="2">
        <f>INDEX('vehicles specifications'!$B$3:$CK$86,MATCH(B338,'vehicles specifications'!$A$3:$A$86,0),MATCH("Oxydation energy stored [kWh]",'vehicles specifications'!$B$2:$CK$2,0))</f>
        <v>0</v>
      </c>
    </row>
    <row r="354" spans="1:8" x14ac:dyDescent="0.3">
      <c r="A354" t="s">
        <v>145</v>
      </c>
      <c r="B354">
        <f>INDEX('vehicles specifications'!$B$3:$CK$86,MATCH(B338,'vehicles specifications'!$A$3:$A$86,0),MATCH("Fuel mass [kg]",'vehicles specifications'!$B$2:$CK$2,0))</f>
        <v>0</v>
      </c>
    </row>
    <row r="355" spans="1:8" x14ac:dyDescent="0.3">
      <c r="A355" t="s">
        <v>141</v>
      </c>
      <c r="B355" s="2">
        <f>INDEX('vehicles specifications'!$B$3:$CK$86,MATCH(B338,'vehicles specifications'!$A$3:$A$86,0),MATCH("Range [km]",'vehicles specifications'!$B$2:$CK$2,0))</f>
        <v>94.692311208791224</v>
      </c>
    </row>
    <row r="356" spans="1:8" x14ac:dyDescent="0.3">
      <c r="A356" t="s">
        <v>142</v>
      </c>
      <c r="B356" t="str">
        <f>INDEX('vehicles specifications'!$B$3:$CK$86,MATCH(B338,'vehicles specifications'!$A$3:$A$86,0),MATCH("Emission standard",'vehicles specifications'!$B$2:$CK$2,0))</f>
        <v>None</v>
      </c>
    </row>
    <row r="357" spans="1:8" x14ac:dyDescent="0.3">
      <c r="A357" t="s">
        <v>144</v>
      </c>
      <c r="B357" s="6">
        <f>INDEX('vehicles specifications'!$B$3:$CK$86,MATCH(B338,'vehicles specifications'!$A$3:$A$86,0),MATCH("Lightweighting rate [%]",'vehicles specifications'!$B$2:$CK$2,0))</f>
        <v>0</v>
      </c>
    </row>
    <row r="358" spans="1:8" x14ac:dyDescent="0.3">
      <c r="A358" t="s">
        <v>84</v>
      </c>
      <c r="B358" s="21" t="str">
        <f>"Power: "&amp;B349&amp;" kW. Lifetime: "&amp;B343&amp;" km. Annual kilometers: "&amp;B347&amp;" km. Number of passengers: "&amp;B344&amp;". Curb mass: "&amp;ROUND(B348,1)&amp;" kg. Lightweighting of glider: "&amp;ROUND(B357*100,0)&amp;"%. Emission standard: "&amp;B356&amp;". Service visits throughout lifetime: "&amp;ROUND(B345,1)&amp;". Range: "&amp;ROUND(B355,0)&amp;" km. Battery capacity: "&amp;ROUND(B351,1)&amp;" kWh. Available battery capacity: "&amp;B352&amp;" kWh. Battery mass: "&amp;ROUND(B350,1)&amp; " kg. Battery replacement throughout lifetime: "&amp;ROUND(B346,1)&amp;". Fuel tank capacity: "&amp;ROUND(B353,1)&amp;" kWh. Fuel mass: "&amp;ROUND(B354,1)&amp;" kg. Documentation: "&amp;Readmefirst!$B$2&amp;", "&amp;Readmefirst!$B$3&amp;". "&amp;'lci-kick scooter'!B301</f>
        <v>Power: 14 kW. Lifetime: 62100 km. Annual kilometers: 4690 km. Number of passengers: 1.1. Curb mass: 161.6 kg. Lightweighting of glider: 0%. Emission standard: None. Service visits throughout lifetime: 1.2. Range: 95 km. Battery capacity: 8.1 kWh. Available battery capacity: 6.48 kWh. Battery mass: 48.6 kg. Battery replacement throughout lifetime: 1. Fuel tank capacity: 0 kWh. Fuel mass: 0 kg. Documentation: 2021 UVEK life-cycle inventories update of on-road vehicles, Sacchi R. (PSI), Bauer C. (PSI), 2021. 11.81</v>
      </c>
    </row>
    <row r="359" spans="1:8" ht="15.6" x14ac:dyDescent="0.3">
      <c r="A359" s="11" t="s">
        <v>80</v>
      </c>
    </row>
    <row r="360" spans="1:8" x14ac:dyDescent="0.3">
      <c r="A360" t="s">
        <v>81</v>
      </c>
      <c r="B360" t="s">
        <v>82</v>
      </c>
      <c r="C360" t="s">
        <v>73</v>
      </c>
      <c r="D360" t="s">
        <v>77</v>
      </c>
      <c r="E360" t="s">
        <v>83</v>
      </c>
      <c r="F360" t="s">
        <v>75</v>
      </c>
      <c r="G360" t="s">
        <v>84</v>
      </c>
      <c r="H360" t="s">
        <v>74</v>
      </c>
    </row>
    <row r="361" spans="1:8" x14ac:dyDescent="0.3">
      <c r="A361" s="12" t="str">
        <f>B333</f>
        <v>transport, Motorbike, electric, 11-35kW, 2020, label-certified electricity</v>
      </c>
      <c r="B361" s="12">
        <v>1</v>
      </c>
      <c r="C361" s="12" t="str">
        <f>B334</f>
        <v>CH</v>
      </c>
      <c r="D361" s="12" t="s">
        <v>172</v>
      </c>
      <c r="E361" s="12"/>
      <c r="F361" s="12" t="s">
        <v>85</v>
      </c>
      <c r="G361" s="12" t="s">
        <v>86</v>
      </c>
      <c r="H361" s="12" t="str">
        <f>B339</f>
        <v>transport, Motorbike, electric, 11-35kW</v>
      </c>
    </row>
    <row r="362" spans="1:8" x14ac:dyDescent="0.3">
      <c r="A362" s="12" t="str">
        <f>B335&amp;", "&amp;B337</f>
        <v>Motorbike, electric, 11-35kW, 2020</v>
      </c>
      <c r="B362" s="15">
        <f>1/B343</f>
        <v>1.6103059581320449E-5</v>
      </c>
      <c r="C362" s="12" t="str">
        <f>B334</f>
        <v>CH</v>
      </c>
      <c r="D362" s="12" t="s">
        <v>77</v>
      </c>
      <c r="E362" s="12"/>
      <c r="F362" s="12" t="s">
        <v>91</v>
      </c>
      <c r="G362" s="12"/>
      <c r="H362" s="12" t="str">
        <f>RIGHT(H361,LEN(H361)-11)</f>
        <v>Motorbike, electric, 11-35kW</v>
      </c>
    </row>
    <row r="363" spans="1:8" x14ac:dyDescent="0.3">
      <c r="A363" s="12" t="str">
        <f>INDEX('ei names mapping'!$B$4:$R$33,MATCH(B335,'ei names mapping'!$A$4:$A$33,0),MATCH(G363,'ei names mapping'!$B$3:$R$3,0))</f>
        <v>road maintenance</v>
      </c>
      <c r="B363" s="16">
        <f>INDEX('vehicles specifications'!$B$3:$CK$86,MATCH(B338,'vehicles specifications'!$A$3:$A$86,0),MATCH(G363,'vehicles specifications'!$B$2:$CK$2,0))*INDEX('ei names mapping'!$B$137:$BK$220,MATCH(B338,'ei names mapping'!$A$137:$A$220,0),MATCH(G363,'ei names mapping'!$B$136:$BK$136,0))</f>
        <v>1.2899999999999999E-3</v>
      </c>
      <c r="C363" s="12" t="str">
        <f>INDEX('ei names mapping'!$B$38:$R$67,MATCH(B335,'ei names mapping'!$A$4:$A$33,0),MATCH(G363,'ei names mapping'!$B$3:$R$3,0))</f>
        <v>CH</v>
      </c>
      <c r="D363" s="12" t="str">
        <f>INDEX('ei names mapping'!$B$104:$BK$133,MATCH(B335,'ei names mapping'!$A$4:$A$33,0),MATCH(G363,'ei names mapping'!$B$3:$BK$3,0))</f>
        <v>meter-year</v>
      </c>
      <c r="E363" s="12"/>
      <c r="F363" s="12" t="s">
        <v>91</v>
      </c>
      <c r="G363" t="s">
        <v>117</v>
      </c>
      <c r="H363" s="12" t="str">
        <f>INDEX('ei names mapping'!$B$71:$BK$100,MATCH(B335,'ei names mapping'!$A$4:$A$33,0),MATCH(G363,'ei names mapping'!$B$3:$BK$3,0))</f>
        <v>road maintenance</v>
      </c>
    </row>
    <row r="364" spans="1:8" x14ac:dyDescent="0.3">
      <c r="A364" s="12" t="s">
        <v>114</v>
      </c>
      <c r="B364" s="14">
        <f>INDEX('vehicles specifications'!$B$3:$CK$86,MATCH(B338,'vehicles specifications'!$A$3:$A$86,0),MATCH(G364,'vehicles specifications'!$B$2:$CK$2,0))*INDEX('ei names mapping'!$B$137:$BK$220,MATCH(B338,'ei names mapping'!$A$137:$A$220,0),MATCH(G364,'ei names mapping'!$B$136:$BK$136,0))</f>
        <v>7.5275383069731625E-2</v>
      </c>
      <c r="C364" s="12" t="str">
        <f>INDEX('ei names mapping'!$B$38:$R$67,MATCH($B$3,'ei names mapping'!$A$4:$A$33,0),MATCH(G364,'ei names mapping'!$B$3:$R$3,0))</f>
        <v>CH</v>
      </c>
      <c r="D364" s="12" t="str">
        <f>INDEX('ei names mapping'!$B$104:$R$133,MATCH($B$3,'ei names mapping'!$A$4:$A$33,0),MATCH(G364,'ei names mapping'!$B$3:$R$3,0))</f>
        <v>kilowatt hour</v>
      </c>
      <c r="E364" s="12"/>
      <c r="F364" s="12" t="s">
        <v>91</v>
      </c>
      <c r="G364" t="s">
        <v>28</v>
      </c>
      <c r="H364" s="12" t="s">
        <v>116</v>
      </c>
    </row>
    <row r="365" spans="1:8" x14ac:dyDescent="0.3">
      <c r="A365" s="12" t="str">
        <f>INDEX('ei names mapping'!$B$4:$R$33,MATCH(B335,'ei names mapping'!$A$4:$A$33,0),MATCH(G365,'ei names mapping'!$B$3:$R$3,0))</f>
        <v>market for maintenance, electric scooter, without battery</v>
      </c>
      <c r="B365" s="16">
        <f>INDEX('vehicles specifications'!$B$3:$CK$86,MATCH(B338,'vehicles specifications'!$A$3:$A$86,0),MATCH(G365,'vehicles specifications'!$B$2:$CK$2,0))*INDEX('ei names mapping'!$B$137:$BK$220,MATCH(B338,'ei names mapping'!$A$137:$A$220,0),MATCH(G365,'ei names mapping'!$B$136:$BK$136,0))</f>
        <v>1.9999999999999998E-5</v>
      </c>
      <c r="C365" s="12" t="str">
        <f>INDEX('ei names mapping'!$B$38:$BK$67,MATCH(B335,'ei names mapping'!$A$4:$A$33,0),MATCH(G365,'ei names mapping'!$B$3:$BK$3,0))</f>
        <v>GLO</v>
      </c>
      <c r="D365" s="12" t="str">
        <f>INDEX('ei names mapping'!$B$104:$BK$133,MATCH(B335,'ei names mapping'!$A$4:$A$33,0),MATCH(G365,'ei names mapping'!$B$3:$BK$3,0))</f>
        <v>unit</v>
      </c>
      <c r="F365" s="12" t="s">
        <v>91</v>
      </c>
      <c r="G365" s="12" t="s">
        <v>123</v>
      </c>
      <c r="H365" s="12" t="str">
        <f>INDEX('ei names mapping'!$B$71:$BK$100,MATCH(B335,'ei names mapping'!$A$4:$A$33,0),MATCH(G365,'ei names mapping'!$B$3:$BK$3,0))</f>
        <v>maintenance, electric scooter, without battery</v>
      </c>
    </row>
    <row r="366" spans="1:8" s="21" customFormat="1" x14ac:dyDescent="0.3">
      <c r="A366" s="12" t="str">
        <f>INDEX('ei names mapping'!$B$4:$R$33,MATCH(B335,'ei names mapping'!$A$4:$A$33,0),MATCH(G366,'ei names mapping'!$B$3:$R$3,0))</f>
        <v>road construction</v>
      </c>
      <c r="B366" s="16">
        <f>INDEX('vehicles specifications'!$B$3:$CK$86,MATCH(B338,'vehicles specifications'!$A$3:$A$86,0),MATCH(G366,'vehicles specifications'!$B$2:$CK$2,0))*INDEX('ei names mapping'!$B$137:$BK$220,MATCH(B338,'ei names mapping'!$A$137:$A$220,0),MATCH(G366,'ei names mapping'!$B$136:$BK$136,0))</f>
        <v>1.3135020000000001E-4</v>
      </c>
      <c r="C366" s="12" t="str">
        <f>INDEX('ei names mapping'!$B$38:$R$67,MATCH(B335,'ei names mapping'!$A$4:$A$33,0),MATCH(G366,'ei names mapping'!$B$3:$R$3,0))</f>
        <v>CH</v>
      </c>
      <c r="D366" s="12" t="str">
        <f>INDEX('ei names mapping'!$B$104:$R$133,MATCH(B335,'ei names mapping'!$A$104:$A$133,0),MATCH(G366,'ei names mapping'!$B$3:$R$3,0))</f>
        <v>meter-year</v>
      </c>
      <c r="E366" s="12"/>
      <c r="F366" s="12" t="s">
        <v>91</v>
      </c>
      <c r="G366" s="21" t="s">
        <v>108</v>
      </c>
      <c r="H366" s="12" t="str">
        <f>INDEX('ei names mapping'!$B$71:$R$100,MATCH(B335,'ei names mapping'!$A$4:$A$33,0),MATCH(G366,'ei names mapping'!$B$3:$R$3,0))</f>
        <v>road</v>
      </c>
    </row>
    <row r="367" spans="1:8" x14ac:dyDescent="0.3">
      <c r="A367" s="12" t="str">
        <f>INDEX('ei names mapping'!$B$4:$BK$33,MATCH(B335,'ei names mapping'!$A$4:$A$33,0),MATCH(G367,'ei names mapping'!$B$3:$BK$3,0))</f>
        <v>treatment of road wear emissions, passenger car</v>
      </c>
      <c r="B367" s="16">
        <f>INDEX('vehicles specifications'!$B$3:$CK$86,MATCH(B338,'vehicles specifications'!$A$3:$A$86,0),MATCH(G367,'vehicles specifications'!$B$2:$CK$2,0))*INDEX('ei names mapping'!$B$137:$BK$220,MATCH(B338,'ei names mapping'!$A$137:$A$220,0),MATCH(G367,'ei names mapping'!$B$136:$BK$136,0))</f>
        <v>-6.0000000000000002E-6</v>
      </c>
      <c r="C367" s="12" t="str">
        <f>INDEX('ei names mapping'!$B$38:$BK$67,MATCH(B335,'ei names mapping'!$A$4:$A$33,0),MATCH(G367,'ei names mapping'!$B$3:$BK$3,0))</f>
        <v>RER</v>
      </c>
      <c r="D367" s="12" t="str">
        <f>INDEX('ei names mapping'!$B$104:$BK$133,MATCH(B335,'ei names mapping'!$A$4:$A$33,0),MATCH(G367,'ei names mapping'!$B$3:$BK$3,0))</f>
        <v>kilogram</v>
      </c>
      <c r="E367" s="12"/>
      <c r="F367" s="12" t="s">
        <v>91</v>
      </c>
      <c r="G367" t="s">
        <v>29</v>
      </c>
      <c r="H367" s="12" t="str">
        <f>INDEX('ei names mapping'!$B$71:$BK$100,MATCH(B335,'ei names mapping'!$A$4:$A$33,0),MATCH(G367,'ei names mapping'!$B$3:$BK$3,0))</f>
        <v>road wear emissions, passenger car</v>
      </c>
    </row>
    <row r="368" spans="1:8" x14ac:dyDescent="0.3">
      <c r="A368" s="12" t="str">
        <f>INDEX('ei names mapping'!$B$4:$BK$33,MATCH(B335,'ei names mapping'!$A$4:$A$33,0),MATCH(G368,'ei names mapping'!$B$3:$BK$3,0))</f>
        <v>treatment of tyre wear emissions, passenger car</v>
      </c>
      <c r="B368" s="16">
        <f>INDEX('vehicles specifications'!$B$3:$CK$86,MATCH(B338,'vehicles specifications'!$A$3:$A$86,0),MATCH(G368,'vehicles specifications'!$B$2:$CK$2,0))*INDEX('ei names mapping'!$B$137:$BK$220,MATCH(B338,'ei names mapping'!$A$137:$A$220,0),MATCH(G368,'ei names mapping'!$B$136:$BK$136,0))</f>
        <v>-7.3669999999999991E-6</v>
      </c>
      <c r="C368" s="12" t="str">
        <f>INDEX('ei names mapping'!$B$38:$BK$67,MATCH(B335,'ei names mapping'!$A$4:$A$33,0),MATCH(G368,'ei names mapping'!$B$3:$BK$3,0))</f>
        <v>RER</v>
      </c>
      <c r="D368" s="12" t="str">
        <f>INDEX('ei names mapping'!$B$104:$BK$133,MATCH(B335,'ei names mapping'!$A$4:$A$33,0),MATCH(G368,'ei names mapping'!$B$3:$BK$3,0))</f>
        <v>kilogram</v>
      </c>
      <c r="E368" s="12"/>
      <c r="F368" s="12" t="s">
        <v>91</v>
      </c>
      <c r="G368" t="s">
        <v>30</v>
      </c>
      <c r="H368" s="12" t="str">
        <f>INDEX('ei names mapping'!$B$71:$BK$100,MATCH(B335,'ei names mapping'!$A$4:$A$33,0),MATCH(G368,'ei names mapping'!$B$3:$BK$3,0))</f>
        <v>tyre wear emissions, passenger car</v>
      </c>
    </row>
    <row r="369" spans="1:8" x14ac:dyDescent="0.3">
      <c r="A369" s="12" t="str">
        <f>INDEX('ei names mapping'!$B$4:$BK$33,MATCH(B335,'ei names mapping'!$A$4:$A$33,0),MATCH(G369,'ei names mapping'!$B$3:$BK$3,0))</f>
        <v>treatment of brake wear emissions, passenger car</v>
      </c>
      <c r="B369" s="16">
        <f>INDEX('vehicles specifications'!$B$3:$CK$86,MATCH(B338,'vehicles specifications'!$A$3:$A$86,0),MATCH(G369,'vehicles specifications'!$B$2:$CK$2,0))*INDEX('ei names mapping'!$B$137:$BK$220,MATCH(B338,'ei names mapping'!$A$137:$A$220,0),MATCH(G369,'ei names mapping'!$B$136:$BK$136,0))</f>
        <v>-4.1749999999999998E-6</v>
      </c>
      <c r="C369" s="12" t="str">
        <f>INDEX('ei names mapping'!$B$38:$BK$67,MATCH(B335,'ei names mapping'!$A$4:$A$33,0),MATCH(G369,'ei names mapping'!$B$3:$BK$3,0))</f>
        <v>RER</v>
      </c>
      <c r="D369" s="12" t="str">
        <f>INDEX('ei names mapping'!$B$104:$BK$133,MATCH(B335,'ei names mapping'!$A$4:$A$33,0),MATCH(G369,'ei names mapping'!$B$3:$BK$3,0))</f>
        <v>kilogram</v>
      </c>
      <c r="E369" s="12"/>
      <c r="F369" s="12" t="s">
        <v>91</v>
      </c>
      <c r="G369" t="s">
        <v>31</v>
      </c>
      <c r="H369" s="12" t="str">
        <f>INDEX('ei names mapping'!$B$71:$BK$100,MATCH(B335,'ei names mapping'!$A$4:$A$33,0),MATCH(G369,'ei names mapping'!$B$3:$BK$3,0))</f>
        <v>brake wear emissions, passenger car</v>
      </c>
    </row>
    <row r="370" spans="1:8" x14ac:dyDescent="0.3">
      <c r="B370" s="6"/>
    </row>
    <row r="371" spans="1:8" ht="15.6" x14ac:dyDescent="0.3">
      <c r="A371" s="11" t="s">
        <v>72</v>
      </c>
      <c r="B371" s="9" t="str">
        <f>"transport, "&amp;B373&amp;", "&amp;B375&amp;", label-certified electricity"</f>
        <v>transport, Motorbike, electric, 11-35kW, 2030, label-certified electricity</v>
      </c>
    </row>
    <row r="372" spans="1:8" x14ac:dyDescent="0.3">
      <c r="A372" t="s">
        <v>73</v>
      </c>
      <c r="B372" t="s">
        <v>37</v>
      </c>
    </row>
    <row r="373" spans="1:8" x14ac:dyDescent="0.3">
      <c r="A373" t="s">
        <v>87</v>
      </c>
      <c r="B373" t="s">
        <v>522</v>
      </c>
    </row>
    <row r="374" spans="1:8" x14ac:dyDescent="0.3">
      <c r="A374" t="s">
        <v>88</v>
      </c>
      <c r="B374" s="12"/>
    </row>
    <row r="375" spans="1:8" x14ac:dyDescent="0.3">
      <c r="A375" t="s">
        <v>89</v>
      </c>
      <c r="B375" s="12">
        <v>2030</v>
      </c>
    </row>
    <row r="376" spans="1:8" x14ac:dyDescent="0.3">
      <c r="A376" t="s">
        <v>131</v>
      </c>
      <c r="B376" s="12" t="str">
        <f>B373&amp;" - "&amp;B375&amp;" - "&amp;B372</f>
        <v>Motorbike, electric, 11-35kW - 2030 - CH</v>
      </c>
    </row>
    <row r="377" spans="1:8" x14ac:dyDescent="0.3">
      <c r="A377" t="s">
        <v>74</v>
      </c>
      <c r="B377" s="12" t="str">
        <f>"transport, "&amp;B373</f>
        <v>transport, Motorbike, electric, 11-35kW</v>
      </c>
    </row>
    <row r="378" spans="1:8" x14ac:dyDescent="0.3">
      <c r="A378" t="s">
        <v>75</v>
      </c>
      <c r="B378" t="s">
        <v>76</v>
      </c>
    </row>
    <row r="379" spans="1:8" x14ac:dyDescent="0.3">
      <c r="A379" t="s">
        <v>77</v>
      </c>
      <c r="B379" t="s">
        <v>172</v>
      </c>
    </row>
    <row r="380" spans="1:8" x14ac:dyDescent="0.3">
      <c r="A380" t="s">
        <v>79</v>
      </c>
      <c r="B380" t="s">
        <v>90</v>
      </c>
    </row>
    <row r="381" spans="1:8" x14ac:dyDescent="0.3">
      <c r="A381" t="s">
        <v>132</v>
      </c>
      <c r="B381">
        <f>INDEX('vehicles specifications'!$B$3:$CK$86,MATCH(B376,'vehicles specifications'!$A$3:$A$86,0),MATCH("Lifetime [km]",'vehicles specifications'!$B$2:$CK$2,0))</f>
        <v>62100</v>
      </c>
    </row>
    <row r="382" spans="1:8" x14ac:dyDescent="0.3">
      <c r="A382" t="s">
        <v>133</v>
      </c>
      <c r="B382">
        <f>INDEX('vehicles specifications'!$B$3:$CK$86,MATCH(B376,'vehicles specifications'!$A$3:$A$86,0),MATCH("Passengers [unit]",'vehicles specifications'!$B$2:$CK$2,0))</f>
        <v>1.1000000000000001</v>
      </c>
    </row>
    <row r="383" spans="1:8" x14ac:dyDescent="0.3">
      <c r="A383" t="s">
        <v>134</v>
      </c>
      <c r="B383">
        <f>INDEX('vehicles specifications'!$B$3:$CK$86,MATCH(B376,'vehicles specifications'!$A$3:$A$86,0),MATCH("Servicing [unit]",'vehicles specifications'!$B$2:$CK$2,0))</f>
        <v>1.242</v>
      </c>
    </row>
    <row r="384" spans="1:8" x14ac:dyDescent="0.3">
      <c r="A384" t="s">
        <v>135</v>
      </c>
      <c r="B384">
        <f>INDEX('vehicles specifications'!$B$3:$CK$86,MATCH(B376,'vehicles specifications'!$A$3:$A$86,0),MATCH("Energy battery replacement [unit]",'vehicles specifications'!$B$2:$CK$2,0))</f>
        <v>0.5</v>
      </c>
    </row>
    <row r="385" spans="1:8" x14ac:dyDescent="0.3">
      <c r="A385" t="s">
        <v>136</v>
      </c>
      <c r="B385">
        <f>INDEX('vehicles specifications'!$B$3:$CK$86,MATCH(B376,'vehicles specifications'!$A$3:$A$86,0),MATCH("Annual kilometers [km]",'vehicles specifications'!$B$2:$CK$2,0))</f>
        <v>4690</v>
      </c>
    </row>
    <row r="386" spans="1:8" x14ac:dyDescent="0.3">
      <c r="A386" t="s">
        <v>137</v>
      </c>
      <c r="B386" s="2">
        <f>INDEX('vehicles specifications'!$B$3:$CK$86,MATCH(B376,'vehicles specifications'!$A$3:$A$86,0),MATCH("Curb mass [kg]",'vehicles specifications'!$B$2:$CK$2,0))</f>
        <v>161.76999999999998</v>
      </c>
    </row>
    <row r="387" spans="1:8" x14ac:dyDescent="0.3">
      <c r="A387" t="s">
        <v>138</v>
      </c>
      <c r="B387">
        <f>INDEX('vehicles specifications'!$B$3:$CK$86,MATCH(B376,'vehicles specifications'!$A$3:$A$86,0),MATCH("Power [kW]",'vehicles specifications'!$B$2:$CK$2,0))</f>
        <v>14</v>
      </c>
    </row>
    <row r="388" spans="1:8" x14ac:dyDescent="0.3">
      <c r="A388" t="s">
        <v>139</v>
      </c>
      <c r="B388">
        <f>INDEX('vehicles specifications'!$B$3:$CK$86,MATCH(B376,'vehicles specifications'!$A$3:$A$86,0),MATCH("Energy battery mass [kg]",'vehicles specifications'!$B$2:$CK$2,0))</f>
        <v>51.2</v>
      </c>
    </row>
    <row r="389" spans="1:8" x14ac:dyDescent="0.3">
      <c r="A389" t="s">
        <v>140</v>
      </c>
      <c r="B389" s="21">
        <f>INDEX('vehicles specifications'!$B$3:$CK$86,MATCH(B376,'vehicles specifications'!$A$3:$A$86,0),MATCH("Electric energy stored [kWh]",'vehicles specifications'!$B$2:$CK$2,0))</f>
        <v>12.8</v>
      </c>
    </row>
    <row r="390" spans="1:8" s="21" customFormat="1" x14ac:dyDescent="0.3">
      <c r="A390" s="21" t="s">
        <v>654</v>
      </c>
      <c r="B390" s="21">
        <f>INDEX('vehicles specifications'!$B$3:$CK$86,MATCH(B376,'vehicles specifications'!$A$3:$A$86,0),MATCH("Electric energy available [kWh]",'vehicles specifications'!$B$2:$CK$2,0))</f>
        <v>10.240000000000002</v>
      </c>
    </row>
    <row r="391" spans="1:8" x14ac:dyDescent="0.3">
      <c r="A391" t="s">
        <v>143</v>
      </c>
      <c r="B391" s="2">
        <f>INDEX('vehicles specifications'!$B$3:$CK$86,MATCH(B376,'vehicles specifications'!$A$3:$A$86,0),MATCH("Oxydation energy stored [kWh]",'vehicles specifications'!$B$2:$CK$2,0))</f>
        <v>0</v>
      </c>
    </row>
    <row r="392" spans="1:8" x14ac:dyDescent="0.3">
      <c r="A392" t="s">
        <v>145</v>
      </c>
      <c r="B392">
        <f>INDEX('vehicles specifications'!$B$3:$CK$86,MATCH(B376,'vehicles specifications'!$A$3:$A$86,0),MATCH("Fuel mass [kg]",'vehicles specifications'!$B$2:$CK$2,0))</f>
        <v>0</v>
      </c>
    </row>
    <row r="393" spans="1:8" x14ac:dyDescent="0.3">
      <c r="A393" t="s">
        <v>141</v>
      </c>
      <c r="B393" s="2">
        <f>INDEX('vehicles specifications'!$B$3:$CK$86,MATCH(B376,'vehicles specifications'!$A$3:$A$86,0),MATCH("Range [km]",'vehicles specifications'!$B$2:$CK$2,0))</f>
        <v>149.63723252747255</v>
      </c>
    </row>
    <row r="394" spans="1:8" x14ac:dyDescent="0.3">
      <c r="A394" t="s">
        <v>142</v>
      </c>
      <c r="B394" t="str">
        <f>INDEX('vehicles specifications'!$B$3:$CK$86,MATCH(B376,'vehicles specifications'!$A$3:$A$86,0),MATCH("Emission standard",'vehicles specifications'!$B$2:$CK$2,0))</f>
        <v>None</v>
      </c>
    </row>
    <row r="395" spans="1:8" x14ac:dyDescent="0.3">
      <c r="A395" t="s">
        <v>144</v>
      </c>
      <c r="B395" s="6">
        <f>INDEX('vehicles specifications'!$B$3:$CK$86,MATCH(B376,'vehicles specifications'!$A$3:$A$86,0),MATCH("Lightweighting rate [%]",'vehicles specifications'!$B$2:$CK$2,0))</f>
        <v>0.03</v>
      </c>
    </row>
    <row r="396" spans="1:8" x14ac:dyDescent="0.3">
      <c r="A396" t="s">
        <v>84</v>
      </c>
      <c r="B396" s="21" t="str">
        <f>"Power: "&amp;B387&amp;" kW. Lifetime: "&amp;B381&amp;" km. Annual kilometers: "&amp;B385&amp;" km. Number of passengers: "&amp;B382&amp;". Curb mass: "&amp;ROUND(B386,1)&amp;" kg. Lightweighting of glider: "&amp;ROUND(B395*100,0)&amp;"%. Emission standard: "&amp;B394&amp;". Service visits throughout lifetime: "&amp;ROUND(B383,1)&amp;". Range: "&amp;ROUND(B393,0)&amp;" km. Battery capacity: "&amp;ROUND(B389,1)&amp;" kWh. Available battery capacity: "&amp;B390&amp;" kWh. Battery mass: "&amp;ROUND(B388,1)&amp; " kg. Battery replacement throughout lifetime: "&amp;ROUND(B384,1)&amp;". Fuel tank capacity: "&amp;ROUND(B391,1)&amp;" kWh. Fuel mass: "&amp;ROUND(B392,1)&amp;" kg. Documentation: "&amp;Readmefirst!$B$2&amp;", "&amp;Readmefirst!$B$3&amp;". "&amp;'lci-kick scooter'!B339</f>
        <v xml:space="preserve">Power: 14 kW. Lifetime: 62100 km. Annual kilometers: 4690 km. Number of passengers: 1.1. Curb mass: 161.8 kg. Lightweighting of glider: 3%. Emission standard: None. Service visits throughout lifetime: 1.2. Range: 150 km. Battery capacity: 12.8 kWh. Available battery capacity: 10.24 kWh. Battery mass: 51.2 kg. Battery replacement throughout lifetime: 0.5. Fuel tank capacity: 0 kWh. Fuel mass: 0 kg. Documentation: 2021 UVEK life-cycle inventories update of on-road vehicles, Sacchi R. (PSI), Bauer C. (PSI), 2021. </v>
      </c>
    </row>
    <row r="397" spans="1:8" ht="15.6" x14ac:dyDescent="0.3">
      <c r="A397" s="11" t="s">
        <v>80</v>
      </c>
    </row>
    <row r="398" spans="1:8" x14ac:dyDescent="0.3">
      <c r="A398" t="s">
        <v>81</v>
      </c>
      <c r="B398" t="s">
        <v>82</v>
      </c>
      <c r="C398" t="s">
        <v>73</v>
      </c>
      <c r="D398" t="s">
        <v>77</v>
      </c>
      <c r="E398" t="s">
        <v>83</v>
      </c>
      <c r="F398" t="s">
        <v>75</v>
      </c>
      <c r="G398" t="s">
        <v>84</v>
      </c>
      <c r="H398" t="s">
        <v>74</v>
      </c>
    </row>
    <row r="399" spans="1:8" x14ac:dyDescent="0.3">
      <c r="A399" s="12" t="str">
        <f>B371</f>
        <v>transport, Motorbike, electric, 11-35kW, 2030, label-certified electricity</v>
      </c>
      <c r="B399" s="12">
        <v>1</v>
      </c>
      <c r="C399" s="12" t="str">
        <f>B372</f>
        <v>CH</v>
      </c>
      <c r="D399" s="12" t="s">
        <v>172</v>
      </c>
      <c r="E399" s="12"/>
      <c r="F399" s="12" t="s">
        <v>85</v>
      </c>
      <c r="G399" s="12" t="s">
        <v>86</v>
      </c>
      <c r="H399" s="12" t="str">
        <f>B377</f>
        <v>transport, Motorbike, electric, 11-35kW</v>
      </c>
    </row>
    <row r="400" spans="1:8" x14ac:dyDescent="0.3">
      <c r="A400" s="12" t="str">
        <f>B373&amp;", "&amp;B375</f>
        <v>Motorbike, electric, 11-35kW, 2030</v>
      </c>
      <c r="B400" s="12">
        <f>1/B381</f>
        <v>1.6103059581320449E-5</v>
      </c>
      <c r="C400" s="12" t="str">
        <f>B372</f>
        <v>CH</v>
      </c>
      <c r="D400" s="12" t="s">
        <v>77</v>
      </c>
      <c r="E400" s="12"/>
      <c r="F400" s="12" t="s">
        <v>91</v>
      </c>
      <c r="G400" s="12"/>
      <c r="H400" s="12" t="str">
        <f>RIGHT(H399,LEN(H399)-11)</f>
        <v>Motorbike, electric, 11-35kW</v>
      </c>
    </row>
    <row r="401" spans="1:8" x14ac:dyDescent="0.3">
      <c r="A401" s="12" t="str">
        <f>INDEX('ei names mapping'!$B$4:$R$33,MATCH(B373,'ei names mapping'!$A$4:$A$33,0),MATCH(G401,'ei names mapping'!$B$3:$R$3,0))</f>
        <v>road maintenance</v>
      </c>
      <c r="B401" s="16">
        <f>INDEX('vehicles specifications'!$B$3:$CK$86,MATCH(B376,'vehicles specifications'!$A$3:$A$86,0),MATCH(G401,'vehicles specifications'!$B$2:$CK$2,0))*INDEX('ei names mapping'!$B$137:$BK$220,MATCH(B376,'ei names mapping'!$A$137:$A$220,0),MATCH(G401,'ei names mapping'!$B$136:$BK$136,0))</f>
        <v>1.2899999999999999E-3</v>
      </c>
      <c r="C401" s="12" t="str">
        <f>INDEX('ei names mapping'!$B$38:$R$67,MATCH(B373,'ei names mapping'!$A$4:$A$33,0),MATCH(G401,'ei names mapping'!$B$3:$R$3,0))</f>
        <v>CH</v>
      </c>
      <c r="D401" s="12" t="str">
        <f>INDEX('ei names mapping'!$B$104:$BK$133,MATCH(B373,'ei names mapping'!$A$4:$A$33,0),MATCH(G401,'ei names mapping'!$B$3:$BK$3,0))</f>
        <v>meter-year</v>
      </c>
      <c r="E401" s="12"/>
      <c r="F401" s="12" t="s">
        <v>91</v>
      </c>
      <c r="G401" t="s">
        <v>117</v>
      </c>
      <c r="H401" s="12" t="str">
        <f>INDEX('ei names mapping'!$B$71:$BK$100,MATCH(B373,'ei names mapping'!$A$4:$A$33,0),MATCH(G401,'ei names mapping'!$B$3:$BK$3,0))</f>
        <v>road maintenance</v>
      </c>
    </row>
    <row r="402" spans="1:8" x14ac:dyDescent="0.3">
      <c r="A402" s="12" t="s">
        <v>114</v>
      </c>
      <c r="B402" s="14">
        <f>INDEX('vehicles specifications'!$B$3:$CK$86,MATCH(B376,'vehicles specifications'!$A$3:$A$86,0),MATCH(G402,'vehicles specifications'!$B$2:$CK$2,0))*INDEX('ei names mapping'!$B$137:$BK$220,MATCH(B376,'ei names mapping'!$A$137:$A$220,0),MATCH(G402,'ei names mapping'!$B$136:$BK$136,0))</f>
        <v>7.5275383069731625E-2</v>
      </c>
      <c r="C402" s="12" t="str">
        <f>INDEX('ei names mapping'!$B$38:$R$67,MATCH($B$3,'ei names mapping'!$A$4:$A$33,0),MATCH(G402,'ei names mapping'!$B$3:$R$3,0))</f>
        <v>CH</v>
      </c>
      <c r="D402" s="12" t="str">
        <f>INDEX('ei names mapping'!$B$104:$R$133,MATCH($B$3,'ei names mapping'!$A$4:$A$33,0),MATCH(G402,'ei names mapping'!$B$3:$R$3,0))</f>
        <v>kilowatt hour</v>
      </c>
      <c r="E402" s="12"/>
      <c r="F402" s="12" t="s">
        <v>91</v>
      </c>
      <c r="G402" t="s">
        <v>28</v>
      </c>
      <c r="H402" s="12" t="s">
        <v>116</v>
      </c>
    </row>
    <row r="403" spans="1:8" x14ac:dyDescent="0.3">
      <c r="A403" s="12" t="str">
        <f>INDEX('ei names mapping'!$B$4:$R$33,MATCH(B373,'ei names mapping'!$A$4:$A$33,0),MATCH(G403,'ei names mapping'!$B$3:$R$3,0))</f>
        <v>market for maintenance, electric scooter, without battery</v>
      </c>
      <c r="B403" s="16">
        <f>INDEX('vehicles specifications'!$B$3:$CK$86,MATCH(B376,'vehicles specifications'!$A$3:$A$86,0),MATCH(G403,'vehicles specifications'!$B$2:$CK$2,0))*INDEX('ei names mapping'!$B$137:$BK$220,MATCH(B376,'ei names mapping'!$A$137:$A$220,0),MATCH(G403,'ei names mapping'!$B$136:$BK$136,0))</f>
        <v>1.9999999999999998E-5</v>
      </c>
      <c r="C403" s="12" t="str">
        <f>INDEX('ei names mapping'!$B$38:$BK$67,MATCH(B373,'ei names mapping'!$A$4:$A$33,0),MATCH(G403,'ei names mapping'!$B$3:$BK$3,0))</f>
        <v>GLO</v>
      </c>
      <c r="D403" s="12" t="str">
        <f>INDEX('ei names mapping'!$B$104:$BK$133,MATCH(B373,'ei names mapping'!$A$4:$A$33,0),MATCH(G403,'ei names mapping'!$B$3:$BK$3,0))</f>
        <v>unit</v>
      </c>
      <c r="F403" s="12" t="s">
        <v>91</v>
      </c>
      <c r="G403" s="12" t="s">
        <v>123</v>
      </c>
      <c r="H403" s="12" t="str">
        <f>INDEX('ei names mapping'!$B$71:$BK$100,MATCH(B373,'ei names mapping'!$A$4:$A$33,0),MATCH(G403,'ei names mapping'!$B$3:$BK$3,0))</f>
        <v>maintenance, electric scooter, without battery</v>
      </c>
    </row>
    <row r="404" spans="1:8" s="21" customFormat="1" x14ac:dyDescent="0.3">
      <c r="A404" s="12" t="str">
        <f>INDEX('ei names mapping'!$B$4:$R$33,MATCH(B373,'ei names mapping'!$A$4:$A$33,0),MATCH(G404,'ei names mapping'!$B$3:$R$3,0))</f>
        <v>road construction</v>
      </c>
      <c r="B404" s="16">
        <f>INDEX('vehicles specifications'!$B$3:$CK$86,MATCH(B376,'vehicles specifications'!$A$3:$A$86,0),MATCH(G404,'vehicles specifications'!$B$2:$CK$2,0))*INDEX('ei names mapping'!$B$137:$BK$220,MATCH(B376,'ei names mapping'!$A$137:$A$220,0),MATCH(G404,'ei names mapping'!$B$136:$BK$136,0))</f>
        <v>1.3144148999999998E-4</v>
      </c>
      <c r="C404" s="12" t="str">
        <f>INDEX('ei names mapping'!$B$38:$R$67,MATCH(B373,'ei names mapping'!$A$4:$A$33,0),MATCH(G404,'ei names mapping'!$B$3:$R$3,0))</f>
        <v>CH</v>
      </c>
      <c r="D404" s="12" t="str">
        <f>INDEX('ei names mapping'!$B$104:$R$133,MATCH(B373,'ei names mapping'!$A$104:$A$133,0),MATCH(G404,'ei names mapping'!$B$3:$R$3,0))</f>
        <v>meter-year</v>
      </c>
      <c r="E404" s="12"/>
      <c r="F404" s="12" t="s">
        <v>91</v>
      </c>
      <c r="G404" s="21" t="s">
        <v>108</v>
      </c>
      <c r="H404" s="12" t="str">
        <f>INDEX('ei names mapping'!$B$71:$R$100,MATCH(B373,'ei names mapping'!$A$4:$A$33,0),MATCH(G404,'ei names mapping'!$B$3:$R$3,0))</f>
        <v>road</v>
      </c>
    </row>
    <row r="405" spans="1:8" x14ac:dyDescent="0.3">
      <c r="A405" s="12" t="str">
        <f>INDEX('ei names mapping'!$B$4:$BK$33,MATCH(B373,'ei names mapping'!$A$4:$A$33,0),MATCH(G405,'ei names mapping'!$B$3:$BK$3,0))</f>
        <v>treatment of road wear emissions, passenger car</v>
      </c>
      <c r="B405" s="16">
        <f>INDEX('vehicles specifications'!$B$3:$CK$86,MATCH(B376,'vehicles specifications'!$A$3:$A$86,0),MATCH(G405,'vehicles specifications'!$B$2:$CK$2,0))*INDEX('ei names mapping'!$B$137:$BK$220,MATCH(B376,'ei names mapping'!$A$137:$A$220,0),MATCH(G405,'ei names mapping'!$B$136:$BK$136,0))</f>
        <v>-6.0000000000000002E-6</v>
      </c>
      <c r="C405" s="12" t="str">
        <f>INDEX('ei names mapping'!$B$38:$BK$67,MATCH(B373,'ei names mapping'!$A$4:$A$33,0),MATCH(G405,'ei names mapping'!$B$3:$BK$3,0))</f>
        <v>RER</v>
      </c>
      <c r="D405" s="12" t="str">
        <f>INDEX('ei names mapping'!$B$104:$BK$133,MATCH(B373,'ei names mapping'!$A$4:$A$33,0),MATCH(G405,'ei names mapping'!$B$3:$BK$3,0))</f>
        <v>kilogram</v>
      </c>
      <c r="E405" s="12"/>
      <c r="F405" s="12" t="s">
        <v>91</v>
      </c>
      <c r="G405" t="s">
        <v>29</v>
      </c>
      <c r="H405" s="12" t="str">
        <f>INDEX('ei names mapping'!$B$71:$BK$100,MATCH(B373,'ei names mapping'!$A$4:$A$33,0),MATCH(G405,'ei names mapping'!$B$3:$BK$3,0))</f>
        <v>road wear emissions, passenger car</v>
      </c>
    </row>
    <row r="406" spans="1:8" x14ac:dyDescent="0.3">
      <c r="A406" s="12" t="str">
        <f>INDEX('ei names mapping'!$B$4:$BK$33,MATCH(B373,'ei names mapping'!$A$4:$A$33,0),MATCH(G406,'ei names mapping'!$B$3:$BK$3,0))</f>
        <v>treatment of tyre wear emissions, passenger car</v>
      </c>
      <c r="B406" s="16">
        <f>INDEX('vehicles specifications'!$B$3:$CK$86,MATCH(B376,'vehicles specifications'!$A$3:$A$86,0),MATCH(G406,'vehicles specifications'!$B$2:$CK$2,0))*INDEX('ei names mapping'!$B$137:$BK$220,MATCH(B376,'ei names mapping'!$A$137:$A$220,0),MATCH(G406,'ei names mapping'!$B$136:$BK$136,0))</f>
        <v>-7.3669999999999991E-6</v>
      </c>
      <c r="C406" s="12" t="str">
        <f>INDEX('ei names mapping'!$B$38:$BK$67,MATCH(B373,'ei names mapping'!$A$4:$A$33,0),MATCH(G406,'ei names mapping'!$B$3:$BK$3,0))</f>
        <v>RER</v>
      </c>
      <c r="D406" s="12" t="str">
        <f>INDEX('ei names mapping'!$B$104:$BK$133,MATCH(B373,'ei names mapping'!$A$4:$A$33,0),MATCH(G406,'ei names mapping'!$B$3:$BK$3,0))</f>
        <v>kilogram</v>
      </c>
      <c r="E406" s="12"/>
      <c r="F406" s="12" t="s">
        <v>91</v>
      </c>
      <c r="G406" t="s">
        <v>30</v>
      </c>
      <c r="H406" s="12" t="str">
        <f>INDEX('ei names mapping'!$B$71:$BK$100,MATCH(B373,'ei names mapping'!$A$4:$A$33,0),MATCH(G406,'ei names mapping'!$B$3:$BK$3,0))</f>
        <v>tyre wear emissions, passenger car</v>
      </c>
    </row>
    <row r="407" spans="1:8" x14ac:dyDescent="0.3">
      <c r="A407" s="12" t="str">
        <f>INDEX('ei names mapping'!$B$4:$BK$33,MATCH(B373,'ei names mapping'!$A$4:$A$33,0),MATCH(G407,'ei names mapping'!$B$3:$BK$3,0))</f>
        <v>treatment of brake wear emissions, passenger car</v>
      </c>
      <c r="B407" s="16">
        <f>INDEX('vehicles specifications'!$B$3:$CK$86,MATCH(B376,'vehicles specifications'!$A$3:$A$86,0),MATCH(G407,'vehicles specifications'!$B$2:$CK$2,0))*INDEX('ei names mapping'!$B$137:$BK$220,MATCH(B376,'ei names mapping'!$A$137:$A$220,0),MATCH(G407,'ei names mapping'!$B$136:$BK$136,0))</f>
        <v>-4.1749999999999998E-6</v>
      </c>
      <c r="C407" s="12" t="str">
        <f>INDEX('ei names mapping'!$B$38:$BK$67,MATCH(B373,'ei names mapping'!$A$4:$A$33,0),MATCH(G407,'ei names mapping'!$B$3:$BK$3,0))</f>
        <v>RER</v>
      </c>
      <c r="D407" s="12" t="str">
        <f>INDEX('ei names mapping'!$B$104:$BK$133,MATCH(B373,'ei names mapping'!$A$4:$A$33,0),MATCH(G407,'ei names mapping'!$B$3:$BK$3,0))</f>
        <v>kilogram</v>
      </c>
      <c r="E407" s="12"/>
      <c r="F407" s="12" t="s">
        <v>91</v>
      </c>
      <c r="G407" t="s">
        <v>31</v>
      </c>
      <c r="H407" s="12" t="str">
        <f>INDEX('ei names mapping'!$B$71:$BK$100,MATCH(B373,'ei names mapping'!$A$4:$A$33,0),MATCH(G407,'ei names mapping'!$B$3:$BK$3,0))</f>
        <v>brake wear emissions, passenger car</v>
      </c>
    </row>
    <row r="409" spans="1:8" ht="15.6" x14ac:dyDescent="0.3">
      <c r="A409" s="11" t="s">
        <v>72</v>
      </c>
      <c r="B409" s="9" t="str">
        <f>"transport, "&amp;B411&amp;", "&amp;B413&amp;", label-certified electricity"</f>
        <v>transport, Motorbike, electric, 11-35kW, 2040, label-certified electricity</v>
      </c>
    </row>
    <row r="410" spans="1:8" x14ac:dyDescent="0.3">
      <c r="A410" t="s">
        <v>73</v>
      </c>
      <c r="B410" t="s">
        <v>37</v>
      </c>
    </row>
    <row r="411" spans="1:8" x14ac:dyDescent="0.3">
      <c r="A411" t="s">
        <v>87</v>
      </c>
      <c r="B411" t="s">
        <v>522</v>
      </c>
    </row>
    <row r="412" spans="1:8" x14ac:dyDescent="0.3">
      <c r="A412" t="s">
        <v>88</v>
      </c>
      <c r="B412" s="12"/>
    </row>
    <row r="413" spans="1:8" x14ac:dyDescent="0.3">
      <c r="A413" t="s">
        <v>89</v>
      </c>
      <c r="B413" s="12">
        <v>2040</v>
      </c>
    </row>
    <row r="414" spans="1:8" x14ac:dyDescent="0.3">
      <c r="A414" t="s">
        <v>131</v>
      </c>
      <c r="B414" s="12" t="str">
        <f>B411&amp;" - "&amp;B413&amp;" - "&amp;B410</f>
        <v>Motorbike, electric, 11-35kW - 2040 - CH</v>
      </c>
    </row>
    <row r="415" spans="1:8" x14ac:dyDescent="0.3">
      <c r="A415" t="s">
        <v>74</v>
      </c>
      <c r="B415" s="12" t="str">
        <f>"transport, "&amp;B411</f>
        <v>transport, Motorbike, electric, 11-35kW</v>
      </c>
    </row>
    <row r="416" spans="1:8" x14ac:dyDescent="0.3">
      <c r="A416" t="s">
        <v>75</v>
      </c>
      <c r="B416" t="s">
        <v>76</v>
      </c>
    </row>
    <row r="417" spans="1:2" x14ac:dyDescent="0.3">
      <c r="A417" t="s">
        <v>77</v>
      </c>
      <c r="B417" t="s">
        <v>172</v>
      </c>
    </row>
    <row r="418" spans="1:2" x14ac:dyDescent="0.3">
      <c r="A418" t="s">
        <v>79</v>
      </c>
      <c r="B418" t="s">
        <v>90</v>
      </c>
    </row>
    <row r="419" spans="1:2" x14ac:dyDescent="0.3">
      <c r="A419" t="s">
        <v>132</v>
      </c>
      <c r="B419">
        <f>INDEX('vehicles specifications'!$B$3:$CK$86,MATCH(B414,'vehicles specifications'!$A$3:$A$86,0),MATCH("Lifetime [km]",'vehicles specifications'!$B$2:$CK$2,0))</f>
        <v>62100</v>
      </c>
    </row>
    <row r="420" spans="1:2" x14ac:dyDescent="0.3">
      <c r="A420" t="s">
        <v>133</v>
      </c>
      <c r="B420">
        <f>INDEX('vehicles specifications'!$B$3:$CK$86,MATCH(B414,'vehicles specifications'!$A$3:$A$86,0),MATCH("Passengers [unit]",'vehicles specifications'!$B$2:$CK$2,0))</f>
        <v>1.1000000000000001</v>
      </c>
    </row>
    <row r="421" spans="1:2" x14ac:dyDescent="0.3">
      <c r="A421" t="s">
        <v>134</v>
      </c>
      <c r="B421">
        <f>INDEX('vehicles specifications'!$B$3:$CK$86,MATCH(B414,'vehicles specifications'!$A$3:$A$86,0),MATCH("Servicing [unit]",'vehicles specifications'!$B$2:$CK$2,0))</f>
        <v>1.242</v>
      </c>
    </row>
    <row r="422" spans="1:2" x14ac:dyDescent="0.3">
      <c r="A422" t="s">
        <v>135</v>
      </c>
      <c r="B422">
        <f>INDEX('vehicles specifications'!$B$3:$CK$86,MATCH(B414,'vehicles specifications'!$A$3:$A$86,0),MATCH("Energy battery replacement [unit]",'vehicles specifications'!$B$2:$CK$2,0))</f>
        <v>0.25</v>
      </c>
    </row>
    <row r="423" spans="1:2" x14ac:dyDescent="0.3">
      <c r="A423" t="s">
        <v>136</v>
      </c>
      <c r="B423">
        <f>INDEX('vehicles specifications'!$B$3:$CK$86,MATCH(B414,'vehicles specifications'!$A$3:$A$86,0),MATCH("Annual kilometers [km]",'vehicles specifications'!$B$2:$CK$2,0))</f>
        <v>4690</v>
      </c>
    </row>
    <row r="424" spans="1:2" x14ac:dyDescent="0.3">
      <c r="A424" t="s">
        <v>137</v>
      </c>
      <c r="B424" s="2">
        <f>INDEX('vehicles specifications'!$B$3:$CK$86,MATCH(B414,'vehicles specifications'!$A$3:$A$86,0),MATCH("Curb mass [kg]",'vehicles specifications'!$B$2:$CK$2,0))</f>
        <v>162.35</v>
      </c>
    </row>
    <row r="425" spans="1:2" x14ac:dyDescent="0.3">
      <c r="A425" t="s">
        <v>138</v>
      </c>
      <c r="B425">
        <f>INDEX('vehicles specifications'!$B$3:$CK$86,MATCH(B414,'vehicles specifications'!$A$3:$A$86,0),MATCH("Power [kW]",'vehicles specifications'!$B$2:$CK$2,0))</f>
        <v>14</v>
      </c>
    </row>
    <row r="426" spans="1:2" x14ac:dyDescent="0.3">
      <c r="A426" t="s">
        <v>139</v>
      </c>
      <c r="B426">
        <f>INDEX('vehicles specifications'!$B$3:$CK$86,MATCH(B414,'vehicles specifications'!$A$3:$A$86,0),MATCH("Energy battery mass [kg]",'vehicles specifications'!$B$2:$CK$2,0))</f>
        <v>53.4</v>
      </c>
    </row>
    <row r="427" spans="1:2" x14ac:dyDescent="0.3">
      <c r="A427" t="s">
        <v>140</v>
      </c>
      <c r="B427" s="21">
        <f>INDEX('vehicles specifications'!$B$3:$CK$86,MATCH(B414,'vehicles specifications'!$A$3:$A$86,0),MATCH("Electric energy stored [kWh]",'vehicles specifications'!$B$2:$CK$2,0))</f>
        <v>17.8</v>
      </c>
    </row>
    <row r="428" spans="1:2" s="21" customFormat="1" x14ac:dyDescent="0.3">
      <c r="A428" s="21" t="s">
        <v>654</v>
      </c>
      <c r="B428" s="21">
        <f>INDEX('vehicles specifications'!$B$3:$CK$86,MATCH(B414,'vehicles specifications'!$A$3:$A$86,0),MATCH("Electric energy available [kWh]",'vehicles specifications'!$B$2:$CK$2,0))</f>
        <v>14.240000000000002</v>
      </c>
    </row>
    <row r="429" spans="1:2" x14ac:dyDescent="0.3">
      <c r="A429" t="s">
        <v>143</v>
      </c>
      <c r="B429" s="2">
        <f>INDEX('vehicles specifications'!$B$3:$CK$86,MATCH(B414,'vehicles specifications'!$A$3:$A$86,0),MATCH("Oxydation energy stored [kWh]",'vehicles specifications'!$B$2:$CK$2,0))</f>
        <v>0</v>
      </c>
    </row>
    <row r="430" spans="1:2" x14ac:dyDescent="0.3">
      <c r="A430" t="s">
        <v>145</v>
      </c>
      <c r="B430">
        <f>INDEX('vehicles specifications'!$B$3:$CK$86,MATCH(B414,'vehicles specifications'!$A$3:$A$86,0),MATCH("Fuel mass [kg]",'vehicles specifications'!$B$2:$CK$2,0))</f>
        <v>0</v>
      </c>
    </row>
    <row r="431" spans="1:2" x14ac:dyDescent="0.3">
      <c r="A431" t="s">
        <v>141</v>
      </c>
      <c r="B431" s="2">
        <f>INDEX('vehicles specifications'!$B$3:$CK$86,MATCH(B414,'vehicles specifications'!$A$3:$A$86,0),MATCH("Range [km]",'vehicles specifications'!$B$2:$CK$2,0))</f>
        <v>208.08927648351653</v>
      </c>
    </row>
    <row r="432" spans="1:2" x14ac:dyDescent="0.3">
      <c r="A432" t="s">
        <v>142</v>
      </c>
      <c r="B432" t="str">
        <f>INDEX('vehicles specifications'!$B$3:$CK$86,MATCH(B414,'vehicles specifications'!$A$3:$A$86,0),MATCH("Emission standard",'vehicles specifications'!$B$2:$CK$2,0))</f>
        <v>None</v>
      </c>
    </row>
    <row r="433" spans="1:8" x14ac:dyDescent="0.3">
      <c r="A433" t="s">
        <v>144</v>
      </c>
      <c r="B433" s="6">
        <f>INDEX('vehicles specifications'!$B$3:$CK$86,MATCH(B414,'vehicles specifications'!$A$3:$A$86,0),MATCH("Lightweighting rate [%]",'vehicles specifications'!$B$2:$CK$2,0))</f>
        <v>0.05</v>
      </c>
    </row>
    <row r="434" spans="1:8" x14ac:dyDescent="0.3">
      <c r="A434" t="s">
        <v>84</v>
      </c>
      <c r="B434" s="21" t="str">
        <f>"Power: "&amp;B425&amp;" kW. Lifetime: "&amp;B419&amp;" km. Annual kilometers: "&amp;B423&amp;" km. Number of passengers: "&amp;B420&amp;". Curb mass: "&amp;ROUND(B424,1)&amp;" kg. Lightweighting of glider: "&amp;ROUND(B433*100,0)&amp;"%. Emission standard: "&amp;B432&amp;". Service visits throughout lifetime: "&amp;ROUND(B421,1)&amp;". Range: "&amp;ROUND(B431,0)&amp;" km. Battery capacity: "&amp;ROUND(B427,1)&amp;" kWh. Available battery capacity: "&amp;B428&amp;" kWh. Battery mass: "&amp;ROUND(B426,1)&amp; " kg. Battery replacement throughout lifetime: "&amp;ROUND(B422,1)&amp;". Fuel tank capacity: "&amp;ROUND(B429,1)&amp;" kWh. Fuel mass: "&amp;ROUND(B430,1)&amp;" kg. Documentation: "&amp;Readmefirst!$B$2&amp;", "&amp;Readmefirst!$B$3&amp;". "&amp;'lci-kick scooter'!B377</f>
        <v xml:space="preserve">Power: 14 kW. Lifetime: 62100 km. Annual kilometers: 4690 km. Number of passengers: 1.1. Curb mass: 162.4 kg. Lightweighting of glider: 5%. Emission standard: None. Service visits throughout lifetime: 1.2. Range: 208 km. Battery capacity: 17.8 kWh. Available battery capacity: 14.24 kWh. Battery mass: 53.4 kg. Battery replacement throughout lifetime: 0.3. Fuel tank capacity: 0 kWh. Fuel mass: 0 kg. Documentation: 2021 UVEK life-cycle inventories update of on-road vehicles, Sacchi R. (PSI), Bauer C. (PSI), 2021. </v>
      </c>
    </row>
    <row r="435" spans="1:8" ht="15.6" x14ac:dyDescent="0.3">
      <c r="A435" s="11" t="s">
        <v>80</v>
      </c>
    </row>
    <row r="436" spans="1:8" x14ac:dyDescent="0.3">
      <c r="A436" t="s">
        <v>81</v>
      </c>
      <c r="B436" t="s">
        <v>82</v>
      </c>
      <c r="C436" t="s">
        <v>73</v>
      </c>
      <c r="D436" t="s">
        <v>77</v>
      </c>
      <c r="E436" t="s">
        <v>83</v>
      </c>
      <c r="F436" t="s">
        <v>75</v>
      </c>
      <c r="G436" t="s">
        <v>84</v>
      </c>
      <c r="H436" t="s">
        <v>74</v>
      </c>
    </row>
    <row r="437" spans="1:8" x14ac:dyDescent="0.3">
      <c r="A437" s="12" t="str">
        <f>B409</f>
        <v>transport, Motorbike, electric, 11-35kW, 2040, label-certified electricity</v>
      </c>
      <c r="B437" s="12">
        <v>1</v>
      </c>
      <c r="C437" s="12" t="str">
        <f>B410</f>
        <v>CH</v>
      </c>
      <c r="D437" s="12" t="s">
        <v>172</v>
      </c>
      <c r="E437" s="12"/>
      <c r="F437" s="12" t="s">
        <v>85</v>
      </c>
      <c r="G437" s="12" t="s">
        <v>86</v>
      </c>
      <c r="H437" s="12" t="str">
        <f>B415</f>
        <v>transport, Motorbike, electric, 11-35kW</v>
      </c>
    </row>
    <row r="438" spans="1:8" x14ac:dyDescent="0.3">
      <c r="A438" s="12" t="str">
        <f>B411&amp;", "&amp;B413</f>
        <v>Motorbike, electric, 11-35kW, 2040</v>
      </c>
      <c r="B438" s="12">
        <f>1/B419</f>
        <v>1.6103059581320449E-5</v>
      </c>
      <c r="C438" s="12" t="str">
        <f>B410</f>
        <v>CH</v>
      </c>
      <c r="D438" s="12" t="s">
        <v>77</v>
      </c>
      <c r="E438" s="12"/>
      <c r="F438" s="12" t="s">
        <v>91</v>
      </c>
      <c r="G438" s="12"/>
      <c r="H438" s="12" t="str">
        <f>RIGHT(H437,LEN(H437)-11)</f>
        <v>Motorbike, electric, 11-35kW</v>
      </c>
    </row>
    <row r="439" spans="1:8" x14ac:dyDescent="0.3">
      <c r="A439" s="12" t="str">
        <f>INDEX('ei names mapping'!$B$4:$R$33,MATCH(B411,'ei names mapping'!$A$4:$A$33,0),MATCH(G439,'ei names mapping'!$B$3:$R$3,0))</f>
        <v>road maintenance</v>
      </c>
      <c r="B439" s="16">
        <f>INDEX('vehicles specifications'!$B$3:$CK$86,MATCH(B414,'vehicles specifications'!$A$3:$A$86,0),MATCH(G439,'vehicles specifications'!$B$2:$CK$2,0))*INDEX('ei names mapping'!$B$137:$BK$220,MATCH(B414,'ei names mapping'!$A$137:$A$220,0),MATCH(G439,'ei names mapping'!$B$136:$BK$136,0))</f>
        <v>1.2899999999999999E-3</v>
      </c>
      <c r="C439" s="12" t="str">
        <f>INDEX('ei names mapping'!$B$38:$R$67,MATCH(B411,'ei names mapping'!$A$4:$A$33,0),MATCH(G439,'ei names mapping'!$B$3:$R$3,0))</f>
        <v>CH</v>
      </c>
      <c r="D439" s="12" t="str">
        <f>INDEX('ei names mapping'!$B$104:$BK$133,MATCH(B411,'ei names mapping'!$A$4:$A$33,0),MATCH(G439,'ei names mapping'!$B$3:$BK$3,0))</f>
        <v>meter-year</v>
      </c>
      <c r="E439" s="12"/>
      <c r="F439" s="12" t="s">
        <v>91</v>
      </c>
      <c r="G439" t="s">
        <v>117</v>
      </c>
      <c r="H439" s="12" t="str">
        <f>INDEX('ei names mapping'!$B$71:$BK$100,MATCH(B411,'ei names mapping'!$A$4:$A$33,0),MATCH(G439,'ei names mapping'!$B$3:$BK$3,0))</f>
        <v>road maintenance</v>
      </c>
    </row>
    <row r="440" spans="1:8" x14ac:dyDescent="0.3">
      <c r="A440" s="12" t="s">
        <v>114</v>
      </c>
      <c r="B440" s="14">
        <f>INDEX('vehicles specifications'!$B$3:$CK$86,MATCH(B414,'vehicles specifications'!$A$3:$A$86,0),MATCH(G440,'vehicles specifications'!$B$2:$CK$2,0))*INDEX('ei names mapping'!$B$137:$BK$220,MATCH(B414,'ei names mapping'!$A$137:$A$220,0),MATCH(G440,'ei names mapping'!$B$136:$BK$136,0))</f>
        <v>7.5275383069731625E-2</v>
      </c>
      <c r="C440" s="12" t="str">
        <f>INDEX('ei names mapping'!$B$38:$R$67,MATCH($B$3,'ei names mapping'!$A$4:$A$33,0),MATCH(G440,'ei names mapping'!$B$3:$R$3,0))</f>
        <v>CH</v>
      </c>
      <c r="D440" s="12" t="str">
        <f>INDEX('ei names mapping'!$B$104:$R$133,MATCH($B$3,'ei names mapping'!$A$4:$A$33,0),MATCH(G440,'ei names mapping'!$B$3:$R$3,0))</f>
        <v>kilowatt hour</v>
      </c>
      <c r="E440" s="12"/>
      <c r="F440" s="12" t="s">
        <v>91</v>
      </c>
      <c r="G440" t="s">
        <v>28</v>
      </c>
      <c r="H440" s="12" t="s">
        <v>116</v>
      </c>
    </row>
    <row r="441" spans="1:8" x14ac:dyDescent="0.3">
      <c r="A441" s="12" t="str">
        <f>INDEX('ei names mapping'!$B$4:$R$33,MATCH(B411,'ei names mapping'!$A$4:$A$33,0),MATCH(G441,'ei names mapping'!$B$3:$R$3,0))</f>
        <v>market for maintenance, electric scooter, without battery</v>
      </c>
      <c r="B441" s="16">
        <f>INDEX('vehicles specifications'!$B$3:$CK$86,MATCH(B414,'vehicles specifications'!$A$3:$A$86,0),MATCH(G441,'vehicles specifications'!$B$2:$CK$2,0))*INDEX('ei names mapping'!$B$137:$BK$220,MATCH(B414,'ei names mapping'!$A$137:$A$220,0),MATCH(G441,'ei names mapping'!$B$136:$BK$136,0))</f>
        <v>1.9999999999999998E-5</v>
      </c>
      <c r="C441" s="12" t="str">
        <f>INDEX('ei names mapping'!$B$38:$BK$67,MATCH(B411,'ei names mapping'!$A$4:$A$33,0),MATCH(G441,'ei names mapping'!$B$3:$BK$3,0))</f>
        <v>GLO</v>
      </c>
      <c r="D441" s="12" t="str">
        <f>INDEX('ei names mapping'!$B$104:$BK$133,MATCH(B411,'ei names mapping'!$A$4:$A$33,0),MATCH(G441,'ei names mapping'!$B$3:$BK$3,0))</f>
        <v>unit</v>
      </c>
      <c r="F441" s="12" t="s">
        <v>91</v>
      </c>
      <c r="G441" s="12" t="s">
        <v>123</v>
      </c>
      <c r="H441" s="12" t="str">
        <f>INDEX('ei names mapping'!$B$71:$BK$100,MATCH(B411,'ei names mapping'!$A$4:$A$33,0),MATCH(G441,'ei names mapping'!$B$3:$BK$3,0))</f>
        <v>maintenance, electric scooter, without battery</v>
      </c>
    </row>
    <row r="442" spans="1:8" s="21" customFormat="1" x14ac:dyDescent="0.3">
      <c r="A442" s="12" t="str">
        <f>INDEX('ei names mapping'!$B$4:$R$33,MATCH(B411,'ei names mapping'!$A$4:$A$33,0),MATCH(G442,'ei names mapping'!$B$3:$R$3,0))</f>
        <v>road construction</v>
      </c>
      <c r="B442" s="16">
        <f>INDEX('vehicles specifications'!$B$3:$CK$86,MATCH(B414,'vehicles specifications'!$A$3:$A$86,0),MATCH(G442,'vehicles specifications'!$B$2:$CK$2,0))*INDEX('ei names mapping'!$B$137:$BK$220,MATCH(B414,'ei names mapping'!$A$137:$A$220,0),MATCH(G442,'ei names mapping'!$B$136:$BK$136,0))</f>
        <v>1.3175295000000001E-4</v>
      </c>
      <c r="C442" s="12" t="str">
        <f>INDEX('ei names mapping'!$B$38:$R$67,MATCH(B411,'ei names mapping'!$A$4:$A$33,0),MATCH(G442,'ei names mapping'!$B$3:$R$3,0))</f>
        <v>CH</v>
      </c>
      <c r="D442" s="12" t="str">
        <f>INDEX('ei names mapping'!$B$104:$R$133,MATCH(B411,'ei names mapping'!$A$104:$A$133,0),MATCH(G442,'ei names mapping'!$B$3:$R$3,0))</f>
        <v>meter-year</v>
      </c>
      <c r="E442" s="12"/>
      <c r="F442" s="12" t="s">
        <v>91</v>
      </c>
      <c r="G442" s="21" t="s">
        <v>108</v>
      </c>
      <c r="H442" s="12" t="str">
        <f>INDEX('ei names mapping'!$B$71:$R$100,MATCH(B411,'ei names mapping'!$A$4:$A$33,0),MATCH(G442,'ei names mapping'!$B$3:$R$3,0))</f>
        <v>road</v>
      </c>
    </row>
    <row r="443" spans="1:8" x14ac:dyDescent="0.3">
      <c r="A443" s="12" t="str">
        <f>INDEX('ei names mapping'!$B$4:$BK$33,MATCH(B411,'ei names mapping'!$A$4:$A$33,0),MATCH(G443,'ei names mapping'!$B$3:$BK$3,0))</f>
        <v>treatment of road wear emissions, passenger car</v>
      </c>
      <c r="B443" s="16">
        <f>INDEX('vehicles specifications'!$B$3:$CK$86,MATCH(B414,'vehicles specifications'!$A$3:$A$86,0),MATCH(G443,'vehicles specifications'!$B$2:$CK$2,0))*INDEX('ei names mapping'!$B$137:$BK$220,MATCH(B414,'ei names mapping'!$A$137:$A$220,0),MATCH(G443,'ei names mapping'!$B$136:$BK$136,0))</f>
        <v>-6.0000000000000002E-6</v>
      </c>
      <c r="C443" s="12" t="str">
        <f>INDEX('ei names mapping'!$B$38:$BK$67,MATCH(B411,'ei names mapping'!$A$4:$A$33,0),MATCH(G443,'ei names mapping'!$B$3:$BK$3,0))</f>
        <v>RER</v>
      </c>
      <c r="D443" s="12" t="str">
        <f>INDEX('ei names mapping'!$B$104:$BK$133,MATCH(B411,'ei names mapping'!$A$4:$A$33,0),MATCH(G443,'ei names mapping'!$B$3:$BK$3,0))</f>
        <v>kilogram</v>
      </c>
      <c r="E443" s="12"/>
      <c r="F443" s="12" t="s">
        <v>91</v>
      </c>
      <c r="G443" t="s">
        <v>29</v>
      </c>
      <c r="H443" s="12" t="str">
        <f>INDEX('ei names mapping'!$B$71:$BK$100,MATCH(B411,'ei names mapping'!$A$4:$A$33,0),MATCH(G443,'ei names mapping'!$B$3:$BK$3,0))</f>
        <v>road wear emissions, passenger car</v>
      </c>
    </row>
    <row r="444" spans="1:8" x14ac:dyDescent="0.3">
      <c r="A444" s="12" t="str">
        <f>INDEX('ei names mapping'!$B$4:$BK$33,MATCH(B411,'ei names mapping'!$A$4:$A$33,0),MATCH(G444,'ei names mapping'!$B$3:$BK$3,0))</f>
        <v>treatment of tyre wear emissions, passenger car</v>
      </c>
      <c r="B444" s="16">
        <f>INDEX('vehicles specifications'!$B$3:$CK$86,MATCH(B414,'vehicles specifications'!$A$3:$A$86,0),MATCH(G444,'vehicles specifications'!$B$2:$CK$2,0))*INDEX('ei names mapping'!$B$137:$BK$220,MATCH(B414,'ei names mapping'!$A$137:$A$220,0),MATCH(G444,'ei names mapping'!$B$136:$BK$136,0))</f>
        <v>-7.3669999999999991E-6</v>
      </c>
      <c r="C444" s="12" t="str">
        <f>INDEX('ei names mapping'!$B$38:$BK$67,MATCH(B411,'ei names mapping'!$A$4:$A$33,0),MATCH(G444,'ei names mapping'!$B$3:$BK$3,0))</f>
        <v>RER</v>
      </c>
      <c r="D444" s="12" t="str">
        <f>INDEX('ei names mapping'!$B$104:$BK$133,MATCH(B411,'ei names mapping'!$A$4:$A$33,0),MATCH(G444,'ei names mapping'!$B$3:$BK$3,0))</f>
        <v>kilogram</v>
      </c>
      <c r="E444" s="12"/>
      <c r="F444" s="12" t="s">
        <v>91</v>
      </c>
      <c r="G444" t="s">
        <v>30</v>
      </c>
      <c r="H444" s="12" t="str">
        <f>INDEX('ei names mapping'!$B$71:$BK$100,MATCH(B411,'ei names mapping'!$A$4:$A$33,0),MATCH(G444,'ei names mapping'!$B$3:$BK$3,0))</f>
        <v>tyre wear emissions, passenger car</v>
      </c>
    </row>
    <row r="445" spans="1:8" x14ac:dyDescent="0.3">
      <c r="A445" s="12" t="str">
        <f>INDEX('ei names mapping'!$B$4:$BK$33,MATCH(B411,'ei names mapping'!$A$4:$A$33,0),MATCH(G445,'ei names mapping'!$B$3:$BK$3,0))</f>
        <v>treatment of brake wear emissions, passenger car</v>
      </c>
      <c r="B445" s="16">
        <f>INDEX('vehicles specifications'!$B$3:$CK$86,MATCH(B414,'vehicles specifications'!$A$3:$A$86,0),MATCH(G445,'vehicles specifications'!$B$2:$CK$2,0))*INDEX('ei names mapping'!$B$137:$BK$220,MATCH(B414,'ei names mapping'!$A$137:$A$220,0),MATCH(G445,'ei names mapping'!$B$136:$BK$136,0))</f>
        <v>-4.1749999999999998E-6</v>
      </c>
      <c r="C445" s="12" t="str">
        <f>INDEX('ei names mapping'!$B$38:$BK$67,MATCH(B411,'ei names mapping'!$A$4:$A$33,0),MATCH(G445,'ei names mapping'!$B$3:$BK$3,0))</f>
        <v>RER</v>
      </c>
      <c r="D445" s="12" t="str">
        <f>INDEX('ei names mapping'!$B$104:$BK$133,MATCH(B411,'ei names mapping'!$A$4:$A$33,0),MATCH(G445,'ei names mapping'!$B$3:$BK$3,0))</f>
        <v>kilogram</v>
      </c>
      <c r="E445" s="12"/>
      <c r="F445" s="12" t="s">
        <v>91</v>
      </c>
      <c r="G445" t="s">
        <v>31</v>
      </c>
      <c r="H445" s="12" t="str">
        <f>INDEX('ei names mapping'!$B$71:$BK$100,MATCH(B411,'ei names mapping'!$A$4:$A$33,0),MATCH(G445,'ei names mapping'!$B$3:$BK$3,0))</f>
        <v>brake wear emissions, passenger car</v>
      </c>
    </row>
    <row r="447" spans="1:8" ht="15.6" x14ac:dyDescent="0.3">
      <c r="A447" s="11" t="s">
        <v>72</v>
      </c>
      <c r="B447" s="9" t="str">
        <f>"transport, "&amp;B449&amp;", "&amp;B451&amp;", label-certified electricity"</f>
        <v>transport, Motorbike, electric, 11-35kW, 2050, label-certified electricity</v>
      </c>
    </row>
    <row r="448" spans="1:8" x14ac:dyDescent="0.3">
      <c r="A448" t="s">
        <v>73</v>
      </c>
      <c r="B448" t="s">
        <v>37</v>
      </c>
    </row>
    <row r="449" spans="1:2" x14ac:dyDescent="0.3">
      <c r="A449" t="s">
        <v>87</v>
      </c>
      <c r="B449" t="s">
        <v>522</v>
      </c>
    </row>
    <row r="450" spans="1:2" x14ac:dyDescent="0.3">
      <c r="A450" t="s">
        <v>88</v>
      </c>
      <c r="B450" s="12"/>
    </row>
    <row r="451" spans="1:2" x14ac:dyDescent="0.3">
      <c r="A451" t="s">
        <v>89</v>
      </c>
      <c r="B451" s="12">
        <v>2050</v>
      </c>
    </row>
    <row r="452" spans="1:2" x14ac:dyDescent="0.3">
      <c r="A452" t="s">
        <v>131</v>
      </c>
      <c r="B452" s="12" t="str">
        <f>B449&amp;" - "&amp;B451&amp;" - "&amp;B448</f>
        <v>Motorbike, electric, 11-35kW - 2050 - CH</v>
      </c>
    </row>
    <row r="453" spans="1:2" x14ac:dyDescent="0.3">
      <c r="A453" t="s">
        <v>74</v>
      </c>
      <c r="B453" s="12" t="str">
        <f>"transport, "&amp;B449</f>
        <v>transport, Motorbike, electric, 11-35kW</v>
      </c>
    </row>
    <row r="454" spans="1:2" x14ac:dyDescent="0.3">
      <c r="A454" t="s">
        <v>75</v>
      </c>
      <c r="B454" t="s">
        <v>76</v>
      </c>
    </row>
    <row r="455" spans="1:2" x14ac:dyDescent="0.3">
      <c r="A455" t="s">
        <v>77</v>
      </c>
      <c r="B455" t="s">
        <v>172</v>
      </c>
    </row>
    <row r="456" spans="1:2" x14ac:dyDescent="0.3">
      <c r="A456" t="s">
        <v>79</v>
      </c>
      <c r="B456" t="s">
        <v>90</v>
      </c>
    </row>
    <row r="457" spans="1:2" x14ac:dyDescent="0.3">
      <c r="A457" t="s">
        <v>132</v>
      </c>
      <c r="B457">
        <f>INDEX('vehicles specifications'!$B$3:$CK$86,MATCH(B452,'vehicles specifications'!$A$3:$A$86,0),MATCH("Lifetime [km]",'vehicles specifications'!$B$2:$CK$2,0))</f>
        <v>62100</v>
      </c>
    </row>
    <row r="458" spans="1:2" x14ac:dyDescent="0.3">
      <c r="A458" t="s">
        <v>133</v>
      </c>
      <c r="B458">
        <f>INDEX('vehicles specifications'!$B$3:$CK$86,MATCH(B452,'vehicles specifications'!$A$3:$A$86,0),MATCH("Passengers [unit]",'vehicles specifications'!$B$2:$CK$2,0))</f>
        <v>1.1000000000000001</v>
      </c>
    </row>
    <row r="459" spans="1:2" x14ac:dyDescent="0.3">
      <c r="A459" t="s">
        <v>134</v>
      </c>
      <c r="B459">
        <f>INDEX('vehicles specifications'!$B$3:$CK$86,MATCH(B452,'vehicles specifications'!$A$3:$A$86,0),MATCH("Servicing [unit]",'vehicles specifications'!$B$2:$CK$2,0))</f>
        <v>1.242</v>
      </c>
    </row>
    <row r="460" spans="1:2" x14ac:dyDescent="0.3">
      <c r="A460" t="s">
        <v>135</v>
      </c>
      <c r="B460">
        <f>INDEX('vehicles specifications'!$B$3:$CK$86,MATCH(B452,'vehicles specifications'!$A$3:$A$86,0),MATCH("Energy battery replacement [unit]",'vehicles specifications'!$B$2:$CK$2,0))</f>
        <v>0</v>
      </c>
    </row>
    <row r="461" spans="1:2" x14ac:dyDescent="0.3">
      <c r="A461" t="s">
        <v>136</v>
      </c>
      <c r="B461">
        <f>INDEX('vehicles specifications'!$B$3:$CK$86,MATCH(B452,'vehicles specifications'!$A$3:$A$86,0),MATCH("Annual kilometers [km]",'vehicles specifications'!$B$2:$CK$2,0))</f>
        <v>4690</v>
      </c>
    </row>
    <row r="462" spans="1:2" x14ac:dyDescent="0.3">
      <c r="A462" t="s">
        <v>137</v>
      </c>
      <c r="B462" s="2">
        <f>INDEX('vehicles specifications'!$B$3:$CK$86,MATCH(B452,'vehicles specifications'!$A$3:$A$86,0),MATCH("Curb mass [kg]",'vehicles specifications'!$B$2:$CK$2,0))</f>
        <v>162.05000000000001</v>
      </c>
    </row>
    <row r="463" spans="1:2" x14ac:dyDescent="0.3">
      <c r="A463" t="s">
        <v>138</v>
      </c>
      <c r="B463">
        <f>INDEX('vehicles specifications'!$B$3:$CK$86,MATCH(B452,'vehicles specifications'!$A$3:$A$86,0),MATCH("Power [kW]",'vehicles specifications'!$B$2:$CK$2,0))</f>
        <v>14</v>
      </c>
    </row>
    <row r="464" spans="1:2" x14ac:dyDescent="0.3">
      <c r="A464" t="s">
        <v>139</v>
      </c>
      <c r="B464">
        <f>INDEX('vehicles specifications'!$B$3:$CK$86,MATCH(B452,'vehicles specifications'!$A$3:$A$86,0),MATCH("Energy battery mass [kg]",'vehicles specifications'!$B$2:$CK$2,0))</f>
        <v>54.72</v>
      </c>
    </row>
    <row r="465" spans="1:8" x14ac:dyDescent="0.3">
      <c r="A465" t="s">
        <v>140</v>
      </c>
      <c r="B465" s="21">
        <f>INDEX('vehicles specifications'!$B$3:$CK$86,MATCH(B452,'vehicles specifications'!$A$3:$A$86,0),MATCH("Electric energy stored [kWh]",'vehicles specifications'!$B$2:$CK$2,0))</f>
        <v>22.8</v>
      </c>
    </row>
    <row r="466" spans="1:8" s="21" customFormat="1" x14ac:dyDescent="0.3">
      <c r="A466" s="21" t="s">
        <v>654</v>
      </c>
      <c r="B466" s="21">
        <f>INDEX('vehicles specifications'!$B$3:$CK$86,MATCH(B452,'vehicles specifications'!$A$3:$A$86,0),MATCH("Electric energy available [kWh]",'vehicles specifications'!$B$2:$CK$2,0))</f>
        <v>18.240000000000002</v>
      </c>
    </row>
    <row r="467" spans="1:8" x14ac:dyDescent="0.3">
      <c r="A467" t="s">
        <v>143</v>
      </c>
      <c r="B467" s="2">
        <f>INDEX('vehicles specifications'!$B$3:$CK$86,MATCH(B452,'vehicles specifications'!$A$3:$A$86,0),MATCH("Oxydation energy stored [kWh]",'vehicles specifications'!$B$2:$CK$2,0))</f>
        <v>0</v>
      </c>
    </row>
    <row r="468" spans="1:8" x14ac:dyDescent="0.3">
      <c r="A468" t="s">
        <v>145</v>
      </c>
      <c r="B468">
        <f>INDEX('vehicles specifications'!$B$3:$CK$86,MATCH(B452,'vehicles specifications'!$A$3:$A$86,0),MATCH("Fuel mass [kg]",'vehicles specifications'!$B$2:$CK$2,0))</f>
        <v>0</v>
      </c>
    </row>
    <row r="469" spans="1:8" x14ac:dyDescent="0.3">
      <c r="A469" t="s">
        <v>141</v>
      </c>
      <c r="B469" s="2">
        <f>INDEX('vehicles specifications'!$B$3:$CK$86,MATCH(B452,'vehicles specifications'!$A$3:$A$86,0),MATCH("Range [km]",'vehicles specifications'!$B$2:$CK$2,0))</f>
        <v>266.54132043956048</v>
      </c>
    </row>
    <row r="470" spans="1:8" x14ac:dyDescent="0.3">
      <c r="A470" t="s">
        <v>142</v>
      </c>
      <c r="B470" t="str">
        <f>INDEX('vehicles specifications'!$B$3:$CK$86,MATCH(B452,'vehicles specifications'!$A$3:$A$86,0),MATCH("Emission standard",'vehicles specifications'!$B$2:$CK$2,0))</f>
        <v>None</v>
      </c>
    </row>
    <row r="471" spans="1:8" x14ac:dyDescent="0.3">
      <c r="A471" t="s">
        <v>144</v>
      </c>
      <c r="B471" s="6">
        <f>INDEX('vehicles specifications'!$B$3:$CK$86,MATCH(B452,'vehicles specifications'!$A$3:$A$86,0),MATCH("Lightweighting rate [%]",'vehicles specifications'!$B$2:$CK$2,0))</f>
        <v>7.0000000000000007E-2</v>
      </c>
    </row>
    <row r="472" spans="1:8" x14ac:dyDescent="0.3">
      <c r="A472" t="s">
        <v>84</v>
      </c>
      <c r="B472" s="21" t="str">
        <f>"Power: "&amp;B463&amp;" kW. Lifetime: "&amp;B457&amp;" km. Annual kilometers: "&amp;B461&amp;" km. Number of passengers: "&amp;B458&amp;". Curb mass: "&amp;ROUND(B462,1)&amp;" kg. Lightweighting of glider: "&amp;ROUND(B471*100,0)&amp;"%. Emission standard: "&amp;B470&amp;". Service visits throughout lifetime: "&amp;ROUND(B459,1)&amp;". Range: "&amp;ROUND(B469,0)&amp;" km. Battery capacity: "&amp;ROUND(B465,1)&amp;" kWh. Available battery capacity: "&amp;B466&amp;" kWh. Battery mass: "&amp;ROUND(B464,1)&amp; " kg. Battery replacement throughout lifetime: "&amp;ROUND(B460,1)&amp;". Fuel tank capacity: "&amp;ROUND(B467,1)&amp;" kWh. Fuel mass: "&amp;ROUND(B468,1)&amp;" kg. Documentation: "&amp;Readmefirst!$B$2&amp;", "&amp;Readmefirst!$B$3&amp;". "&amp;'lci-kick scooter'!B415</f>
        <v xml:space="preserve">Power: 14 kW. Lifetime: 62100 km. Annual kilometers: 4690 km. Number of passengers: 1.1. Curb mass: 162.1 kg. Lightweighting of glider: 7%. Emission standard: None. Service visits throughout lifetime: 1.2. Range: 267 km. Battery capacity: 22.8 kWh. Available battery capacity: 18.24 kWh. Battery mass: 54.7 kg. Battery replacement throughout lifetime: 0. Fuel tank capacity: 0 kWh. Fuel mass: 0 kg. Documentation: 2021 UVEK life-cycle inventories update of on-road vehicles, Sacchi R. (PSI), Bauer C. (PSI), 2021. </v>
      </c>
    </row>
    <row r="473" spans="1:8" ht="15.6" x14ac:dyDescent="0.3">
      <c r="A473" s="11" t="s">
        <v>80</v>
      </c>
    </row>
    <row r="474" spans="1:8" x14ac:dyDescent="0.3">
      <c r="A474" t="s">
        <v>81</v>
      </c>
      <c r="B474" t="s">
        <v>82</v>
      </c>
      <c r="C474" t="s">
        <v>73</v>
      </c>
      <c r="D474" t="s">
        <v>77</v>
      </c>
      <c r="E474" t="s">
        <v>83</v>
      </c>
      <c r="F474" t="s">
        <v>75</v>
      </c>
      <c r="G474" t="s">
        <v>84</v>
      </c>
      <c r="H474" t="s">
        <v>74</v>
      </c>
    </row>
    <row r="475" spans="1:8" x14ac:dyDescent="0.3">
      <c r="A475" s="12" t="str">
        <f>B447</f>
        <v>transport, Motorbike, electric, 11-35kW, 2050, label-certified electricity</v>
      </c>
      <c r="B475" s="12">
        <v>1</v>
      </c>
      <c r="C475" s="12" t="str">
        <f>B448</f>
        <v>CH</v>
      </c>
      <c r="D475" s="12" t="s">
        <v>172</v>
      </c>
      <c r="E475" s="12"/>
      <c r="F475" s="12" t="s">
        <v>85</v>
      </c>
      <c r="G475" s="12" t="s">
        <v>86</v>
      </c>
      <c r="H475" s="12" t="str">
        <f>B453</f>
        <v>transport, Motorbike, electric, 11-35kW</v>
      </c>
    </row>
    <row r="476" spans="1:8" x14ac:dyDescent="0.3">
      <c r="A476" s="12" t="str">
        <f>B449&amp;", "&amp;B451</f>
        <v>Motorbike, electric, 11-35kW, 2050</v>
      </c>
      <c r="B476" s="12">
        <f>1/B457</f>
        <v>1.6103059581320449E-5</v>
      </c>
      <c r="C476" s="12" t="str">
        <f>B448</f>
        <v>CH</v>
      </c>
      <c r="D476" s="12" t="s">
        <v>77</v>
      </c>
      <c r="E476" s="12"/>
      <c r="F476" s="12" t="s">
        <v>91</v>
      </c>
      <c r="G476" s="12"/>
      <c r="H476" s="12" t="str">
        <f>RIGHT(H475,LEN(H475)-11)</f>
        <v>Motorbike, electric, 11-35kW</v>
      </c>
    </row>
    <row r="477" spans="1:8" x14ac:dyDescent="0.3">
      <c r="A477" s="12" t="str">
        <f>INDEX('ei names mapping'!$B$4:$R$33,MATCH(B449,'ei names mapping'!$A$4:$A$33,0),MATCH(G477,'ei names mapping'!$B$3:$R$3,0))</f>
        <v>road maintenance</v>
      </c>
      <c r="B477" s="16">
        <f>INDEX('vehicles specifications'!$B$3:$CK$86,MATCH(B452,'vehicles specifications'!$A$3:$A$86,0),MATCH(G477,'vehicles specifications'!$B$2:$CK$2,0))*INDEX('ei names mapping'!$B$137:$BK$220,MATCH(B452,'ei names mapping'!$A$137:$A$220,0),MATCH(G477,'ei names mapping'!$B$136:$BK$136,0))</f>
        <v>1.2899999999999999E-3</v>
      </c>
      <c r="C477" s="12" t="str">
        <f>INDEX('ei names mapping'!$B$38:$R$67,MATCH(B449,'ei names mapping'!$A$4:$A$33,0),MATCH(G477,'ei names mapping'!$B$3:$R$3,0))</f>
        <v>CH</v>
      </c>
      <c r="D477" s="12" t="str">
        <f>INDEX('ei names mapping'!$B$104:$BK$133,MATCH(B449,'ei names mapping'!$A$4:$A$33,0),MATCH(G477,'ei names mapping'!$B$3:$BK$3,0))</f>
        <v>meter-year</v>
      </c>
      <c r="E477" s="12"/>
      <c r="F477" s="12" t="s">
        <v>91</v>
      </c>
      <c r="G477" t="s">
        <v>117</v>
      </c>
      <c r="H477" s="12" t="str">
        <f>INDEX('ei names mapping'!$B$71:$BK$100,MATCH(B449,'ei names mapping'!$A$4:$A$33,0),MATCH(G477,'ei names mapping'!$B$3:$BK$3,0))</f>
        <v>road maintenance</v>
      </c>
    </row>
    <row r="478" spans="1:8" x14ac:dyDescent="0.3">
      <c r="A478" s="12" t="s">
        <v>114</v>
      </c>
      <c r="B478" s="14">
        <f>INDEX('vehicles specifications'!$B$3:$CK$86,MATCH(B452,'vehicles specifications'!$A$3:$A$86,0),MATCH(G478,'vehicles specifications'!$B$2:$CK$2,0))*INDEX('ei names mapping'!$B$137:$BK$220,MATCH(B452,'ei names mapping'!$A$137:$A$220,0),MATCH(G478,'ei names mapping'!$B$136:$BK$136,0))</f>
        <v>7.5275383069731625E-2</v>
      </c>
      <c r="C478" s="12" t="str">
        <f>INDEX('ei names mapping'!$B$38:$R$67,MATCH($B$3,'ei names mapping'!$A$4:$A$33,0),MATCH(G478,'ei names mapping'!$B$3:$R$3,0))</f>
        <v>CH</v>
      </c>
      <c r="D478" s="12" t="str">
        <f>INDEX('ei names mapping'!$B$104:$R$133,MATCH($B$3,'ei names mapping'!$A$4:$A$33,0),MATCH(G478,'ei names mapping'!$B$3:$R$3,0))</f>
        <v>kilowatt hour</v>
      </c>
      <c r="E478" s="12"/>
      <c r="F478" s="12" t="s">
        <v>91</v>
      </c>
      <c r="G478" t="s">
        <v>28</v>
      </c>
      <c r="H478" s="12" t="s">
        <v>116</v>
      </c>
    </row>
    <row r="479" spans="1:8" x14ac:dyDescent="0.3">
      <c r="A479" s="12" t="str">
        <f>INDEX('ei names mapping'!$B$4:$R$33,MATCH(B449,'ei names mapping'!$A$4:$A$33,0),MATCH(G479,'ei names mapping'!$B$3:$R$3,0))</f>
        <v>market for maintenance, electric scooter, without battery</v>
      </c>
      <c r="B479" s="16">
        <f>INDEX('vehicles specifications'!$B$3:$CK$86,MATCH(B452,'vehicles specifications'!$A$3:$A$86,0),MATCH(G479,'vehicles specifications'!$B$2:$CK$2,0))*INDEX('ei names mapping'!$B$137:$BK$220,MATCH(B452,'ei names mapping'!$A$137:$A$220,0),MATCH(G479,'ei names mapping'!$B$136:$BK$136,0))</f>
        <v>1.9999999999999998E-5</v>
      </c>
      <c r="C479" s="12" t="str">
        <f>INDEX('ei names mapping'!$B$38:$BK$67,MATCH(B449,'ei names mapping'!$A$4:$A$33,0),MATCH(G479,'ei names mapping'!$B$3:$BK$3,0))</f>
        <v>GLO</v>
      </c>
      <c r="D479" s="12" t="str">
        <f>INDEX('ei names mapping'!$B$104:$BK$133,MATCH(B449,'ei names mapping'!$A$4:$A$33,0),MATCH(G479,'ei names mapping'!$B$3:$BK$3,0))</f>
        <v>unit</v>
      </c>
      <c r="F479" s="12" t="s">
        <v>91</v>
      </c>
      <c r="G479" s="12" t="s">
        <v>123</v>
      </c>
      <c r="H479" s="12" t="str">
        <f>INDEX('ei names mapping'!$B$71:$BK$100,MATCH(B449,'ei names mapping'!$A$4:$A$33,0),MATCH(G479,'ei names mapping'!$B$3:$BK$3,0))</f>
        <v>maintenance, electric scooter, without battery</v>
      </c>
    </row>
    <row r="480" spans="1:8" s="21" customFormat="1" x14ac:dyDescent="0.3">
      <c r="A480" s="12" t="str">
        <f>INDEX('ei names mapping'!$B$4:$R$33,MATCH(B449,'ei names mapping'!$A$4:$A$33,0),MATCH(G480,'ei names mapping'!$B$3:$R$3,0))</f>
        <v>road construction</v>
      </c>
      <c r="B480" s="16">
        <f>INDEX('vehicles specifications'!$B$3:$CK$86,MATCH(B452,'vehicles specifications'!$A$3:$A$86,0),MATCH(G480,'vehicles specifications'!$B$2:$CK$2,0))*INDEX('ei names mapping'!$B$137:$BK$220,MATCH(B452,'ei names mapping'!$A$137:$A$220,0),MATCH(G480,'ei names mapping'!$B$136:$BK$136,0))</f>
        <v>1.3159185000000001E-4</v>
      </c>
      <c r="C480" s="12" t="str">
        <f>INDEX('ei names mapping'!$B$38:$R$67,MATCH(B449,'ei names mapping'!$A$4:$A$33,0),MATCH(G480,'ei names mapping'!$B$3:$R$3,0))</f>
        <v>CH</v>
      </c>
      <c r="D480" s="12" t="str">
        <f>INDEX('ei names mapping'!$B$104:$R$133,MATCH(B449,'ei names mapping'!$A$104:$A$133,0),MATCH(G480,'ei names mapping'!$B$3:$R$3,0))</f>
        <v>meter-year</v>
      </c>
      <c r="E480" s="12"/>
      <c r="F480" s="12" t="s">
        <v>91</v>
      </c>
      <c r="G480" s="21" t="s">
        <v>108</v>
      </c>
      <c r="H480" s="12" t="str">
        <f>INDEX('ei names mapping'!$B$71:$R$100,MATCH(B449,'ei names mapping'!$A$4:$A$33,0),MATCH(G480,'ei names mapping'!$B$3:$R$3,0))</f>
        <v>road</v>
      </c>
    </row>
    <row r="481" spans="1:8" x14ac:dyDescent="0.3">
      <c r="A481" s="12" t="str">
        <f>INDEX('ei names mapping'!$B$4:$BK$33,MATCH(B449,'ei names mapping'!$A$4:$A$33,0),MATCH(G481,'ei names mapping'!$B$3:$BK$3,0))</f>
        <v>treatment of road wear emissions, passenger car</v>
      </c>
      <c r="B481" s="16">
        <f>INDEX('vehicles specifications'!$B$3:$CK$86,MATCH(B452,'vehicles specifications'!$A$3:$A$86,0),MATCH(G481,'vehicles specifications'!$B$2:$CK$2,0))*INDEX('ei names mapping'!$B$137:$BK$220,MATCH(B452,'ei names mapping'!$A$137:$A$220,0),MATCH(G481,'ei names mapping'!$B$136:$BK$136,0))</f>
        <v>-6.0000000000000002E-6</v>
      </c>
      <c r="C481" s="12" t="str">
        <f>INDEX('ei names mapping'!$B$38:$BK$67,MATCH(B449,'ei names mapping'!$A$4:$A$33,0),MATCH(G481,'ei names mapping'!$B$3:$BK$3,0))</f>
        <v>RER</v>
      </c>
      <c r="D481" s="12" t="str">
        <f>INDEX('ei names mapping'!$B$104:$BK$133,MATCH(B449,'ei names mapping'!$A$4:$A$33,0),MATCH(G481,'ei names mapping'!$B$3:$BK$3,0))</f>
        <v>kilogram</v>
      </c>
      <c r="E481" s="12"/>
      <c r="F481" s="12" t="s">
        <v>91</v>
      </c>
      <c r="G481" t="s">
        <v>29</v>
      </c>
      <c r="H481" s="12" t="str">
        <f>INDEX('ei names mapping'!$B$71:$BK$100,MATCH(B449,'ei names mapping'!$A$4:$A$33,0),MATCH(G481,'ei names mapping'!$B$3:$BK$3,0))</f>
        <v>road wear emissions, passenger car</v>
      </c>
    </row>
    <row r="482" spans="1:8" x14ac:dyDescent="0.3">
      <c r="A482" s="12" t="str">
        <f>INDEX('ei names mapping'!$B$4:$BK$33,MATCH(B449,'ei names mapping'!$A$4:$A$33,0),MATCH(G482,'ei names mapping'!$B$3:$BK$3,0))</f>
        <v>treatment of tyre wear emissions, passenger car</v>
      </c>
      <c r="B482" s="16">
        <f>INDEX('vehicles specifications'!$B$3:$CK$86,MATCH(B452,'vehicles specifications'!$A$3:$A$86,0),MATCH(G482,'vehicles specifications'!$B$2:$CK$2,0))*INDEX('ei names mapping'!$B$137:$BK$220,MATCH(B452,'ei names mapping'!$A$137:$A$220,0),MATCH(G482,'ei names mapping'!$B$136:$BK$136,0))</f>
        <v>-7.3669999999999991E-6</v>
      </c>
      <c r="C482" s="12" t="str">
        <f>INDEX('ei names mapping'!$B$38:$BK$67,MATCH(B449,'ei names mapping'!$A$4:$A$33,0),MATCH(G482,'ei names mapping'!$B$3:$BK$3,0))</f>
        <v>RER</v>
      </c>
      <c r="D482" s="12" t="str">
        <f>INDEX('ei names mapping'!$B$104:$BK$133,MATCH(B449,'ei names mapping'!$A$4:$A$33,0),MATCH(G482,'ei names mapping'!$B$3:$BK$3,0))</f>
        <v>kilogram</v>
      </c>
      <c r="E482" s="12"/>
      <c r="F482" s="12" t="s">
        <v>91</v>
      </c>
      <c r="G482" t="s">
        <v>30</v>
      </c>
      <c r="H482" s="12" t="str">
        <f>INDEX('ei names mapping'!$B$71:$BK$100,MATCH(B449,'ei names mapping'!$A$4:$A$33,0),MATCH(G482,'ei names mapping'!$B$3:$BK$3,0))</f>
        <v>tyre wear emissions, passenger car</v>
      </c>
    </row>
    <row r="483" spans="1:8" x14ac:dyDescent="0.3">
      <c r="A483" s="12" t="str">
        <f>INDEX('ei names mapping'!$B$4:$BK$33,MATCH(B449,'ei names mapping'!$A$4:$A$33,0),MATCH(G483,'ei names mapping'!$B$3:$BK$3,0))</f>
        <v>treatment of brake wear emissions, passenger car</v>
      </c>
      <c r="B483" s="16">
        <f>INDEX('vehicles specifications'!$B$3:$CK$86,MATCH(B452,'vehicles specifications'!$A$3:$A$86,0),MATCH(G483,'vehicles specifications'!$B$2:$CK$2,0))*INDEX('ei names mapping'!$B$137:$BK$220,MATCH(B452,'ei names mapping'!$A$137:$A$220,0),MATCH(G483,'ei names mapping'!$B$136:$BK$136,0))</f>
        <v>-4.1749999999999998E-6</v>
      </c>
      <c r="C483" s="12" t="str">
        <f>INDEX('ei names mapping'!$B$38:$BK$67,MATCH(B449,'ei names mapping'!$A$4:$A$33,0),MATCH(G483,'ei names mapping'!$B$3:$BK$3,0))</f>
        <v>RER</v>
      </c>
      <c r="D483" s="12" t="str">
        <f>INDEX('ei names mapping'!$B$104:$BK$133,MATCH(B449,'ei names mapping'!$A$4:$A$33,0),MATCH(G483,'ei names mapping'!$B$3:$BK$3,0))</f>
        <v>kilogram</v>
      </c>
      <c r="E483" s="12"/>
      <c r="F483" s="12" t="s">
        <v>91</v>
      </c>
      <c r="G483" t="s">
        <v>31</v>
      </c>
      <c r="H483" s="12" t="str">
        <f>INDEX('ei names mapping'!$B$71:$BK$100,MATCH(B449,'ei names mapping'!$A$4:$A$33,0),MATCH(G483,'ei names mapping'!$B$3:$BK$3,0))</f>
        <v>brake wear emissions, passenger car</v>
      </c>
    </row>
    <row r="485" spans="1:8" ht="15.6" x14ac:dyDescent="0.3">
      <c r="A485" s="11"/>
      <c r="B485" s="9"/>
    </row>
    <row r="488" spans="1:8" x14ac:dyDescent="0.3">
      <c r="B488" s="12"/>
    </row>
    <row r="489" spans="1:8" x14ac:dyDescent="0.3">
      <c r="B489" s="12"/>
    </row>
    <row r="490" spans="1:8" x14ac:dyDescent="0.3">
      <c r="B490" s="12"/>
    </row>
    <row r="500" spans="1:8" x14ac:dyDescent="0.3">
      <c r="B500" s="2"/>
    </row>
    <row r="504" spans="1:8" x14ac:dyDescent="0.3">
      <c r="B504" s="2"/>
    </row>
    <row r="506" spans="1:8" x14ac:dyDescent="0.3">
      <c r="B506" s="2"/>
    </row>
    <row r="508" spans="1:8" x14ac:dyDescent="0.3">
      <c r="B508" s="6"/>
    </row>
    <row r="510" spans="1:8" ht="15.6" x14ac:dyDescent="0.3">
      <c r="A510" s="11"/>
    </row>
    <row r="512" spans="1:8" x14ac:dyDescent="0.3">
      <c r="A512" s="12"/>
      <c r="B512" s="12"/>
      <c r="C512" s="12"/>
      <c r="D512" s="12"/>
      <c r="E512" s="12"/>
      <c r="F512" s="12"/>
      <c r="G512" s="12"/>
      <c r="H512" s="12"/>
    </row>
    <row r="513" spans="1:8" x14ac:dyDescent="0.3">
      <c r="A513" s="12"/>
      <c r="B513" s="16"/>
      <c r="C513" s="12"/>
      <c r="D513" s="12"/>
      <c r="E513" s="12"/>
      <c r="F513" s="12"/>
      <c r="G513" s="12"/>
      <c r="H513" s="12"/>
    </row>
    <row r="514" spans="1:8" x14ac:dyDescent="0.3">
      <c r="A514" s="12"/>
      <c r="B514" s="16"/>
      <c r="C514" s="12"/>
      <c r="D514" s="12"/>
      <c r="E514" s="12"/>
      <c r="F514" s="12"/>
      <c r="H514" s="12"/>
    </row>
    <row r="515" spans="1:8" x14ac:dyDescent="0.3">
      <c r="A515" s="12"/>
      <c r="B515" s="16"/>
      <c r="C515" s="12"/>
      <c r="D515" s="12"/>
      <c r="E515" s="12"/>
      <c r="F515" s="12"/>
      <c r="H515" s="12"/>
    </row>
    <row r="516" spans="1:8" x14ac:dyDescent="0.3">
      <c r="A516" s="12"/>
      <c r="B516" s="16"/>
      <c r="C516" s="12"/>
      <c r="D516" s="12"/>
      <c r="E516" s="12"/>
      <c r="F516" s="12"/>
      <c r="H516" s="12"/>
    </row>
    <row r="517" spans="1:8" x14ac:dyDescent="0.3">
      <c r="A517" s="12"/>
      <c r="B517" s="16"/>
      <c r="C517" s="12"/>
      <c r="D517" s="12"/>
      <c r="E517" s="12"/>
      <c r="F517" s="12"/>
      <c r="H517" s="12"/>
    </row>
    <row r="518" spans="1:8" x14ac:dyDescent="0.3">
      <c r="A518" s="12"/>
      <c r="B518" s="16"/>
      <c r="C518" s="12"/>
      <c r="D518" s="12"/>
      <c r="E518" s="12"/>
      <c r="F518" s="12"/>
      <c r="H518" s="12"/>
    </row>
    <row r="519" spans="1:8" x14ac:dyDescent="0.3">
      <c r="A519" s="12"/>
      <c r="B519" s="16"/>
      <c r="C519" s="12"/>
      <c r="D519" s="12"/>
      <c r="E519" s="12"/>
      <c r="F519" s="12"/>
      <c r="H519" s="12"/>
    </row>
    <row r="520" spans="1:8" x14ac:dyDescent="0.3">
      <c r="A520" s="12"/>
      <c r="B520" s="16"/>
      <c r="C520" s="12"/>
      <c r="D520" s="12"/>
      <c r="E520" s="12"/>
      <c r="F520" s="12"/>
      <c r="H520" s="12"/>
    </row>
    <row r="521" spans="1:8" x14ac:dyDescent="0.3">
      <c r="A521" s="12"/>
      <c r="B521" s="16"/>
      <c r="C521" s="12"/>
      <c r="D521" s="12"/>
      <c r="E521" s="12"/>
      <c r="F521" s="12"/>
      <c r="H521" s="12"/>
    </row>
    <row r="522" spans="1:8" x14ac:dyDescent="0.3">
      <c r="A522" s="12"/>
      <c r="B522" s="16"/>
      <c r="C522" s="12"/>
      <c r="D522" s="12"/>
      <c r="E522" s="12"/>
      <c r="F522" s="12"/>
      <c r="H522" s="12"/>
    </row>
    <row r="523" spans="1:8" x14ac:dyDescent="0.3">
      <c r="A523" s="12"/>
      <c r="B523" s="16"/>
      <c r="C523" s="12"/>
      <c r="D523" s="12"/>
      <c r="E523" s="12"/>
      <c r="F523" s="12"/>
      <c r="H523" s="12"/>
    </row>
    <row r="524" spans="1:8" ht="15.6" x14ac:dyDescent="0.3">
      <c r="A524" s="11"/>
      <c r="B524" s="9"/>
    </row>
    <row r="527" spans="1:8" x14ac:dyDescent="0.3">
      <c r="B527" s="12"/>
    </row>
    <row r="528" spans="1:8" x14ac:dyDescent="0.3">
      <c r="B528" s="12"/>
    </row>
    <row r="529" spans="2:2" x14ac:dyDescent="0.3">
      <c r="B529" s="12"/>
    </row>
    <row r="539" spans="2:2" x14ac:dyDescent="0.3">
      <c r="B539" s="2"/>
    </row>
    <row r="543" spans="2:2" x14ac:dyDescent="0.3">
      <c r="B543" s="2"/>
    </row>
    <row r="545" spans="1:8" x14ac:dyDescent="0.3">
      <c r="B545" s="2"/>
    </row>
    <row r="547" spans="1:8" x14ac:dyDescent="0.3">
      <c r="B547" s="6"/>
    </row>
    <row r="549" spans="1:8" ht="15.6" x14ac:dyDescent="0.3">
      <c r="A549" s="11"/>
    </row>
    <row r="551" spans="1:8" x14ac:dyDescent="0.3">
      <c r="A551" s="12"/>
      <c r="B551" s="12"/>
      <c r="C551" s="12"/>
      <c r="D551" s="12"/>
      <c r="E551" s="12"/>
      <c r="F551" s="12"/>
      <c r="G551" s="12"/>
      <c r="H551" s="12"/>
    </row>
    <row r="552" spans="1:8" x14ac:dyDescent="0.3">
      <c r="A552" s="12"/>
      <c r="B552" s="16"/>
      <c r="C552" s="12"/>
      <c r="D552" s="12"/>
      <c r="E552" s="12"/>
      <c r="F552" s="12"/>
      <c r="G552" s="12"/>
      <c r="H552" s="12"/>
    </row>
    <row r="553" spans="1:8" x14ac:dyDescent="0.3">
      <c r="A553" s="12"/>
      <c r="B553" s="16"/>
      <c r="C553" s="12"/>
      <c r="D553" s="12"/>
      <c r="E553" s="12"/>
      <c r="F553" s="12"/>
      <c r="H553" s="12"/>
    </row>
    <row r="554" spans="1:8" x14ac:dyDescent="0.3">
      <c r="A554" s="12"/>
      <c r="B554" s="16"/>
      <c r="C554" s="12"/>
      <c r="D554" s="12"/>
      <c r="E554" s="12"/>
      <c r="F554" s="12"/>
      <c r="H554" s="12"/>
    </row>
    <row r="555" spans="1:8" x14ac:dyDescent="0.3">
      <c r="A555" s="12"/>
      <c r="B555" s="16"/>
      <c r="C555" s="12"/>
      <c r="D555" s="12"/>
      <c r="E555" s="12"/>
      <c r="F555" s="12"/>
      <c r="H555" s="12"/>
    </row>
    <row r="556" spans="1:8" x14ac:dyDescent="0.3">
      <c r="A556" s="12"/>
      <c r="B556" s="16"/>
      <c r="C556" s="12"/>
      <c r="D556" s="12"/>
      <c r="E556" s="12"/>
      <c r="F556" s="12"/>
      <c r="H556" s="12"/>
    </row>
    <row r="557" spans="1:8" x14ac:dyDescent="0.3">
      <c r="A557" s="12"/>
      <c r="B557" s="16"/>
      <c r="C557" s="12"/>
      <c r="D557" s="12"/>
      <c r="E557" s="12"/>
      <c r="F557" s="12"/>
      <c r="H557" s="12"/>
    </row>
    <row r="558" spans="1:8" x14ac:dyDescent="0.3">
      <c r="A558" s="12"/>
      <c r="B558" s="16"/>
      <c r="C558" s="12"/>
      <c r="D558" s="12"/>
      <c r="E558" s="12"/>
      <c r="F558" s="12"/>
      <c r="H558" s="12"/>
    </row>
    <row r="559" spans="1:8" x14ac:dyDescent="0.3">
      <c r="A559" s="12"/>
      <c r="B559" s="16"/>
      <c r="C559" s="12"/>
      <c r="D559" s="12"/>
      <c r="E559" s="12"/>
      <c r="F559" s="12"/>
      <c r="H559" s="12"/>
    </row>
    <row r="560" spans="1:8" x14ac:dyDescent="0.3">
      <c r="A560" s="12"/>
      <c r="B560" s="16"/>
      <c r="C560" s="12"/>
      <c r="D560" s="12"/>
      <c r="E560" s="12"/>
      <c r="F560" s="12"/>
      <c r="H560" s="12"/>
    </row>
    <row r="561" spans="1:8" x14ac:dyDescent="0.3">
      <c r="A561" s="12"/>
      <c r="B561" s="16"/>
      <c r="C561" s="12"/>
      <c r="D561" s="12"/>
      <c r="E561" s="12"/>
      <c r="F561" s="12"/>
      <c r="H561" s="12"/>
    </row>
    <row r="562" spans="1:8" x14ac:dyDescent="0.3">
      <c r="B562" s="12"/>
    </row>
    <row r="563" spans="1:8" ht="15.6" x14ac:dyDescent="0.3">
      <c r="A563" s="11"/>
      <c r="B563" s="9"/>
    </row>
    <row r="566" spans="1:8" x14ac:dyDescent="0.3">
      <c r="B566" s="12"/>
    </row>
    <row r="567" spans="1:8" x14ac:dyDescent="0.3">
      <c r="B567" s="12"/>
    </row>
    <row r="568" spans="1:8" x14ac:dyDescent="0.3">
      <c r="B568" s="12"/>
    </row>
    <row r="578" spans="1:8" x14ac:dyDescent="0.3">
      <c r="B578" s="2"/>
    </row>
    <row r="582" spans="1:8" x14ac:dyDescent="0.3">
      <c r="B582" s="2"/>
    </row>
    <row r="584" spans="1:8" x14ac:dyDescent="0.3">
      <c r="B584" s="2"/>
    </row>
    <row r="586" spans="1:8" x14ac:dyDescent="0.3">
      <c r="B586" s="6"/>
    </row>
    <row r="588" spans="1:8" ht="15.6" x14ac:dyDescent="0.3">
      <c r="A588" s="11"/>
    </row>
    <row r="590" spans="1:8" x14ac:dyDescent="0.3">
      <c r="A590" s="12"/>
      <c r="B590" s="12"/>
      <c r="C590" s="12"/>
      <c r="D590" s="12"/>
      <c r="E590" s="12"/>
      <c r="F590" s="12"/>
      <c r="G590" s="12"/>
      <c r="H590" s="12"/>
    </row>
    <row r="591" spans="1:8" x14ac:dyDescent="0.3">
      <c r="A591" s="12"/>
      <c r="B591" s="16"/>
      <c r="C591" s="12"/>
      <c r="D591" s="12"/>
      <c r="E591" s="12"/>
      <c r="F591" s="12"/>
      <c r="G591" s="12"/>
      <c r="H591" s="12"/>
    </row>
    <row r="592" spans="1:8" x14ac:dyDescent="0.3">
      <c r="A592" s="12"/>
      <c r="B592" s="16"/>
      <c r="C592" s="12"/>
      <c r="D592" s="12"/>
      <c r="E592" s="12"/>
      <c r="F592" s="12"/>
      <c r="H592" s="12"/>
    </row>
    <row r="593" spans="1:8" x14ac:dyDescent="0.3">
      <c r="A593" s="12"/>
      <c r="B593" s="16"/>
      <c r="C593" s="12"/>
      <c r="D593" s="12"/>
      <c r="E593" s="12"/>
      <c r="F593" s="12"/>
      <c r="H593" s="12"/>
    </row>
    <row r="594" spans="1:8" x14ac:dyDescent="0.3">
      <c r="A594" s="12"/>
      <c r="B594" s="16"/>
      <c r="C594" s="12"/>
      <c r="D594" s="12"/>
      <c r="E594" s="12"/>
      <c r="F594" s="12"/>
      <c r="H594" s="12"/>
    </row>
    <row r="595" spans="1:8" x14ac:dyDescent="0.3">
      <c r="A595" s="12"/>
      <c r="B595" s="16"/>
      <c r="C595" s="12"/>
      <c r="D595" s="12"/>
      <c r="E595" s="12"/>
      <c r="F595" s="12"/>
      <c r="H595" s="12"/>
    </row>
    <row r="596" spans="1:8" x14ac:dyDescent="0.3">
      <c r="A596" s="12"/>
      <c r="B596" s="16"/>
      <c r="C596" s="12"/>
      <c r="D596" s="12"/>
      <c r="E596" s="12"/>
      <c r="F596" s="12"/>
      <c r="H596" s="12"/>
    </row>
    <row r="597" spans="1:8" x14ac:dyDescent="0.3">
      <c r="A597" s="12"/>
      <c r="B597" s="16"/>
      <c r="C597" s="12"/>
      <c r="D597" s="12"/>
      <c r="E597" s="12"/>
      <c r="F597" s="12"/>
      <c r="H597" s="12"/>
    </row>
    <row r="598" spans="1:8" x14ac:dyDescent="0.3">
      <c r="A598" s="12"/>
      <c r="B598" s="16"/>
      <c r="C598" s="12"/>
      <c r="D598" s="12"/>
      <c r="E598" s="12"/>
      <c r="F598" s="12"/>
      <c r="H598" s="12"/>
    </row>
    <row r="599" spans="1:8" x14ac:dyDescent="0.3">
      <c r="A599" s="12"/>
      <c r="B599" s="16"/>
      <c r="C599" s="12"/>
      <c r="D599" s="12"/>
      <c r="E599" s="12"/>
      <c r="F599" s="12"/>
      <c r="H599" s="12"/>
    </row>
    <row r="600" spans="1:8" x14ac:dyDescent="0.3">
      <c r="A600" s="12"/>
      <c r="B600" s="16"/>
      <c r="C600" s="12"/>
      <c r="D600" s="12"/>
      <c r="E600" s="12"/>
      <c r="F600" s="12"/>
      <c r="H600" s="12"/>
    </row>
    <row r="602" spans="1:8" ht="15.6" x14ac:dyDescent="0.3">
      <c r="A602" s="11"/>
      <c r="B602" s="9"/>
    </row>
    <row r="605" spans="1:8" x14ac:dyDescent="0.3">
      <c r="B605" s="12"/>
    </row>
    <row r="606" spans="1:8" x14ac:dyDescent="0.3">
      <c r="B606" s="12"/>
    </row>
    <row r="607" spans="1:8" x14ac:dyDescent="0.3">
      <c r="B607" s="12"/>
    </row>
    <row r="617" spans="2:2" x14ac:dyDescent="0.3">
      <c r="B617" s="2"/>
    </row>
    <row r="621" spans="2:2" x14ac:dyDescent="0.3">
      <c r="B621" s="2"/>
    </row>
    <row r="623" spans="2:2" x14ac:dyDescent="0.3">
      <c r="B623" s="2"/>
    </row>
    <row r="625" spans="1:8" x14ac:dyDescent="0.3">
      <c r="B625" s="6"/>
    </row>
    <row r="627" spans="1:8" ht="15.6" x14ac:dyDescent="0.3">
      <c r="A627" s="11"/>
    </row>
    <row r="629" spans="1:8" x14ac:dyDescent="0.3">
      <c r="A629" s="12"/>
      <c r="B629" s="12"/>
      <c r="C629" s="12"/>
      <c r="D629" s="12"/>
      <c r="E629" s="12"/>
      <c r="F629" s="12"/>
      <c r="G629" s="12"/>
      <c r="H629" s="12"/>
    </row>
    <row r="630" spans="1:8" x14ac:dyDescent="0.3">
      <c r="A630" s="12"/>
      <c r="B630" s="16"/>
      <c r="C630" s="12"/>
      <c r="D630" s="12"/>
      <c r="E630" s="12"/>
      <c r="F630" s="12"/>
      <c r="G630" s="12"/>
      <c r="H630" s="12"/>
    </row>
    <row r="631" spans="1:8" x14ac:dyDescent="0.3">
      <c r="A631" s="12"/>
      <c r="B631" s="16"/>
      <c r="C631" s="12"/>
      <c r="D631" s="12"/>
      <c r="E631" s="12"/>
      <c r="F631" s="12"/>
      <c r="H631" s="12"/>
    </row>
    <row r="632" spans="1:8" x14ac:dyDescent="0.3">
      <c r="A632" s="12"/>
      <c r="B632" s="16"/>
      <c r="C632" s="12"/>
      <c r="D632" s="12"/>
      <c r="E632" s="12"/>
      <c r="F632" s="12"/>
      <c r="H632" s="12"/>
    </row>
    <row r="633" spans="1:8" x14ac:dyDescent="0.3">
      <c r="A633" s="12"/>
      <c r="B633" s="16"/>
      <c r="C633" s="12"/>
      <c r="D633" s="12"/>
      <c r="E633" s="12"/>
      <c r="F633" s="12"/>
      <c r="H633" s="12"/>
    </row>
    <row r="634" spans="1:8" x14ac:dyDescent="0.3">
      <c r="A634" s="12"/>
      <c r="B634" s="16"/>
      <c r="C634" s="12"/>
      <c r="D634" s="12"/>
      <c r="E634" s="12"/>
      <c r="F634" s="12"/>
      <c r="H634" s="12"/>
    </row>
    <row r="635" spans="1:8" x14ac:dyDescent="0.3">
      <c r="A635" s="12"/>
      <c r="B635" s="16"/>
      <c r="C635" s="12"/>
      <c r="D635" s="12"/>
      <c r="E635" s="12"/>
      <c r="F635" s="12"/>
      <c r="H635" s="12"/>
    </row>
    <row r="636" spans="1:8" x14ac:dyDescent="0.3">
      <c r="A636" s="12"/>
      <c r="B636" s="16"/>
      <c r="C636" s="12"/>
      <c r="D636" s="12"/>
      <c r="E636" s="12"/>
      <c r="F636" s="12"/>
      <c r="H636" s="12"/>
    </row>
    <row r="637" spans="1:8" x14ac:dyDescent="0.3">
      <c r="A637" s="12"/>
      <c r="B637" s="16"/>
      <c r="C637" s="12"/>
      <c r="D637" s="12"/>
      <c r="E637" s="12"/>
      <c r="F637" s="12"/>
      <c r="H637" s="12"/>
    </row>
    <row r="638" spans="1:8" x14ac:dyDescent="0.3">
      <c r="A638" s="12"/>
      <c r="B638" s="16"/>
      <c r="C638" s="12"/>
      <c r="D638" s="12"/>
      <c r="E638" s="12"/>
      <c r="F638" s="12"/>
      <c r="H638" s="12"/>
    </row>
    <row r="639" spans="1:8" x14ac:dyDescent="0.3">
      <c r="A639" s="12"/>
      <c r="B639" s="16"/>
      <c r="C639" s="12"/>
      <c r="D639" s="12"/>
      <c r="E639" s="12"/>
      <c r="F639" s="12"/>
      <c r="H639" s="12"/>
    </row>
    <row r="640" spans="1:8" x14ac:dyDescent="0.3">
      <c r="B640" s="2"/>
    </row>
    <row r="641" spans="1:2" ht="15.6" x14ac:dyDescent="0.3">
      <c r="A641" s="11"/>
      <c r="B641" s="9"/>
    </row>
    <row r="644" spans="1:2" x14ac:dyDescent="0.3">
      <c r="B644" s="12"/>
    </row>
    <row r="645" spans="1:2" x14ac:dyDescent="0.3">
      <c r="B645" s="12"/>
    </row>
    <row r="646" spans="1:2" x14ac:dyDescent="0.3">
      <c r="B646" s="12"/>
    </row>
    <row r="647" spans="1:2" x14ac:dyDescent="0.3">
      <c r="B647" s="12"/>
    </row>
    <row r="656" spans="1:2" x14ac:dyDescent="0.3">
      <c r="B656" s="2"/>
    </row>
    <row r="660" spans="1:8" x14ac:dyDescent="0.3">
      <c r="B660" s="2"/>
    </row>
    <row r="662" spans="1:8" x14ac:dyDescent="0.3">
      <c r="B662" s="2"/>
    </row>
    <row r="664" spans="1:8" x14ac:dyDescent="0.3">
      <c r="B664" s="6"/>
    </row>
    <row r="666" spans="1:8" ht="15.6" x14ac:dyDescent="0.3">
      <c r="A666" s="11"/>
    </row>
    <row r="668" spans="1:8" x14ac:dyDescent="0.3">
      <c r="A668" s="12"/>
      <c r="B668" s="12"/>
      <c r="C668" s="12"/>
      <c r="D668" s="12"/>
      <c r="E668" s="12"/>
      <c r="F668" s="12"/>
      <c r="G668" s="12"/>
      <c r="H668" s="12"/>
    </row>
    <row r="669" spans="1:8" x14ac:dyDescent="0.3">
      <c r="A669" s="12"/>
      <c r="B669" s="15"/>
      <c r="C669" s="12"/>
      <c r="D669" s="12"/>
      <c r="E669" s="12"/>
      <c r="F669" s="12"/>
      <c r="G669" s="12"/>
      <c r="H669" s="12"/>
    </row>
    <row r="670" spans="1:8" x14ac:dyDescent="0.3">
      <c r="A670" s="12"/>
      <c r="B670" s="16"/>
      <c r="C670" s="12"/>
      <c r="D670" s="12"/>
      <c r="E670" s="12"/>
      <c r="F670" s="12"/>
      <c r="H670" s="12"/>
    </row>
    <row r="671" spans="1:8" x14ac:dyDescent="0.3">
      <c r="A671" s="12"/>
      <c r="B671" s="14"/>
      <c r="C671" s="12"/>
      <c r="D671" s="12"/>
      <c r="E671" s="12"/>
      <c r="F671" s="12"/>
      <c r="H671" s="12"/>
    </row>
    <row r="672" spans="1:8" x14ac:dyDescent="0.3">
      <c r="A672" s="12"/>
      <c r="B672" s="16"/>
      <c r="C672" s="12"/>
      <c r="D672" s="12"/>
      <c r="F672" s="12"/>
      <c r="G672" s="12"/>
      <c r="H672" s="12"/>
    </row>
    <row r="673" spans="1:8" x14ac:dyDescent="0.3">
      <c r="A673" s="12"/>
      <c r="B673" s="16"/>
      <c r="C673" s="12"/>
      <c r="D673" s="12"/>
      <c r="E673" s="12"/>
      <c r="F673" s="12"/>
      <c r="H673" s="12"/>
    </row>
    <row r="674" spans="1:8" x14ac:dyDescent="0.3">
      <c r="A674" s="12"/>
      <c r="B674" s="16"/>
      <c r="C674" s="12"/>
      <c r="D674" s="12"/>
      <c r="E674" s="12"/>
      <c r="F674" s="12"/>
      <c r="H674" s="12"/>
    </row>
    <row r="675" spans="1:8" x14ac:dyDescent="0.3">
      <c r="A675" s="12"/>
      <c r="B675" s="16"/>
      <c r="C675" s="12"/>
      <c r="D675" s="12"/>
      <c r="E675" s="12"/>
      <c r="F675" s="12"/>
      <c r="H675" s="12"/>
    </row>
    <row r="676" spans="1:8" x14ac:dyDescent="0.3">
      <c r="B676" s="6"/>
    </row>
    <row r="677" spans="1:8" ht="15.6" x14ac:dyDescent="0.3">
      <c r="A677" s="11"/>
      <c r="B677" s="9"/>
    </row>
    <row r="680" spans="1:8" x14ac:dyDescent="0.3">
      <c r="B680" s="12"/>
    </row>
    <row r="681" spans="1:8" x14ac:dyDescent="0.3">
      <c r="B681" s="12"/>
    </row>
    <row r="682" spans="1:8" x14ac:dyDescent="0.3">
      <c r="B682" s="12"/>
    </row>
    <row r="683" spans="1:8" x14ac:dyDescent="0.3">
      <c r="B683" s="12"/>
    </row>
    <row r="692" spans="1:8" x14ac:dyDescent="0.3">
      <c r="B692" s="2"/>
    </row>
    <row r="696" spans="1:8" x14ac:dyDescent="0.3">
      <c r="B696" s="2"/>
    </row>
    <row r="698" spans="1:8" x14ac:dyDescent="0.3">
      <c r="B698" s="2"/>
    </row>
    <row r="700" spans="1:8" x14ac:dyDescent="0.3">
      <c r="B700" s="6"/>
    </row>
    <row r="702" spans="1:8" ht="15.6" x14ac:dyDescent="0.3">
      <c r="A702" s="11"/>
    </row>
    <row r="704" spans="1:8" x14ac:dyDescent="0.3">
      <c r="A704" s="12"/>
      <c r="B704" s="12"/>
      <c r="C704" s="12"/>
      <c r="D704" s="12"/>
      <c r="E704" s="12"/>
      <c r="F704" s="12"/>
      <c r="G704" s="12"/>
      <c r="H704" s="12"/>
    </row>
    <row r="705" spans="1:8" x14ac:dyDescent="0.3">
      <c r="A705" s="12"/>
      <c r="B705" s="12"/>
      <c r="C705" s="12"/>
      <c r="D705" s="12"/>
      <c r="E705" s="12"/>
      <c r="F705" s="12"/>
      <c r="G705" s="12"/>
      <c r="H705" s="12"/>
    </row>
    <row r="706" spans="1:8" x14ac:dyDescent="0.3">
      <c r="A706" s="12"/>
      <c r="B706" s="16"/>
      <c r="C706" s="12"/>
      <c r="D706" s="12"/>
      <c r="E706" s="12"/>
      <c r="F706" s="12"/>
      <c r="H706" s="12"/>
    </row>
    <row r="707" spans="1:8" x14ac:dyDescent="0.3">
      <c r="A707" s="12"/>
      <c r="B707" s="14"/>
      <c r="C707" s="12"/>
      <c r="D707" s="12"/>
      <c r="E707" s="12"/>
      <c r="F707" s="12"/>
      <c r="H707" s="12"/>
    </row>
    <row r="708" spans="1:8" x14ac:dyDescent="0.3">
      <c r="A708" s="12"/>
      <c r="B708" s="16"/>
      <c r="C708" s="12"/>
      <c r="D708" s="12"/>
      <c r="F708" s="12"/>
      <c r="G708" s="12"/>
      <c r="H708" s="12"/>
    </row>
    <row r="709" spans="1:8" x14ac:dyDescent="0.3">
      <c r="A709" s="12"/>
      <c r="B709" s="16"/>
      <c r="C709" s="12"/>
      <c r="D709" s="12"/>
      <c r="E709" s="12"/>
      <c r="F709" s="12"/>
      <c r="H709" s="12"/>
    </row>
    <row r="710" spans="1:8" x14ac:dyDescent="0.3">
      <c r="A710" s="12"/>
      <c r="B710" s="16"/>
      <c r="C710" s="12"/>
      <c r="D710" s="12"/>
      <c r="E710" s="12"/>
      <c r="F710" s="12"/>
      <c r="H710" s="12"/>
    </row>
    <row r="711" spans="1:8" x14ac:dyDescent="0.3">
      <c r="A711" s="12"/>
      <c r="B711" s="16"/>
      <c r="C711" s="12"/>
      <c r="D711" s="12"/>
      <c r="E711" s="12"/>
      <c r="F711" s="12"/>
      <c r="H711" s="12"/>
    </row>
    <row r="713" spans="1:8" ht="15.6" x14ac:dyDescent="0.3">
      <c r="A713" s="11"/>
      <c r="B713" s="9"/>
    </row>
    <row r="716" spans="1:8" x14ac:dyDescent="0.3">
      <c r="B716" s="12"/>
    </row>
    <row r="717" spans="1:8" x14ac:dyDescent="0.3">
      <c r="B717" s="12"/>
    </row>
    <row r="718" spans="1:8" x14ac:dyDescent="0.3">
      <c r="B718" s="12"/>
    </row>
    <row r="719" spans="1:8" x14ac:dyDescent="0.3">
      <c r="B719" s="12"/>
    </row>
    <row r="728" spans="2:2" x14ac:dyDescent="0.3">
      <c r="B728" s="2"/>
    </row>
    <row r="732" spans="2:2" x14ac:dyDescent="0.3">
      <c r="B732" s="2"/>
    </row>
    <row r="734" spans="2:2" x14ac:dyDescent="0.3">
      <c r="B734" s="2"/>
    </row>
    <row r="736" spans="2:2" x14ac:dyDescent="0.3">
      <c r="B736" s="6"/>
    </row>
    <row r="738" spans="1:8" ht="15.6" x14ac:dyDescent="0.3">
      <c r="A738" s="11"/>
    </row>
    <row r="740" spans="1:8" x14ac:dyDescent="0.3">
      <c r="A740" s="12"/>
      <c r="B740" s="12"/>
      <c r="C740" s="12"/>
      <c r="D740" s="12"/>
      <c r="E740" s="12"/>
      <c r="F740" s="12"/>
      <c r="G740" s="12"/>
      <c r="H740" s="12"/>
    </row>
    <row r="741" spans="1:8" x14ac:dyDescent="0.3">
      <c r="A741" s="12"/>
      <c r="B741" s="12"/>
      <c r="C741" s="12"/>
      <c r="D741" s="12"/>
      <c r="E741" s="12"/>
      <c r="F741" s="12"/>
      <c r="G741" s="12"/>
      <c r="H741" s="12"/>
    </row>
    <row r="742" spans="1:8" x14ac:dyDescent="0.3">
      <c r="A742" s="12"/>
      <c r="B742" s="16"/>
      <c r="C742" s="12"/>
      <c r="D742" s="12"/>
      <c r="E742" s="12"/>
      <c r="F742" s="12"/>
      <c r="H742" s="12"/>
    </row>
    <row r="743" spans="1:8" x14ac:dyDescent="0.3">
      <c r="A743" s="12"/>
      <c r="B743" s="14"/>
      <c r="C743" s="12"/>
      <c r="D743" s="12"/>
      <c r="E743" s="12"/>
      <c r="F743" s="12"/>
      <c r="H743" s="12"/>
    </row>
    <row r="744" spans="1:8" x14ac:dyDescent="0.3">
      <c r="A744" s="12"/>
      <c r="B744" s="16"/>
      <c r="C744" s="12"/>
      <c r="D744" s="12"/>
      <c r="F744" s="12"/>
      <c r="G744" s="12"/>
      <c r="H744" s="12"/>
    </row>
    <row r="745" spans="1:8" x14ac:dyDescent="0.3">
      <c r="A745" s="12"/>
      <c r="B745" s="16"/>
      <c r="C745" s="12"/>
      <c r="D745" s="12"/>
      <c r="E745" s="12"/>
      <c r="F745" s="12"/>
      <c r="H745" s="12"/>
    </row>
    <row r="746" spans="1:8" x14ac:dyDescent="0.3">
      <c r="A746" s="12"/>
      <c r="B746" s="16"/>
      <c r="C746" s="12"/>
      <c r="D746" s="12"/>
      <c r="E746" s="12"/>
      <c r="F746" s="12"/>
      <c r="H746" s="12"/>
    </row>
    <row r="747" spans="1:8" x14ac:dyDescent="0.3">
      <c r="A747" s="12"/>
      <c r="B747" s="16"/>
      <c r="C747" s="12"/>
      <c r="D747" s="12"/>
      <c r="E747" s="12"/>
      <c r="F747" s="12"/>
      <c r="H747" s="12"/>
    </row>
    <row r="749" spans="1:8" ht="15.6" x14ac:dyDescent="0.3">
      <c r="A749" s="11"/>
      <c r="B749" s="9"/>
    </row>
    <row r="752" spans="1:8" x14ac:dyDescent="0.3">
      <c r="B752" s="12"/>
    </row>
    <row r="753" spans="2:2" x14ac:dyDescent="0.3">
      <c r="B753" s="12"/>
    </row>
    <row r="754" spans="2:2" x14ac:dyDescent="0.3">
      <c r="B754" s="12"/>
    </row>
    <row r="755" spans="2:2" x14ac:dyDescent="0.3">
      <c r="B755" s="12"/>
    </row>
    <row r="764" spans="2:2" x14ac:dyDescent="0.3">
      <c r="B764" s="2"/>
    </row>
    <row r="768" spans="2:2" x14ac:dyDescent="0.3">
      <c r="B768" s="2"/>
    </row>
    <row r="770" spans="1:8" x14ac:dyDescent="0.3">
      <c r="B770" s="2"/>
    </row>
    <row r="772" spans="1:8" x14ac:dyDescent="0.3">
      <c r="B772" s="6"/>
    </row>
    <row r="774" spans="1:8" ht="15.6" x14ac:dyDescent="0.3">
      <c r="A774" s="11"/>
    </row>
    <row r="776" spans="1:8" x14ac:dyDescent="0.3">
      <c r="A776" s="12"/>
      <c r="B776" s="12"/>
      <c r="C776" s="12"/>
      <c r="D776" s="12"/>
      <c r="E776" s="12"/>
      <c r="F776" s="12"/>
      <c r="G776" s="12"/>
      <c r="H776" s="12"/>
    </row>
    <row r="777" spans="1:8" x14ac:dyDescent="0.3">
      <c r="A777" s="12"/>
      <c r="B777" s="12"/>
      <c r="C777" s="12"/>
      <c r="D777" s="12"/>
      <c r="E777" s="12"/>
      <c r="F777" s="12"/>
      <c r="G777" s="12"/>
      <c r="H777" s="12"/>
    </row>
    <row r="778" spans="1:8" x14ac:dyDescent="0.3">
      <c r="A778" s="12"/>
      <c r="B778" s="16"/>
      <c r="C778" s="12"/>
      <c r="D778" s="12"/>
      <c r="E778" s="12"/>
      <c r="F778" s="12"/>
      <c r="H778" s="12"/>
    </row>
    <row r="779" spans="1:8" x14ac:dyDescent="0.3">
      <c r="A779" s="12"/>
      <c r="B779" s="14"/>
      <c r="C779" s="12"/>
      <c r="D779" s="12"/>
      <c r="E779" s="12"/>
      <c r="F779" s="12"/>
      <c r="H779" s="12"/>
    </row>
    <row r="780" spans="1:8" x14ac:dyDescent="0.3">
      <c r="A780" s="12"/>
      <c r="B780" s="16"/>
      <c r="C780" s="12"/>
      <c r="D780" s="12"/>
      <c r="F780" s="12"/>
      <c r="G780" s="12"/>
      <c r="H780" s="12"/>
    </row>
    <row r="781" spans="1:8" x14ac:dyDescent="0.3">
      <c r="A781" s="12"/>
      <c r="B781" s="16"/>
      <c r="C781" s="12"/>
      <c r="D781" s="12"/>
      <c r="E781" s="12"/>
      <c r="F781" s="12"/>
      <c r="H781" s="12"/>
    </row>
    <row r="782" spans="1:8" x14ac:dyDescent="0.3">
      <c r="A782" s="12"/>
      <c r="B782" s="16"/>
      <c r="C782" s="12"/>
      <c r="D782" s="12"/>
      <c r="E782" s="12"/>
      <c r="F782" s="12"/>
      <c r="H782" s="12"/>
    </row>
    <row r="783" spans="1:8" x14ac:dyDescent="0.3">
      <c r="A783" s="12"/>
      <c r="B783" s="16"/>
      <c r="C783" s="12"/>
      <c r="D783" s="12"/>
      <c r="E783" s="12"/>
      <c r="F783" s="12"/>
      <c r="H783"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4"/>
  <sheetViews>
    <sheetView topLeftCell="A184" workbookViewId="0">
      <selection activeCell="G214" sqref="G214"/>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electric, &gt;35kW, 2020</v>
      </c>
    </row>
    <row r="2" spans="1:2" x14ac:dyDescent="0.3">
      <c r="A2" t="s">
        <v>73</v>
      </c>
      <c r="B2" t="s">
        <v>37</v>
      </c>
    </row>
    <row r="3" spans="1:2" x14ac:dyDescent="0.3">
      <c r="A3" t="s">
        <v>87</v>
      </c>
      <c r="B3" t="s">
        <v>523</v>
      </c>
    </row>
    <row r="4" spans="1:2" x14ac:dyDescent="0.3">
      <c r="A4" t="s">
        <v>88</v>
      </c>
      <c r="B4" s="12"/>
    </row>
    <row r="5" spans="1:2" x14ac:dyDescent="0.3">
      <c r="A5" t="s">
        <v>89</v>
      </c>
      <c r="B5" s="12">
        <v>2020</v>
      </c>
    </row>
    <row r="6" spans="1:2" x14ac:dyDescent="0.3">
      <c r="A6" t="s">
        <v>131</v>
      </c>
      <c r="B6" s="12" t="str">
        <f>B3&amp;" - "&amp;B5&amp;" - "&amp;B2</f>
        <v>Motorbike, electric, &gt;35kW - 2020 - CH</v>
      </c>
    </row>
    <row r="7" spans="1:2" x14ac:dyDescent="0.3">
      <c r="A7" t="s">
        <v>74</v>
      </c>
      <c r="B7" t="str">
        <f>B3</f>
        <v>Motorbike, electric, &gt;35kW</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62100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1.242</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4690</v>
      </c>
    </row>
    <row r="16" spans="1:2" x14ac:dyDescent="0.3">
      <c r="A16" t="s">
        <v>137</v>
      </c>
      <c r="B16" s="2">
        <f>INDEX('vehicles specifications'!$B$3:$CK$86,MATCH(B6,'vehicles specifications'!$A$3:$A$86,0),MATCH("Curb mass [kg]",'vehicles specifications'!$B$2:$CK$2,0))</f>
        <v>246.64</v>
      </c>
    </row>
    <row r="17" spans="1:8" x14ac:dyDescent="0.3">
      <c r="A17" t="s">
        <v>138</v>
      </c>
      <c r="B17">
        <f>INDEX('vehicles specifications'!$B$3:$CK$86,MATCH(B6,'vehicles specifications'!$A$3:$A$86,0),MATCH("Power [kW]",'vehicles specifications'!$B$2:$CK$2,0))</f>
        <v>49</v>
      </c>
    </row>
    <row r="18" spans="1:8" x14ac:dyDescent="0.3">
      <c r="A18" t="s">
        <v>139</v>
      </c>
      <c r="B18">
        <f>INDEX('vehicles specifications'!$B$3:$CK$86,MATCH(B6,'vehicles specifications'!$A$3:$A$86,0),MATCH("Energy battery mass [kg]",'vehicles specifications'!$B$2:$CK$2,0))</f>
        <v>99</v>
      </c>
    </row>
    <row r="19" spans="1:8" x14ac:dyDescent="0.3">
      <c r="A19" t="s">
        <v>140</v>
      </c>
      <c r="B19">
        <f>INDEX('vehicles specifications'!$B$3:$CK$86,MATCH(B6,'vehicles specifications'!$A$3:$A$86,0),MATCH("Electric energy stored [kWh]",'vehicles specifications'!$B$2:$CK$2,0))</f>
        <v>16.5</v>
      </c>
    </row>
    <row r="20" spans="1:8" s="21" customFormat="1" x14ac:dyDescent="0.3">
      <c r="A20" s="21" t="s">
        <v>654</v>
      </c>
      <c r="B20" s="21">
        <f>INDEX('vehicles specifications'!$B$3:$CK$86,MATCH(B6,'vehicles specifications'!$A$3:$A$86,0),MATCH("Electric energy available [kWh]",'vehicles specifications'!$B$2:$CK$2,0))</f>
        <v>13.200000000000001</v>
      </c>
    </row>
    <row r="21" spans="1:8" x14ac:dyDescent="0.3">
      <c r="A21" t="s">
        <v>143</v>
      </c>
      <c r="B21" s="2">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172.96867841767528</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49 kW. Lifetime: 62100 km. Annual kilometers: 4690 km. Number of passengers: 1.1. Curb mass: 246.6 kg. Lightweighting of glider: 0%. Emission standard: None. Service visits throughout lifetime: 1.2. Range: 173 km. Battery capacity: 16.5 kWh. Available battery capacity: 13.2 kWh. Battery mass: 99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Motorbike, electric, &gt;35kW, 2020</v>
      </c>
      <c r="B32" s="12">
        <v>1</v>
      </c>
      <c r="C32" s="12" t="str">
        <f>B2</f>
        <v>CH</v>
      </c>
      <c r="D32" s="12" t="str">
        <f>B9</f>
        <v>unit</v>
      </c>
      <c r="E32" s="12"/>
      <c r="F32" s="12" t="s">
        <v>85</v>
      </c>
      <c r="G32" s="12" t="s">
        <v>86</v>
      </c>
      <c r="H32" s="12" t="str">
        <f>B3</f>
        <v>Motorbike, electric, &gt;35kW</v>
      </c>
    </row>
    <row r="33" spans="1:8" x14ac:dyDescent="0.3">
      <c r="A33" s="12" t="str">
        <f>INDEX('ei names mapping'!$B$4:$R$33,MATCH(B3,'ei names mapping'!$A$4:$A$33,0),MATCH(G33,'ei names mapping'!$B$3:$R$3,0))</f>
        <v>market for glider, for electric scooter</v>
      </c>
      <c r="B33" s="16">
        <f>INDEX('vehicles specifications'!$B$3:$CK$86,MATCH(B6,'vehicles specifications'!$A$3:$A$86,0),MATCH(G33,'vehicles specifications'!$B$2:$CK$2,0))*INDEX('ei names mapping'!$B$137:$BK$220,MATCH(B6,'ei names mapping'!$A$137:$A$220,0),MATCH(G33,'ei names mapping'!$B$136:$BK$136,0))</f>
        <v>111</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s="21" customFormat="1" x14ac:dyDescent="0.3">
      <c r="A34" s="12" t="str">
        <f>INDEX('ei names mapping'!$B$4:$R$33,MATCH(B3,'ei names mapping'!$A$4:$A$33,0),MATCH(G34,'ei names mapping'!$B$3:$R$3,0))</f>
        <v>glider lightweighting</v>
      </c>
      <c r="B34" s="16">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16">
        <f>INDEX('vehicles specifications'!$B$3:$CK$86,MATCH(B6,'vehicles specifications'!$A$3:$A$86,0),MATCH(G35,'vehicles specifications'!$B$2:$CK$2,0))*INDEX('ei names mapping'!$B$137:$BK$220,MATCH(B6,'ei names mapping'!$A$137:$A$220,0),MATCH(G35,'ei names mapping'!$B$136:$BK$136,0))</f>
        <v>13.74</v>
      </c>
      <c r="C35" s="12" t="str">
        <f>INDEX('ei names mapping'!$B$38:$R$67,MATCH(B3,'ei names mapping'!$A$4:$A$33,0),MATCH(G35,'ei names mapping'!$B$3:$R$3,0))</f>
        <v>GLO</v>
      </c>
      <c r="D35" s="12" t="str">
        <f>INDEX('ei names mapping'!$B$104:$R$133,MATCH(B3,'ei names mapping'!$A$104:$A$133,0),MATCH(G35,'ei names mapping'!$B$3:$R$3,0))</f>
        <v>kilogram</v>
      </c>
      <c r="E35" s="12"/>
      <c r="F35" s="12" t="s">
        <v>91</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16">
        <f>INDEX('vehicles specifications'!$B$3:$CK$86,MATCH(B6,'vehicles specifications'!$A$3:$A$86,0),MATCH(G36,'vehicles specifications'!$B$2:$CK$2,0))*INDEX('ei names mapping'!$B$137:$BK$220,MATCH(B6,'ei names mapping'!$A$137:$A$220,0),MATCH(G36,'ei names mapping'!$B$136:$BK$136,0))</f>
        <v>22.900000000000002</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16">
        <f>INDEX('vehicles specifications'!$B$3:$CK$86,MATCH(B6,'vehicles specifications'!$A$3:$A$86,0),MATCH(G37,'vehicles specifications'!$B$2:$CK$2,0))*INDEX('ei names mapping'!$B$137:$BK$220,MATCH(B6,'ei names mapping'!$A$137:$A$220,0),MATCH(G37,'ei names mapping'!$B$136:$BK$136,0))</f>
        <v>165</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6">
        <f>INDEX('vehicles specifications'!$B$3:$CK$86,MATCH(B6,'vehicles specifications'!$A$3:$A$86,0),MATCH(G38,'vehicles specifications'!$B$2:$CK$2,0))*INDEX('ei names mapping'!$B$137:$BK$220,MATCH(B6,'ei names mapping'!$A$137:$A$220,0),MATCH(G38,'ei names mapping'!$B$136:$BK$136,0))</f>
        <v>33</v>
      </c>
      <c r="C38" s="12" t="str">
        <f>INDEX('ei names mapping'!$B$38:$R$67,MATCH(B3,'ei names mapping'!$A$4:$A$33,0),MATCH(G38,'ei names mapping'!$B$3:$R$3,0))</f>
        <v>GLO</v>
      </c>
      <c r="D38" s="12" t="str">
        <f>INDEX('ei names mapping'!$B$104:$R$133,MATCH(B3,'ei names mapping'!$A$104:$A$133,0),MATCH(G38,'ei names mapping'!$B$3:$R$3,0))</f>
        <v>kilogram</v>
      </c>
      <c r="E38" s="12"/>
      <c r="F38" s="12" t="s">
        <v>91</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16">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16">
        <f>INDEX('vehicles specifications'!$B$3:$CK$86,MATCH(B6,'vehicles specifications'!$A$3:$A$86,0),MATCH(G40,'vehicles specifications'!$B$2:$CK$2,0))*INDEX('ei names mapping'!$B$137:$BK$220,MATCH(B6,'ei names mapping'!$A$137:$A$220,0),MATCH(G40,'ei names mapping'!$B$136:$BK$136,0))</f>
        <v>111</v>
      </c>
      <c r="C40" s="12" t="str">
        <f>INDEX('ei names mapping'!$B$38:$R$67,MATCH(B3,'ei names mapping'!$A$4:$A$33,0),MATCH(G40,'ei names mapping'!$B$3:$R$3,0))</f>
        <v>GLO</v>
      </c>
      <c r="D40" s="12" t="str">
        <f>INDEX('ei names mapping'!$B$104:$R$133,MATCH(B3,'ei names mapping'!$A$104:$A$133,0),MATCH(G40,'ei names mapping'!$B$3:$R$3,0))</f>
        <v>unit</v>
      </c>
      <c r="E40" s="12"/>
      <c r="F40" s="12" t="s">
        <v>91</v>
      </c>
      <c r="G40"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16">
        <f>INDEX('vehicles specifications'!$B$3:$CK$86,MATCH(B6,'vehicles specifications'!$A$3:$A$86,0),MATCH(G41,'vehicles specifications'!$B$2:$CK$2,0))*INDEX('ei names mapping'!$B$137:$BK$220,MATCH(B6,'ei names mapping'!$A$137:$A$220,0),MATCH(G41,'ei names mapping'!$B$136:$BK$136,0))</f>
        <v>36.64</v>
      </c>
      <c r="C41" s="12" t="str">
        <f>INDEX('ei names mapping'!$B$38:$R$67,MATCH(B3,'ei names mapping'!$A$4:$A$33,0),MATCH(G41,'ei names mapping'!$B$3:$R$3,0))</f>
        <v>GLO</v>
      </c>
      <c r="D41" s="12" t="str">
        <f>INDEX('ei names mapping'!$B$104:$R$133,MATCH(B3,'ei names mapping'!$A$104:$A$133,0),MATCH(G41,'ei names mapping'!$B$3:$R$3,0))</f>
        <v>unit</v>
      </c>
      <c r="E41" s="12"/>
      <c r="F41" s="12" t="s">
        <v>91</v>
      </c>
      <c r="G4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specifications'!$B$3:$CK$86,MATCH(B6,'vehicles specifications'!$A$3:$A$86,0),MATCH(G42,'vehicles specifications'!$B$2:$CK$2,0))*INDEX('ei names mapping'!$B$137:$BK$220,MATCH(B6,'ei names mapping'!$A$137:$A$220,0),MATCH(G42,'ei names mapping'!$B$136:$BK$136,0))</f>
        <v>-198</v>
      </c>
      <c r="C42" s="12" t="str">
        <f>INDEX('ei names mapping'!$B$38:$R$67,MATCH(B3,'ei names mapping'!$A$4:$A$33,0),MATCH(G42,'ei names mapping'!$B$3:$R$3,0))</f>
        <v>GLO</v>
      </c>
      <c r="D42" s="12" t="str">
        <f>INDEX('ei names mapping'!$B$104:$R$133,MATCH(B3,'ei names mapping'!$A$104:$A$133,0),MATCH(G42,'ei names mapping'!$B$3:$R$3,0))</f>
        <v>kilogram</v>
      </c>
      <c r="E42" s="12"/>
      <c r="F42" s="12" t="s">
        <v>91</v>
      </c>
      <c r="G42" t="s">
        <v>152</v>
      </c>
      <c r="H42" s="12" t="str">
        <f>INDEX('ei names mapping'!$B$71:$R$100,MATCH(B3,'ei names mapping'!$A$4:$A$33,0),MATCH(G42,'ei names mapping'!$B$3:$R$3,0))</f>
        <v>used Li-ion battery</v>
      </c>
    </row>
    <row r="43" spans="1:8" s="21" customFormat="1" x14ac:dyDescent="0.3">
      <c r="A43" s="22" t="s">
        <v>468</v>
      </c>
      <c r="B43" s="21">
        <f>(B16/1000)*B28</f>
        <v>246.64</v>
      </c>
      <c r="C43" s="21" t="s">
        <v>94</v>
      </c>
      <c r="D43" s="21" t="s">
        <v>243</v>
      </c>
      <c r="F43" s="21" t="s">
        <v>91</v>
      </c>
      <c r="H43" s="22" t="s">
        <v>469</v>
      </c>
    </row>
    <row r="44" spans="1:8" s="21" customFormat="1" x14ac:dyDescent="0.3">
      <c r="A44" s="22" t="s">
        <v>467</v>
      </c>
      <c r="B44" s="2">
        <f>(B16/1000)*B27</f>
        <v>3921.576</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Motorbike, electric, &gt;35kW, 2030</v>
      </c>
    </row>
    <row r="47" spans="1:8" x14ac:dyDescent="0.3">
      <c r="A47" t="s">
        <v>73</v>
      </c>
      <c r="B47" t="s">
        <v>37</v>
      </c>
    </row>
    <row r="48" spans="1:8" x14ac:dyDescent="0.3">
      <c r="A48" t="s">
        <v>87</v>
      </c>
      <c r="B48" t="s">
        <v>523</v>
      </c>
    </row>
    <row r="49" spans="1:2" x14ac:dyDescent="0.3">
      <c r="A49" t="s">
        <v>88</v>
      </c>
      <c r="B49" s="12"/>
    </row>
    <row r="50" spans="1:2" x14ac:dyDescent="0.3">
      <c r="A50" t="s">
        <v>89</v>
      </c>
      <c r="B50" s="12">
        <v>2030</v>
      </c>
    </row>
    <row r="51" spans="1:2" x14ac:dyDescent="0.3">
      <c r="A51" t="s">
        <v>131</v>
      </c>
      <c r="B51" s="12" t="str">
        <f>B48&amp;" - "&amp;B50&amp;" - "&amp;B47</f>
        <v>Motorbike, electric, &gt;35kW - 2030 - CH</v>
      </c>
    </row>
    <row r="52" spans="1:2" x14ac:dyDescent="0.3">
      <c r="A52" t="s">
        <v>74</v>
      </c>
      <c r="B52" t="str">
        <f>B48</f>
        <v>Motorbike, electric, &gt;35kW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specifications'!$B$3:$CK$86,MATCH(B51,'vehicles specifications'!$A$3:$A$86,0),MATCH("Lifetime [km]",'vehicles specifications'!$B$2:$CK$2,0))</f>
        <v>62100</v>
      </c>
    </row>
    <row r="57" spans="1:2" x14ac:dyDescent="0.3">
      <c r="A57" t="s">
        <v>133</v>
      </c>
      <c r="B57">
        <f>INDEX('vehicles specifications'!$B$3:$CK$86,MATCH(B51,'vehicles specifications'!$A$3:$A$86,0),MATCH("Passengers [unit]",'vehicles specifications'!$B$2:$CK$2,0))</f>
        <v>1.1000000000000001</v>
      </c>
    </row>
    <row r="58" spans="1:2" x14ac:dyDescent="0.3">
      <c r="A58" t="s">
        <v>134</v>
      </c>
      <c r="B58">
        <f>INDEX('vehicles specifications'!$B$3:$CK$86,MATCH(B51,'vehicles specifications'!$A$3:$A$86,0),MATCH("Servicing [unit]",'vehicles specifications'!$B$2:$CK$2,0))</f>
        <v>1.242</v>
      </c>
    </row>
    <row r="59" spans="1:2" x14ac:dyDescent="0.3">
      <c r="A59" t="s">
        <v>135</v>
      </c>
      <c r="B59">
        <f>INDEX('vehicles specifications'!$B$3:$CK$86,MATCH(B51,'vehicles specifications'!$A$3:$A$86,0),MATCH("Energy battery replacement [unit]",'vehicles specifications'!$B$2:$CK$2,0))</f>
        <v>0.5</v>
      </c>
    </row>
    <row r="60" spans="1:2" x14ac:dyDescent="0.3">
      <c r="A60" t="s">
        <v>136</v>
      </c>
      <c r="B60">
        <f>INDEX('vehicles specifications'!$B$3:$CK$86,MATCH(B51,'vehicles specifications'!$A$3:$A$86,0),MATCH("Annual kilometers [km]",'vehicles specifications'!$B$2:$CK$2,0))</f>
        <v>4690</v>
      </c>
    </row>
    <row r="61" spans="1:2" x14ac:dyDescent="0.3">
      <c r="A61" t="s">
        <v>137</v>
      </c>
      <c r="B61" s="2">
        <f>INDEX('vehicles specifications'!$B$3:$CK$86,MATCH(B51,'vehicles specifications'!$A$3:$A$86,0),MATCH("Curb mass [kg]",'vehicles specifications'!$B$2:$CK$2,0))</f>
        <v>246.71</v>
      </c>
    </row>
    <row r="62" spans="1:2" x14ac:dyDescent="0.3">
      <c r="A62" t="s">
        <v>138</v>
      </c>
      <c r="B62">
        <f>INDEX('vehicles specifications'!$B$3:$CK$86,MATCH(B51,'vehicles specifications'!$A$3:$A$86,0),MATCH("Power [kW]",'vehicles specifications'!$B$2:$CK$2,0))</f>
        <v>49</v>
      </c>
    </row>
    <row r="63" spans="1:2" x14ac:dyDescent="0.3">
      <c r="A63" t="s">
        <v>139</v>
      </c>
      <c r="B63">
        <f>INDEX('vehicles specifications'!$B$3:$CK$86,MATCH(B51,'vehicles specifications'!$A$3:$A$86,0),MATCH("Energy battery mass [kg]",'vehicles specifications'!$B$2:$CK$2,0))</f>
        <v>102.4</v>
      </c>
    </row>
    <row r="64" spans="1:2" x14ac:dyDescent="0.3">
      <c r="A64" t="s">
        <v>140</v>
      </c>
      <c r="B64" s="21">
        <f>INDEX('vehicles specifications'!$B$3:$CK$86,MATCH(B51,'vehicles specifications'!$A$3:$A$86,0),MATCH("Electric energy stored [kWh]",'vehicles specifications'!$B$2:$CK$2,0))</f>
        <v>25.6</v>
      </c>
    </row>
    <row r="65" spans="1:8" s="21" customFormat="1" x14ac:dyDescent="0.3">
      <c r="A65" s="21" t="s">
        <v>654</v>
      </c>
      <c r="B65" s="21">
        <f>INDEX('vehicles specifications'!$B$3:$CK$86,MATCH(B51,'vehicles specifications'!$A$3:$A$86,0),MATCH("Electric energy available [kWh]",'vehicles specifications'!$B$2:$CK$2,0))</f>
        <v>20.480000000000004</v>
      </c>
    </row>
    <row r="66" spans="1:8" x14ac:dyDescent="0.3">
      <c r="A66" t="s">
        <v>143</v>
      </c>
      <c r="B66" s="2">
        <f>INDEX('vehicles specifications'!$B$3:$CK$86,MATCH(B51,'vehicles specifications'!$A$3:$A$86,0),MATCH("Oxydation energy stored [kWh]",'vehicles specifications'!$B$2:$CK$2,0))</f>
        <v>0</v>
      </c>
    </row>
    <row r="67" spans="1:8" x14ac:dyDescent="0.3">
      <c r="A67" t="s">
        <v>145</v>
      </c>
      <c r="B67">
        <f>INDEX('vehicles specifications'!$B$3:$CK$86,MATCH(B51,'vehicles specifications'!$A$3:$A$86,0),MATCH("Fuel mass [kg]",'vehicles specifications'!$B$2:$CK$2,0))</f>
        <v>0</v>
      </c>
    </row>
    <row r="68" spans="1:8" x14ac:dyDescent="0.3">
      <c r="A68" t="s">
        <v>141</v>
      </c>
      <c r="B68" s="2">
        <f>INDEX('vehicles specifications'!$B$3:$CK$86,MATCH(B51,'vehicles specifications'!$A$3:$A$86,0),MATCH("Range [km]",'vehicles specifications'!$B$2:$CK$2,0))</f>
        <v>268.363525302575</v>
      </c>
    </row>
    <row r="69" spans="1:8" x14ac:dyDescent="0.3">
      <c r="A69" t="s">
        <v>142</v>
      </c>
      <c r="B69" t="str">
        <f>INDEX('vehicles specifications'!$B$3:$CK$86,MATCH(B51,'vehicles specifications'!$A$3:$A$86,0),MATCH("Emission standard",'vehicles specifications'!$B$2:$CK$2,0))</f>
        <v>None</v>
      </c>
    </row>
    <row r="70" spans="1:8" x14ac:dyDescent="0.3">
      <c r="A70" t="s">
        <v>144</v>
      </c>
      <c r="B70" s="6">
        <f>INDEX('vehicles specifications'!$B$3:$CK$86,MATCH(B51,'vehicles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49 kW. Lifetime: 62100 km. Annual kilometers: 4690 km. Number of passengers: 1.1. Curb mass: 246.7 kg. Lightweighting of glider: 3%. Emission standard: None. Service visits throughout lifetime: 1.2. Range: 268 km. Battery capacity: 25.6 kWh. Available battery capacity: 20.48 kWh. Battery mass: 102.4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Motorbike, electric, &gt;35kW, 2030</v>
      </c>
      <c r="B77" s="12">
        <v>1</v>
      </c>
      <c r="C77" s="12" t="str">
        <f>B47</f>
        <v>CH</v>
      </c>
      <c r="D77" s="12" t="str">
        <f>B54</f>
        <v>unit</v>
      </c>
      <c r="E77" s="12"/>
      <c r="F77" s="12" t="s">
        <v>85</v>
      </c>
      <c r="G77" s="12" t="s">
        <v>86</v>
      </c>
      <c r="H77" s="12" t="str">
        <f>B48</f>
        <v>Motorbike, electric, &gt;35kW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111</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s="21" customFormat="1"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3.33</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13.74</v>
      </c>
      <c r="C80" s="12" t="str">
        <f>INDEX('ei names mapping'!$B$38:$R$67,MATCH(B48,'ei names mapping'!$A$4:$A$33,0),MATCH(G80,'ei names mapping'!$B$3:$R$3,0))</f>
        <v>GLO</v>
      </c>
      <c r="D80" s="12" t="str">
        <f>INDEX('ei names mapping'!$B$104:$R$133,MATCH(B48,'ei names mapping'!$A$104:$A$133,0),MATCH(G80,'ei names mapping'!$B$3:$R$3,0))</f>
        <v>kilogram</v>
      </c>
      <c r="E80" s="12"/>
      <c r="F80" s="12" t="s">
        <v>91</v>
      </c>
      <c r="G80"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22.900000000000002</v>
      </c>
      <c r="C81" s="12" t="str">
        <f>INDEX('ei names mapping'!$B$38:$R$67,MATCH(B48,'ei names mapping'!$A$4:$A$33,0),MATCH(G81,'ei names mapping'!$B$3:$R$3,0))</f>
        <v>GLO</v>
      </c>
      <c r="D81" s="12" t="str">
        <f>INDEX('ei names mapping'!$B$104:$R$133,MATCH(B48,'ei names mapping'!$A$104:$A$133,0),MATCH(G81,'ei names mapping'!$B$3:$R$3,0))</f>
        <v>kilogram</v>
      </c>
      <c r="E81" s="12"/>
      <c r="F81" s="12" t="s">
        <v>91</v>
      </c>
      <c r="G8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128</v>
      </c>
      <c r="C82" s="12" t="str">
        <f>INDEX('ei names mapping'!$B$38:$R$67,MATCH(B48,'ei names mapping'!$A$4:$A$33,0),MATCH(G82,'ei names mapping'!$B$3:$R$3,0))</f>
        <v>GLO</v>
      </c>
      <c r="D82" s="12" t="str">
        <f>INDEX('ei names mapping'!$B$104:$R$133,MATCH(B48,'ei names mapping'!$A$104:$A$133,0),MATCH(G82,'ei names mapping'!$B$3:$R$3,0))</f>
        <v>kilogram</v>
      </c>
      <c r="E82" s="12"/>
      <c r="F82" s="12" t="s">
        <v>91</v>
      </c>
      <c r="G82"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25.600000000000005</v>
      </c>
      <c r="C83" s="12" t="str">
        <f>INDEX('ei names mapping'!$B$38:$R$67,MATCH(B48,'ei names mapping'!$A$4:$A$33,0),MATCH(G83,'ei names mapping'!$B$3:$R$3,0))</f>
        <v>GLO</v>
      </c>
      <c r="D83" s="12" t="str">
        <f>INDEX('ei names mapping'!$B$104:$R$133,MATCH(B48,'ei names mapping'!$A$104:$A$133,0),MATCH(G83,'ei names mapping'!$B$3:$R$3,0))</f>
        <v>kilogram</v>
      </c>
      <c r="E83" s="12"/>
      <c r="F83" s="12" t="s">
        <v>91</v>
      </c>
      <c r="G83"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manual dismantling of used electric scooter</v>
      </c>
      <c r="B85" s="16">
        <f>INDEX('vehicles specifications'!$B$3:$CK$86,MATCH(B51,'vehicles specifications'!$A$3:$A$86,0),MATCH(G85,'vehicles specifications'!$B$2:$CK$2,0))*INDEX('ei names mapping'!$B$137:$BK$220,MATCH(B51,'ei names mapping'!$A$137:$A$220,0),MATCH(G85,'ei names mapping'!$B$136:$BK$136,0))</f>
        <v>107.67</v>
      </c>
      <c r="C85" s="12" t="str">
        <f>INDEX('ei names mapping'!$B$38:$R$67,MATCH(B48,'ei names mapping'!$A$4:$A$33,0),MATCH(G85,'ei names mapping'!$B$3:$R$3,0))</f>
        <v>GLO</v>
      </c>
      <c r="D85" s="12" t="str">
        <f>INDEX('ei names mapping'!$B$104:$R$133,MATCH(B48,'ei names mapping'!$A$104:$A$133,0),MATCH(G85,'ei names mapping'!$B$3:$R$3,0))</f>
        <v>unit</v>
      </c>
      <c r="E85" s="12"/>
      <c r="F85" s="12" t="s">
        <v>91</v>
      </c>
      <c r="G85"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manual dismantling of used electric scooter</v>
      </c>
      <c r="B86" s="16">
        <f>INDEX('vehicles specifications'!$B$3:$CK$86,MATCH(B51,'vehicles specifications'!$A$3:$A$86,0),MATCH(G86,'vehicles specifications'!$B$2:$CK$2,0))*INDEX('ei names mapping'!$B$137:$BK$220,MATCH(B51,'ei names mapping'!$A$137:$A$220,0),MATCH(G86,'ei names mapping'!$B$136:$BK$136,0))</f>
        <v>36.64</v>
      </c>
      <c r="C86" s="12" t="str">
        <f>INDEX('ei names mapping'!$B$38:$R$67,MATCH(B48,'ei names mapping'!$A$4:$A$33,0),MATCH(G86,'ei names mapping'!$B$3:$R$3,0))</f>
        <v>GLO</v>
      </c>
      <c r="D86" s="12" t="str">
        <f>INDEX('ei names mapping'!$B$104:$R$133,MATCH(B48,'ei names mapping'!$A$104:$A$133,0),MATCH(G86,'ei names mapping'!$B$3:$R$3,0))</f>
        <v>unit</v>
      </c>
      <c r="E86" s="12"/>
      <c r="F86" s="12" t="s">
        <v>91</v>
      </c>
      <c r="G86"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-153.60000000000002</v>
      </c>
      <c r="C87" s="12" t="str">
        <f>INDEX('ei names mapping'!$B$38:$R$67,MATCH(B48,'ei names mapping'!$A$4:$A$33,0),MATCH(G87,'ei names mapping'!$B$3:$R$3,0))</f>
        <v>GLO</v>
      </c>
      <c r="D87" s="12" t="str">
        <f>INDEX('ei names mapping'!$B$104:$R$133,MATCH(B48,'ei names mapping'!$A$104:$A$133,0),MATCH(G87,'ei names mapping'!$B$3:$R$3,0))</f>
        <v>kilogram</v>
      </c>
      <c r="E87" s="12"/>
      <c r="F87" s="12" t="s">
        <v>91</v>
      </c>
      <c r="G87" t="s">
        <v>152</v>
      </c>
      <c r="H87" s="12" t="str">
        <f>INDEX('ei names mapping'!$B$71:$R$100,MATCH(B48,'ei names mapping'!$A$4:$A$33,0),MATCH(G87,'ei names mapping'!$B$3:$R$3,0))</f>
        <v>used Li-ion battery</v>
      </c>
    </row>
    <row r="88" spans="1:8" s="21" customFormat="1" x14ac:dyDescent="0.3">
      <c r="A88" s="22" t="s">
        <v>468</v>
      </c>
      <c r="B88" s="21">
        <f>(B61/1000)*B73</f>
        <v>246.71</v>
      </c>
      <c r="C88" s="21" t="s">
        <v>94</v>
      </c>
      <c r="D88" s="21" t="s">
        <v>243</v>
      </c>
      <c r="F88" s="21" t="s">
        <v>91</v>
      </c>
      <c r="H88" s="22" t="s">
        <v>469</v>
      </c>
    </row>
    <row r="89" spans="1:8" s="21" customFormat="1" x14ac:dyDescent="0.3">
      <c r="A89" s="22" t="s">
        <v>467</v>
      </c>
      <c r="B89" s="2">
        <f>(B61/1000)*B72</f>
        <v>3922.6890000000003</v>
      </c>
      <c r="C89" s="21" t="s">
        <v>98</v>
      </c>
      <c r="D89" s="21" t="s">
        <v>243</v>
      </c>
      <c r="F89" s="21" t="s">
        <v>91</v>
      </c>
      <c r="H89" s="22" t="s">
        <v>467</v>
      </c>
    </row>
    <row r="90" spans="1:8" x14ac:dyDescent="0.3">
      <c r="B90" s="12"/>
    </row>
    <row r="91" spans="1:8" ht="15.6" x14ac:dyDescent="0.3">
      <c r="A91" s="11" t="s">
        <v>72</v>
      </c>
      <c r="B91" s="9" t="str">
        <f>B93&amp;", "&amp;B95</f>
        <v>Motorbike, electric, &gt;35kW, 2040</v>
      </c>
    </row>
    <row r="92" spans="1:8" x14ac:dyDescent="0.3">
      <c r="A92" t="s">
        <v>73</v>
      </c>
      <c r="B92" t="s">
        <v>37</v>
      </c>
    </row>
    <row r="93" spans="1:8" x14ac:dyDescent="0.3">
      <c r="A93" t="s">
        <v>87</v>
      </c>
      <c r="B93" t="s">
        <v>523</v>
      </c>
    </row>
    <row r="94" spans="1:8" x14ac:dyDescent="0.3">
      <c r="A94" t="s">
        <v>88</v>
      </c>
      <c r="B94" s="12"/>
    </row>
    <row r="95" spans="1:8" x14ac:dyDescent="0.3">
      <c r="A95" t="s">
        <v>89</v>
      </c>
      <c r="B95" s="12">
        <v>2040</v>
      </c>
    </row>
    <row r="96" spans="1:8" x14ac:dyDescent="0.3">
      <c r="A96" t="s">
        <v>131</v>
      </c>
      <c r="B96" s="12" t="str">
        <f>B93&amp;" - "&amp;B95&amp;" - "&amp;B92</f>
        <v>Motorbike, electric, &gt;35kW - 2040 - CH</v>
      </c>
    </row>
    <row r="97" spans="1:2" x14ac:dyDescent="0.3">
      <c r="A97" t="s">
        <v>74</v>
      </c>
      <c r="B97" t="str">
        <f>B93</f>
        <v>Motorbike, electric, &gt;35kW</v>
      </c>
    </row>
    <row r="98" spans="1:2" x14ac:dyDescent="0.3">
      <c r="A98" t="s">
        <v>75</v>
      </c>
      <c r="B98" t="s">
        <v>76</v>
      </c>
    </row>
    <row r="99" spans="1:2" x14ac:dyDescent="0.3">
      <c r="A99" t="s">
        <v>77</v>
      </c>
      <c r="B99" t="s">
        <v>77</v>
      </c>
    </row>
    <row r="100" spans="1:2" x14ac:dyDescent="0.3">
      <c r="A100" t="s">
        <v>79</v>
      </c>
      <c r="B100" t="s">
        <v>90</v>
      </c>
    </row>
    <row r="101" spans="1:2" x14ac:dyDescent="0.3">
      <c r="A101" t="s">
        <v>132</v>
      </c>
      <c r="B101">
        <f>INDEX('vehicles specifications'!$B$3:$CK$86,MATCH(B96,'vehicles specifications'!$A$3:$A$86,0),MATCH("Lifetime [km]",'vehicles specifications'!$B$2:$CK$2,0))</f>
        <v>62100</v>
      </c>
    </row>
    <row r="102" spans="1:2" x14ac:dyDescent="0.3">
      <c r="A102" t="s">
        <v>133</v>
      </c>
      <c r="B102">
        <f>INDEX('vehicles specifications'!$B$3:$CK$86,MATCH(B96,'vehicles specifications'!$A$3:$A$86,0),MATCH("Passengers [unit]",'vehicles specifications'!$B$2:$CK$2,0))</f>
        <v>1.1000000000000001</v>
      </c>
    </row>
    <row r="103" spans="1:2" x14ac:dyDescent="0.3">
      <c r="A103" t="s">
        <v>134</v>
      </c>
      <c r="B103">
        <f>INDEX('vehicles specifications'!$B$3:$CK$86,MATCH(B96,'vehicles specifications'!$A$3:$A$86,0),MATCH("Servicing [unit]",'vehicles specifications'!$B$2:$CK$2,0))</f>
        <v>1.242</v>
      </c>
    </row>
    <row r="104" spans="1:2" x14ac:dyDescent="0.3">
      <c r="A104" t="s">
        <v>135</v>
      </c>
      <c r="B104">
        <f>INDEX('vehicles specifications'!$B$3:$CK$86,MATCH(B96,'vehicles specifications'!$A$3:$A$86,0),MATCH("Energy battery replacement [unit]",'vehicles specifications'!$B$2:$CK$2,0))</f>
        <v>0.25</v>
      </c>
    </row>
    <row r="105" spans="1:2" x14ac:dyDescent="0.3">
      <c r="A105" t="s">
        <v>136</v>
      </c>
      <c r="B105">
        <f>INDEX('vehicles specifications'!$B$3:$CK$86,MATCH(B96,'vehicles specifications'!$A$3:$A$86,0),MATCH("Annual kilometers [km]",'vehicles specifications'!$B$2:$CK$2,0))</f>
        <v>4690</v>
      </c>
    </row>
    <row r="106" spans="1:2" x14ac:dyDescent="0.3">
      <c r="A106" t="s">
        <v>137</v>
      </c>
      <c r="B106" s="2">
        <f>INDEX('vehicles specifications'!$B$3:$CK$86,MATCH(B96,'vehicles specifications'!$A$3:$A$86,0),MATCH("Curb mass [kg]",'vehicles specifications'!$B$2:$CK$2,0))</f>
        <v>247.08999999999997</v>
      </c>
    </row>
    <row r="107" spans="1:2" x14ac:dyDescent="0.3">
      <c r="A107" t="s">
        <v>138</v>
      </c>
      <c r="B107">
        <f>INDEX('vehicles specifications'!$B$3:$CK$86,MATCH(B96,'vehicles specifications'!$A$3:$A$86,0),MATCH("Power [kW]",'vehicles specifications'!$B$2:$CK$2,0))</f>
        <v>49</v>
      </c>
    </row>
    <row r="108" spans="1:2" x14ac:dyDescent="0.3">
      <c r="A108" t="s">
        <v>139</v>
      </c>
      <c r="B108">
        <f>INDEX('vehicles specifications'!$B$3:$CK$86,MATCH(B96,'vehicles specifications'!$A$3:$A$86,0),MATCH("Energy battery mass [kg]",'vehicles specifications'!$B$2:$CK$2,0))</f>
        <v>105</v>
      </c>
    </row>
    <row r="109" spans="1:2" x14ac:dyDescent="0.3">
      <c r="A109" t="s">
        <v>140</v>
      </c>
      <c r="B109" s="21">
        <f>INDEX('vehicles specifications'!$B$3:$CK$86,MATCH(B96,'vehicles specifications'!$A$3:$A$86,0),MATCH("Electric energy stored [kWh]",'vehicles specifications'!$B$2:$CK$2,0))</f>
        <v>35</v>
      </c>
    </row>
    <row r="110" spans="1:2" s="21" customFormat="1" x14ac:dyDescent="0.3">
      <c r="A110" s="21" t="s">
        <v>654</v>
      </c>
      <c r="B110" s="21">
        <f>INDEX('vehicles specifications'!$B$3:$CK$86,MATCH(B96,'vehicles specifications'!$A$3:$A$86,0),MATCH("Electric energy available [kWh]",'vehicles specifications'!$B$2:$CK$2,0))</f>
        <v>28</v>
      </c>
    </row>
    <row r="111" spans="1:2" x14ac:dyDescent="0.3">
      <c r="A111" t="s">
        <v>143</v>
      </c>
      <c r="B111" s="2">
        <f>INDEX('vehicles specifications'!$B$3:$CK$86,MATCH(B96,'vehicles specifications'!$A$3:$A$86,0),MATCH("Oxydation energy stored [kWh]",'vehicles specifications'!$B$2:$CK$2,0))</f>
        <v>0</v>
      </c>
    </row>
    <row r="112" spans="1:2" x14ac:dyDescent="0.3">
      <c r="A112" t="s">
        <v>145</v>
      </c>
      <c r="B112">
        <f>INDEX('vehicles specifications'!$B$3:$CK$86,MATCH(B96,'vehicles specifications'!$A$3:$A$86,0),MATCH("Fuel mass [kg]",'vehicles specifications'!$B$2:$CK$2,0))</f>
        <v>0</v>
      </c>
    </row>
    <row r="113" spans="1:8" x14ac:dyDescent="0.3">
      <c r="A113" t="s">
        <v>141</v>
      </c>
      <c r="B113" s="2">
        <f>INDEX('vehicles specifications'!$B$3:$CK$86,MATCH(B96,'vehicles specifications'!$A$3:$A$86,0),MATCH("Range [km]",'vehicles specifications'!$B$2:$CK$2,0))</f>
        <v>366.90325724961417</v>
      </c>
    </row>
    <row r="114" spans="1:8" x14ac:dyDescent="0.3">
      <c r="A114" t="s">
        <v>142</v>
      </c>
      <c r="B114" t="str">
        <f>INDEX('vehicles specifications'!$B$3:$CK$86,MATCH(B96,'vehicles specifications'!$A$3:$A$86,0),MATCH("Emission standard",'vehicles specifications'!$B$2:$CK$2,0))</f>
        <v>None</v>
      </c>
    </row>
    <row r="115" spans="1:8" x14ac:dyDescent="0.3">
      <c r="A115" t="s">
        <v>144</v>
      </c>
      <c r="B115" s="6">
        <f>INDEX('vehicles specifications'!$B$3:$CK$86,MATCH(B96,'vehicles specifications'!$A$3:$A$86,0),MATCH("Lightweighting rate [%]",'vehicles specifications'!$B$2:$CK$2,0))</f>
        <v>0.05</v>
      </c>
    </row>
    <row r="116" spans="1:8" s="21" customFormat="1" x14ac:dyDescent="0.3">
      <c r="A116" s="21" t="s">
        <v>513</v>
      </c>
      <c r="B116" s="6" t="s">
        <v>514</v>
      </c>
    </row>
    <row r="117" spans="1:8" s="21" customFormat="1" x14ac:dyDescent="0.3">
      <c r="A117" s="21" t="s">
        <v>515</v>
      </c>
      <c r="B117" s="2">
        <v>15900</v>
      </c>
    </row>
    <row r="118" spans="1:8" s="21" customFormat="1" x14ac:dyDescent="0.3">
      <c r="A118" s="21" t="s">
        <v>516</v>
      </c>
      <c r="B118" s="2">
        <v>1000</v>
      </c>
    </row>
    <row r="119" spans="1:8" s="21" customFormat="1" x14ac:dyDescent="0.3">
      <c r="A119" s="21"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scooter'!B100</f>
        <v>Power: 49 kW. Lifetime: 62100 km. Annual kilometers: 4690 km. Number of passengers: 1.1. Curb mass: 247.1 kg. Lightweighting of glider: 5%. Emission standard: None. Service visits throughout lifetime: 1.2. Range: 367 km. Battery capacity: 35 kWh. Available battery capacity: 28 kWh. Battery mass: 105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1</v>
      </c>
    </row>
    <row r="120" spans="1:8" ht="15.6" x14ac:dyDescent="0.3">
      <c r="A120" s="11" t="s">
        <v>80</v>
      </c>
    </row>
    <row r="121" spans="1:8" x14ac:dyDescent="0.3">
      <c r="A121" t="s">
        <v>81</v>
      </c>
      <c r="B121" t="s">
        <v>82</v>
      </c>
      <c r="C121" t="s">
        <v>73</v>
      </c>
      <c r="D121" t="s">
        <v>77</v>
      </c>
      <c r="E121" t="s">
        <v>83</v>
      </c>
      <c r="F121" t="s">
        <v>75</v>
      </c>
      <c r="G121" t="s">
        <v>84</v>
      </c>
      <c r="H121" t="s">
        <v>74</v>
      </c>
    </row>
    <row r="122" spans="1:8" x14ac:dyDescent="0.3">
      <c r="A122" s="12" t="str">
        <f>B91</f>
        <v>Motorbike, electric, &gt;35kW, 2040</v>
      </c>
      <c r="B122" s="12">
        <v>1</v>
      </c>
      <c r="C122" s="12" t="str">
        <f>B92</f>
        <v>CH</v>
      </c>
      <c r="D122" s="12" t="str">
        <f>B99</f>
        <v>unit</v>
      </c>
      <c r="E122" s="12"/>
      <c r="F122" s="12" t="s">
        <v>85</v>
      </c>
      <c r="G122" s="12" t="s">
        <v>86</v>
      </c>
      <c r="H122" s="12" t="str">
        <f>B93</f>
        <v>Motorbike, electric, &gt;35kW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111</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s="21" customFormat="1"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5.5500000000000007</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13.74</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22.900000000000002</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109.375</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21.875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manual dismantling of used electric scooter</v>
      </c>
      <c r="B130" s="16">
        <f>INDEX('vehicles specifications'!$B$3:$CK$86,MATCH(B96,'vehicles specifications'!$A$3:$A$86,0),MATCH(G130,'vehicles specifications'!$B$2:$CK$2,0))*INDEX('ei names mapping'!$B$137:$BK$220,MATCH(B96,'ei names mapping'!$A$137:$A$220,0),MATCH(G130,'ei names mapping'!$B$136:$BK$136,0))</f>
        <v>105.44999999999999</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manual dismantling of used electric scooter</v>
      </c>
      <c r="B131" s="16">
        <f>INDEX('vehicles specifications'!$B$3:$CK$86,MATCH(B96,'vehicles specifications'!$A$3:$A$86,0),MATCH(G131,'vehicles specifications'!$B$2:$CK$2,0))*INDEX('ei names mapping'!$B$137:$BK$220,MATCH(B96,'ei names mapping'!$A$137:$A$220,0),MATCH(G131,'ei names mapping'!$B$136:$BK$136,0))</f>
        <v>36.64</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-131.25</v>
      </c>
      <c r="C132" s="12" t="str">
        <f>INDEX('ei names mapping'!$B$38:$R$67,MATCH(B93,'ei names mapping'!$A$4:$A$33,0),MATCH(G132,'ei names mapping'!$B$3:$R$3,0))</f>
        <v>GLO</v>
      </c>
      <c r="D132" s="12" t="str">
        <f>INDEX('ei names mapping'!$B$104:$R$133,MATCH(B93,'ei names mapping'!$A$104:$A$133,0),MATCH(G132,'ei names mapping'!$B$3:$R$3,0))</f>
        <v>kilogram</v>
      </c>
      <c r="E132" s="12"/>
      <c r="F132" s="12" t="s">
        <v>91</v>
      </c>
      <c r="G132" t="s">
        <v>152</v>
      </c>
      <c r="H132" s="12" t="str">
        <f>INDEX('ei names mapping'!$B$71:$R$100,MATCH(B93,'ei names mapping'!$A$4:$A$33,0),MATCH(G132,'ei names mapping'!$B$3:$R$3,0))</f>
        <v>used Li-ion battery</v>
      </c>
    </row>
    <row r="133" spans="1:8" s="21" customFormat="1" x14ac:dyDescent="0.3">
      <c r="A133" s="22" t="s">
        <v>468</v>
      </c>
      <c r="B133" s="21">
        <f>(B106/1000)*B118</f>
        <v>247.08999999999997</v>
      </c>
      <c r="C133" s="21" t="s">
        <v>94</v>
      </c>
      <c r="D133" s="21" t="s">
        <v>243</v>
      </c>
      <c r="F133" s="21" t="s">
        <v>91</v>
      </c>
      <c r="H133" s="22" t="s">
        <v>469</v>
      </c>
    </row>
    <row r="134" spans="1:8" s="21" customFormat="1" x14ac:dyDescent="0.3">
      <c r="A134" s="22" t="s">
        <v>467</v>
      </c>
      <c r="B134" s="2">
        <f>(B106/1000)*B117</f>
        <v>3928.7309999999998</v>
      </c>
      <c r="C134" s="21" t="s">
        <v>98</v>
      </c>
      <c r="D134" s="21" t="s">
        <v>243</v>
      </c>
      <c r="F134" s="21" t="s">
        <v>91</v>
      </c>
      <c r="H134" s="22" t="s">
        <v>467</v>
      </c>
    </row>
    <row r="136" spans="1:8" ht="15.6" x14ac:dyDescent="0.3">
      <c r="A136" s="11" t="s">
        <v>72</v>
      </c>
      <c r="B136" s="9" t="str">
        <f>B138&amp;", "&amp;B140</f>
        <v>Motorbike, electric, &gt;35kW, 2050</v>
      </c>
    </row>
    <row r="137" spans="1:8" x14ac:dyDescent="0.3">
      <c r="A137" t="s">
        <v>73</v>
      </c>
      <c r="B137" t="s">
        <v>37</v>
      </c>
    </row>
    <row r="138" spans="1:8" x14ac:dyDescent="0.3">
      <c r="A138" t="s">
        <v>87</v>
      </c>
      <c r="B138" t="s">
        <v>523</v>
      </c>
    </row>
    <row r="139" spans="1:8" x14ac:dyDescent="0.3">
      <c r="A139" t="s">
        <v>88</v>
      </c>
      <c r="B139" s="12"/>
    </row>
    <row r="140" spans="1:8" x14ac:dyDescent="0.3">
      <c r="A140" t="s">
        <v>89</v>
      </c>
      <c r="B140" s="12">
        <v>2050</v>
      </c>
    </row>
    <row r="141" spans="1:8" x14ac:dyDescent="0.3">
      <c r="A141" t="s">
        <v>131</v>
      </c>
      <c r="B141" s="12" t="str">
        <f>B138&amp;" - "&amp;B140&amp;" - "&amp;B137</f>
        <v>Motorbike, electric, &gt;35kW - 2050 - CH</v>
      </c>
    </row>
    <row r="142" spans="1:8" x14ac:dyDescent="0.3">
      <c r="A142" t="s">
        <v>74</v>
      </c>
      <c r="B142" t="str">
        <f>B138</f>
        <v>Motorbike, electric, &gt;35kW</v>
      </c>
    </row>
    <row r="143" spans="1:8" x14ac:dyDescent="0.3">
      <c r="A143" t="s">
        <v>75</v>
      </c>
      <c r="B143" t="s">
        <v>76</v>
      </c>
    </row>
    <row r="144" spans="1:8" x14ac:dyDescent="0.3">
      <c r="A144" t="s">
        <v>77</v>
      </c>
      <c r="B144" t="s">
        <v>77</v>
      </c>
    </row>
    <row r="145" spans="1:2" x14ac:dyDescent="0.3">
      <c r="A145" t="s">
        <v>79</v>
      </c>
      <c r="B145" t="s">
        <v>90</v>
      </c>
    </row>
    <row r="146" spans="1:2" x14ac:dyDescent="0.3">
      <c r="A146" t="s">
        <v>132</v>
      </c>
      <c r="B146">
        <f>INDEX('vehicles specifications'!$B$3:$CK$86,MATCH(B141,'vehicles specifications'!$A$3:$A$86,0),MATCH("Lifetime [km]",'vehicles specifications'!$B$2:$CK$2,0))</f>
        <v>62100</v>
      </c>
    </row>
    <row r="147" spans="1:2" x14ac:dyDescent="0.3">
      <c r="A147" t="s">
        <v>133</v>
      </c>
      <c r="B147">
        <f>INDEX('vehicles specifications'!$B$3:$CK$86,MATCH(B141,'vehicles specifications'!$A$3:$A$86,0),MATCH("Passengers [unit]",'vehicles specifications'!$B$2:$CK$2,0))</f>
        <v>1.1000000000000001</v>
      </c>
    </row>
    <row r="148" spans="1:2" x14ac:dyDescent="0.3">
      <c r="A148" t="s">
        <v>134</v>
      </c>
      <c r="B148">
        <f>INDEX('vehicles specifications'!$B$3:$CK$86,MATCH(B141,'vehicles specifications'!$A$3:$A$86,0),MATCH("Servicing [unit]",'vehicles specifications'!$B$2:$CK$2,0))</f>
        <v>1.242</v>
      </c>
    </row>
    <row r="149" spans="1:2" x14ac:dyDescent="0.3">
      <c r="A149" t="s">
        <v>135</v>
      </c>
      <c r="B149">
        <f>INDEX('vehicles specifications'!$B$3:$CK$86,MATCH(B141,'vehicles specifications'!$A$3:$A$86,0),MATCH("Energy battery replacement [unit]",'vehicles specifications'!$B$2:$CK$2,0))</f>
        <v>0</v>
      </c>
    </row>
    <row r="150" spans="1:2" x14ac:dyDescent="0.3">
      <c r="A150" t="s">
        <v>136</v>
      </c>
      <c r="B150">
        <f>INDEX('vehicles specifications'!$B$3:$CK$86,MATCH(B141,'vehicles specifications'!$A$3:$A$86,0),MATCH("Annual kilometers [km]",'vehicles specifications'!$B$2:$CK$2,0))</f>
        <v>4690</v>
      </c>
    </row>
    <row r="151" spans="1:2" x14ac:dyDescent="0.3">
      <c r="A151" t="s">
        <v>137</v>
      </c>
      <c r="B151" s="2">
        <f>INDEX('vehicles specifications'!$B$3:$CK$86,MATCH(B141,'vehicles specifications'!$A$3:$A$86,0),MATCH("Curb mass [kg]",'vehicles specifications'!$B$2:$CK$2,0))</f>
        <v>246.66999999999996</v>
      </c>
    </row>
    <row r="152" spans="1:2" x14ac:dyDescent="0.3">
      <c r="A152" t="s">
        <v>138</v>
      </c>
      <c r="B152">
        <f>INDEX('vehicles specifications'!$B$3:$CK$86,MATCH(B141,'vehicles specifications'!$A$3:$A$86,0),MATCH("Power [kW]",'vehicles specifications'!$B$2:$CK$2,0))</f>
        <v>49</v>
      </c>
    </row>
    <row r="153" spans="1:2" x14ac:dyDescent="0.3">
      <c r="A153" t="s">
        <v>139</v>
      </c>
      <c r="B153">
        <f>INDEX('vehicles specifications'!$B$3:$CK$86,MATCH(B141,'vehicles specifications'!$A$3:$A$86,0),MATCH("Energy battery mass [kg]",'vehicles specifications'!$B$2:$CK$2,0))</f>
        <v>106.8</v>
      </c>
    </row>
    <row r="154" spans="1:2" x14ac:dyDescent="0.3">
      <c r="A154" t="s">
        <v>140</v>
      </c>
      <c r="B154" s="21">
        <f>INDEX('vehicles specifications'!$B$3:$CK$86,MATCH(B141,'vehicles specifications'!$A$3:$A$86,0),MATCH("Electric energy stored [kWh]",'vehicles specifications'!$B$2:$CK$2,0))</f>
        <v>44.5</v>
      </c>
    </row>
    <row r="155" spans="1:2" s="21" customFormat="1" x14ac:dyDescent="0.3">
      <c r="A155" s="21" t="s">
        <v>654</v>
      </c>
      <c r="B155" s="21">
        <f>INDEX('vehicles specifications'!$B$3:$CK$86,MATCH(B141,'vehicles specifications'!$A$3:$A$86,0),MATCH("Electric energy available [kWh]",'vehicles specifications'!$B$2:$CK$2,0))</f>
        <v>35.6</v>
      </c>
    </row>
    <row r="156" spans="1:2" x14ac:dyDescent="0.3">
      <c r="A156" t="s">
        <v>143</v>
      </c>
      <c r="B156" s="2">
        <f>INDEX('vehicles specifications'!$B$3:$CK$86,MATCH(B141,'vehicles specifications'!$A$3:$A$86,0),MATCH("Oxydation energy stored [kWh]",'vehicles specifications'!$B$2:$CK$2,0))</f>
        <v>0</v>
      </c>
    </row>
    <row r="157" spans="1:2" x14ac:dyDescent="0.3">
      <c r="A157" t="s">
        <v>145</v>
      </c>
      <c r="B157">
        <f>INDEX('vehicles specifications'!$B$3:$CK$86,MATCH(B141,'vehicles specifications'!$A$3:$A$86,0),MATCH("Fuel mass [kg]",'vehicles specifications'!$B$2:$CK$2,0))</f>
        <v>0</v>
      </c>
    </row>
    <row r="158" spans="1:2" x14ac:dyDescent="0.3">
      <c r="A158" t="s">
        <v>141</v>
      </c>
      <c r="B158" s="2">
        <f>INDEX('vehicles specifications'!$B$3:$CK$86,MATCH(B141,'vehicles specifications'!$A$3:$A$86,0),MATCH("Range [km]",'vehicles specifications'!$B$2:$CK$2,0))</f>
        <v>466.49128421736663</v>
      </c>
    </row>
    <row r="159" spans="1:2" x14ac:dyDescent="0.3">
      <c r="A159" t="s">
        <v>142</v>
      </c>
      <c r="B159" t="str">
        <f>INDEX('vehicles specifications'!$B$3:$CK$86,MATCH(B141,'vehicles specifications'!$A$3:$A$86,0),MATCH("Emission standard",'vehicles specifications'!$B$2:$CK$2,0))</f>
        <v>None</v>
      </c>
    </row>
    <row r="160" spans="1:2" x14ac:dyDescent="0.3">
      <c r="A160" t="s">
        <v>144</v>
      </c>
      <c r="B160" s="6">
        <f>INDEX('vehicles specifications'!$B$3:$CK$86,MATCH(B141,'vehicles specifications'!$A$3:$A$86,0),MATCH("Lightweighting rate [%]",'vehicles specifications'!$B$2:$CK$2,0))</f>
        <v>7.0000000000000007E-2</v>
      </c>
    </row>
    <row r="161" spans="1:8" s="21" customFormat="1" x14ac:dyDescent="0.3">
      <c r="A161" s="21" t="s">
        <v>513</v>
      </c>
      <c r="B161" s="6" t="s">
        <v>514</v>
      </c>
    </row>
    <row r="162" spans="1:8" s="21" customFormat="1" x14ac:dyDescent="0.3">
      <c r="A162" s="21" t="s">
        <v>515</v>
      </c>
      <c r="B162" s="2">
        <v>15900</v>
      </c>
    </row>
    <row r="163" spans="1:8" s="21" customFormat="1" x14ac:dyDescent="0.3">
      <c r="A163" s="21" t="s">
        <v>516</v>
      </c>
      <c r="B163" s="2">
        <v>1000</v>
      </c>
    </row>
    <row r="164" spans="1:8" s="21" customFormat="1" x14ac:dyDescent="0.3">
      <c r="A164" s="21"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scooter'!B145</f>
        <v>Power: 49 kW. Lifetime: 62100 km. Annual kilometers: 4690 km. Number of passengers: 1.1. Curb mass: 246.7 kg. Lightweighting of glider: 7%. Emission standard: None. Service visits throughout lifetime: 1.2. Range: 466 km. Battery capacity: 44.5 kWh. Available battery capacity: 35.6 kWh. Battery mass: 106.8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v>
      </c>
    </row>
    <row r="165" spans="1:8" ht="15.6" x14ac:dyDescent="0.3">
      <c r="A165" s="11" t="s">
        <v>80</v>
      </c>
    </row>
    <row r="166" spans="1:8" x14ac:dyDescent="0.3">
      <c r="A166" t="s">
        <v>81</v>
      </c>
      <c r="B166" t="s">
        <v>82</v>
      </c>
      <c r="C166" t="s">
        <v>73</v>
      </c>
      <c r="D166" t="s">
        <v>77</v>
      </c>
      <c r="E166" t="s">
        <v>83</v>
      </c>
      <c r="F166" t="s">
        <v>75</v>
      </c>
      <c r="G166" t="s">
        <v>84</v>
      </c>
      <c r="H166" t="s">
        <v>74</v>
      </c>
    </row>
    <row r="167" spans="1:8" x14ac:dyDescent="0.3">
      <c r="A167" s="12" t="str">
        <f>B136</f>
        <v>Motorbike, electric, &gt;35kW, 2050</v>
      </c>
      <c r="B167" s="12">
        <v>1</v>
      </c>
      <c r="C167" s="12" t="str">
        <f>B137</f>
        <v>CH</v>
      </c>
      <c r="D167" s="12" t="str">
        <f>B144</f>
        <v>unit</v>
      </c>
      <c r="E167" s="12"/>
      <c r="F167" s="12" t="s">
        <v>85</v>
      </c>
      <c r="G167" s="12" t="s">
        <v>86</v>
      </c>
      <c r="H167" s="12" t="str">
        <f>B138</f>
        <v>Motorbike, electric, &gt;35kW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111</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s="21" customFormat="1"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7.7700000000000005</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13.74</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22.900000000000002</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89</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17.8</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manual dismantling of used electric scooter</v>
      </c>
      <c r="B175" s="16">
        <f>INDEX('vehicles specifications'!$B$3:$CK$86,MATCH(B141,'vehicles specifications'!$A$3:$A$86,0),MATCH(G175,'vehicles specifications'!$B$2:$CK$2,0))*INDEX('ei names mapping'!$B$137:$BK$220,MATCH(B141,'ei names mapping'!$A$137:$A$220,0),MATCH(G175,'ei names mapping'!$B$136:$BK$136,0))</f>
        <v>103.22999999999999</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manual dismantling of used electric scooter</v>
      </c>
      <c r="B176" s="16">
        <f>INDEX('vehicles specifications'!$B$3:$CK$86,MATCH(B141,'vehicles specifications'!$A$3:$A$86,0),MATCH(G176,'vehicles specifications'!$B$2:$CK$2,0))*INDEX('ei names mapping'!$B$137:$BK$220,MATCH(B141,'ei names mapping'!$A$137:$A$220,0),MATCH(G176,'ei names mapping'!$B$136:$BK$136,0))</f>
        <v>36.64</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-106.8</v>
      </c>
      <c r="C177" s="12" t="str">
        <f>INDEX('ei names mapping'!$B$38:$R$67,MATCH(B138,'ei names mapping'!$A$4:$A$33,0),MATCH(G177,'ei names mapping'!$B$3:$R$3,0))</f>
        <v>GLO</v>
      </c>
      <c r="D177" s="12" t="str">
        <f>INDEX('ei names mapping'!$B$104:$R$133,MATCH(B138,'ei names mapping'!$A$104:$A$133,0),MATCH(G177,'ei names mapping'!$B$3:$R$3,0))</f>
        <v>kilogram</v>
      </c>
      <c r="E177" s="12"/>
      <c r="F177" s="12" t="s">
        <v>91</v>
      </c>
      <c r="G177" t="s">
        <v>152</v>
      </c>
      <c r="H177" s="12" t="str">
        <f>INDEX('ei names mapping'!$B$71:$R$100,MATCH(B138,'ei names mapping'!$A$4:$A$33,0),MATCH(G177,'ei names mapping'!$B$3:$R$3,0))</f>
        <v>used Li-ion battery</v>
      </c>
    </row>
    <row r="178" spans="1:8" s="21" customFormat="1" x14ac:dyDescent="0.3">
      <c r="A178" s="22" t="s">
        <v>468</v>
      </c>
      <c r="B178" s="21">
        <f>(B151/1000)*B163</f>
        <v>246.66999999999996</v>
      </c>
      <c r="C178" s="21" t="s">
        <v>94</v>
      </c>
      <c r="D178" s="21" t="s">
        <v>243</v>
      </c>
      <c r="F178" s="21" t="s">
        <v>91</v>
      </c>
      <c r="H178" s="22" t="s">
        <v>469</v>
      </c>
    </row>
    <row r="179" spans="1:8" s="21" customFormat="1" x14ac:dyDescent="0.3">
      <c r="A179" s="22" t="s">
        <v>467</v>
      </c>
      <c r="B179" s="2">
        <f>(B151/1000)*B162</f>
        <v>3922.0529999999994</v>
      </c>
      <c r="C179" s="21" t="s">
        <v>98</v>
      </c>
      <c r="D179" s="21" t="s">
        <v>243</v>
      </c>
      <c r="F179" s="21" t="s">
        <v>91</v>
      </c>
      <c r="H179" s="22" t="s">
        <v>467</v>
      </c>
    </row>
    <row r="180" spans="1:8" x14ac:dyDescent="0.3">
      <c r="B180" s="2"/>
    </row>
    <row r="181" spans="1:8" ht="15.6" x14ac:dyDescent="0.3">
      <c r="A181" s="11" t="s">
        <v>72</v>
      </c>
      <c r="B181" s="9" t="str">
        <f>"transport, "&amp;B183&amp;", "&amp;B185</f>
        <v>transport, Motorbike, electric, &gt;35kW, 2020</v>
      </c>
    </row>
    <row r="182" spans="1:8" x14ac:dyDescent="0.3">
      <c r="A182" t="s">
        <v>73</v>
      </c>
      <c r="B182" t="s">
        <v>37</v>
      </c>
    </row>
    <row r="183" spans="1:8" x14ac:dyDescent="0.3">
      <c r="A183" t="s">
        <v>87</v>
      </c>
      <c r="B183" t="s">
        <v>523</v>
      </c>
    </row>
    <row r="184" spans="1:8" x14ac:dyDescent="0.3">
      <c r="A184" t="s">
        <v>88</v>
      </c>
      <c r="B184" s="12"/>
    </row>
    <row r="185" spans="1:8" x14ac:dyDescent="0.3">
      <c r="A185" t="s">
        <v>89</v>
      </c>
      <c r="B185" s="12">
        <v>2020</v>
      </c>
    </row>
    <row r="186" spans="1:8" x14ac:dyDescent="0.3">
      <c r="A186" t="s">
        <v>131</v>
      </c>
      <c r="B186" s="12" t="str">
        <f>B183&amp;" - "&amp;B185&amp;" - "&amp;B182</f>
        <v>Motorbike, electric, &gt;35kW - 2020 - CH</v>
      </c>
    </row>
    <row r="187" spans="1:8" x14ac:dyDescent="0.3">
      <c r="A187" t="s">
        <v>74</v>
      </c>
      <c r="B187" s="12" t="str">
        <f>"transport, "&amp;B183</f>
        <v>transport, Motorbike, electric, &gt;35kW</v>
      </c>
    </row>
    <row r="188" spans="1:8" x14ac:dyDescent="0.3">
      <c r="A188" t="s">
        <v>75</v>
      </c>
      <c r="B188" t="s">
        <v>76</v>
      </c>
    </row>
    <row r="189" spans="1:8" x14ac:dyDescent="0.3">
      <c r="A189" t="s">
        <v>77</v>
      </c>
      <c r="B189" t="s">
        <v>172</v>
      </c>
    </row>
    <row r="190" spans="1:8" x14ac:dyDescent="0.3">
      <c r="A190" t="s">
        <v>79</v>
      </c>
      <c r="B190" t="s">
        <v>90</v>
      </c>
    </row>
    <row r="191" spans="1:8" x14ac:dyDescent="0.3">
      <c r="A191" t="s">
        <v>132</v>
      </c>
      <c r="B191">
        <f>INDEX('vehicles specifications'!$B$3:$CK$86,MATCH(B186,'vehicles specifications'!$A$3:$A$86,0),MATCH("Lifetime [km]",'vehicles specifications'!$B$2:$CK$2,0))</f>
        <v>62100</v>
      </c>
    </row>
    <row r="192" spans="1:8" x14ac:dyDescent="0.3">
      <c r="A192" t="s">
        <v>133</v>
      </c>
      <c r="B192">
        <f>INDEX('vehicles specifications'!$B$3:$CK$86,MATCH(B186,'vehicles specifications'!$A$3:$A$86,0),MATCH("Passengers [unit]",'vehicles specifications'!$B$2:$CK$2,0))</f>
        <v>1.1000000000000001</v>
      </c>
    </row>
    <row r="193" spans="1:8" x14ac:dyDescent="0.3">
      <c r="A193" t="s">
        <v>134</v>
      </c>
      <c r="B193">
        <f>INDEX('vehicles specifications'!$B$3:$CK$86,MATCH(B186,'vehicles specifications'!$A$3:$A$86,0),MATCH("Servicing [unit]",'vehicles specifications'!$B$2:$CK$2,0))</f>
        <v>1.242</v>
      </c>
    </row>
    <row r="194" spans="1:8" x14ac:dyDescent="0.3">
      <c r="A194" t="s">
        <v>135</v>
      </c>
      <c r="B194">
        <f>INDEX('vehicles specifications'!$B$3:$CK$86,MATCH(B186,'vehicles specifications'!$A$3:$A$86,0),MATCH("Energy battery replacement [unit]",'vehicles specifications'!$B$2:$CK$2,0))</f>
        <v>1</v>
      </c>
    </row>
    <row r="195" spans="1:8" x14ac:dyDescent="0.3">
      <c r="A195" t="s">
        <v>136</v>
      </c>
      <c r="B195">
        <f>INDEX('vehicles specifications'!$B$3:$CK$86,MATCH(B186,'vehicles specifications'!$A$3:$A$86,0),MATCH("Annual kilometers [km]",'vehicles specifications'!$B$2:$CK$2,0))</f>
        <v>4690</v>
      </c>
    </row>
    <row r="196" spans="1:8" x14ac:dyDescent="0.3">
      <c r="A196" t="s">
        <v>137</v>
      </c>
      <c r="B196" s="2">
        <f>INDEX('vehicles specifications'!$B$3:$CK$86,MATCH(B186,'vehicles specifications'!$A$3:$A$86,0),MATCH("Curb mass [kg]",'vehicles specifications'!$B$2:$CK$2,0))</f>
        <v>246.64</v>
      </c>
    </row>
    <row r="197" spans="1:8" x14ac:dyDescent="0.3">
      <c r="A197" t="s">
        <v>138</v>
      </c>
      <c r="B197">
        <f>INDEX('vehicles specifications'!$B$3:$CK$86,MATCH(B186,'vehicles specifications'!$A$3:$A$86,0),MATCH("Power [kW]",'vehicles specifications'!$B$2:$CK$2,0))</f>
        <v>49</v>
      </c>
    </row>
    <row r="198" spans="1:8" x14ac:dyDescent="0.3">
      <c r="A198" t="s">
        <v>139</v>
      </c>
      <c r="B198">
        <f>INDEX('vehicles specifications'!$B$3:$CK$86,MATCH(B186,'vehicles specifications'!$A$3:$A$86,0),MATCH("Energy battery mass [kg]",'vehicles specifications'!$B$2:$CK$2,0))</f>
        <v>99</v>
      </c>
    </row>
    <row r="199" spans="1:8" x14ac:dyDescent="0.3">
      <c r="A199" t="s">
        <v>140</v>
      </c>
      <c r="B199" s="21">
        <f>INDEX('vehicles specifications'!$B$3:$CK$86,MATCH(B186,'vehicles specifications'!$A$3:$A$86,0),MATCH("Electric energy stored [kWh]",'vehicles specifications'!$B$2:$CK$2,0))</f>
        <v>16.5</v>
      </c>
    </row>
    <row r="200" spans="1:8" s="21" customFormat="1" x14ac:dyDescent="0.3">
      <c r="A200" s="21" t="s">
        <v>654</v>
      </c>
      <c r="B200" s="21">
        <f>INDEX('vehicles specifications'!$B$3:$CK$86,MATCH(B186,'vehicles specifications'!$A$3:$A$86,0),MATCH("Electric energy available [kWh]",'vehicles specifications'!$B$2:$CK$2,0))</f>
        <v>13.200000000000001</v>
      </c>
    </row>
    <row r="201" spans="1:8" x14ac:dyDescent="0.3">
      <c r="A201" t="s">
        <v>143</v>
      </c>
      <c r="B201" s="2">
        <f>INDEX('vehicles specifications'!$B$3:$CK$86,MATCH(B186,'vehicles specifications'!$A$3:$A$86,0),MATCH("Oxydation energy stored [kWh]",'vehicles specifications'!$B$2:$CK$2,0))</f>
        <v>0</v>
      </c>
    </row>
    <row r="202" spans="1:8" x14ac:dyDescent="0.3">
      <c r="A202" t="s">
        <v>145</v>
      </c>
      <c r="B202">
        <f>INDEX('vehicles specifications'!$B$3:$CK$86,MATCH(B186,'vehicles specifications'!$A$3:$A$86,0),MATCH("Fuel mass [kg]",'vehicles specifications'!$B$2:$CK$2,0))</f>
        <v>0</v>
      </c>
    </row>
    <row r="203" spans="1:8" x14ac:dyDescent="0.3">
      <c r="A203" t="s">
        <v>141</v>
      </c>
      <c r="B203" s="2">
        <f>INDEX('vehicles specifications'!$B$3:$CK$86,MATCH(B186,'vehicles specifications'!$A$3:$A$86,0),MATCH("Range [km]",'vehicles specifications'!$B$2:$CK$2,0))</f>
        <v>172.96867841767528</v>
      </c>
    </row>
    <row r="204" spans="1:8" x14ac:dyDescent="0.3">
      <c r="A204" t="s">
        <v>142</v>
      </c>
      <c r="B204" t="str">
        <f>INDEX('vehicles specifications'!$B$3:$CK$86,MATCH(B186,'vehicles specifications'!$A$3:$A$86,0),MATCH("Emission standard",'vehicles specifications'!$B$2:$CK$2,0))</f>
        <v>None</v>
      </c>
    </row>
    <row r="205" spans="1:8" x14ac:dyDescent="0.3">
      <c r="A205" t="s">
        <v>144</v>
      </c>
      <c r="B205" s="6">
        <f>INDEX('vehicles specifications'!$B$3:$CK$86,MATCH(B186,'vehicles specifications'!$A$3:$A$86,0),MATCH("Lightweighting rate [%]",'vehicles specifications'!$B$2:$CK$2,0))</f>
        <v>0</v>
      </c>
    </row>
    <row r="206" spans="1:8" x14ac:dyDescent="0.3">
      <c r="A206"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"&amp;'lci-kick scooter'!B149</f>
        <v>Power: 49 kW. Lifetime: 62100 km. Annual kilometers: 4690 km. Number of passengers: 1.1. Curb mass: 246.6 kg. Lightweighting of glider: 0%. Emission standard: None. Service visits throughout lifetime: 1.2. Range: 173 km. Battery capacity: 16.5 kWh. Available battery capacity: 13.2 kWh. Battery mass: 99 kg. Battery replacement throughout lifetime: 1. Fuel tank capacity: 0 kWh. Fuel mass: 0 kg. Documentation: 2021 UVEK life-cycle inventories update of on-road vehicles, Sacchi R. (PSI), Bauer C. (PSI), 2021. 2.6</v>
      </c>
    </row>
    <row r="207" spans="1:8" ht="15.6" x14ac:dyDescent="0.3">
      <c r="A207" s="11" t="s">
        <v>80</v>
      </c>
    </row>
    <row r="208" spans="1:8" x14ac:dyDescent="0.3">
      <c r="A208" t="s">
        <v>81</v>
      </c>
      <c r="B208" t="s">
        <v>82</v>
      </c>
      <c r="C208" t="s">
        <v>73</v>
      </c>
      <c r="D208" t="s">
        <v>77</v>
      </c>
      <c r="E208" t="s">
        <v>83</v>
      </c>
      <c r="F208" t="s">
        <v>75</v>
      </c>
      <c r="G208" t="s">
        <v>84</v>
      </c>
      <c r="H208" t="s">
        <v>74</v>
      </c>
    </row>
    <row r="209" spans="1:8" x14ac:dyDescent="0.3">
      <c r="A209" s="12" t="str">
        <f>B181</f>
        <v>transport, Motorbike, electric, &gt;35kW, 2020</v>
      </c>
      <c r="B209" s="12">
        <v>1</v>
      </c>
      <c r="C209" s="12" t="str">
        <f>B182</f>
        <v>CH</v>
      </c>
      <c r="D209" s="12" t="s">
        <v>172</v>
      </c>
      <c r="E209" s="12"/>
      <c r="F209" s="12" t="s">
        <v>85</v>
      </c>
      <c r="G209" s="12" t="s">
        <v>86</v>
      </c>
      <c r="H209" s="12" t="str">
        <f>B187</f>
        <v>transport, Motorbike, electric, &gt;35kW</v>
      </c>
    </row>
    <row r="210" spans="1:8" x14ac:dyDescent="0.3">
      <c r="A210" s="12" t="str">
        <f>RIGHT(A209,LEN(A209)-11)</f>
        <v>Motorbike, electric, &gt;35kW, 2020</v>
      </c>
      <c r="B210" s="15">
        <f>1/B191</f>
        <v>1.6103059581320449E-5</v>
      </c>
      <c r="C210" s="12" t="str">
        <f>B182</f>
        <v>CH</v>
      </c>
      <c r="D210" s="12" t="s">
        <v>77</v>
      </c>
      <c r="E210" s="12"/>
      <c r="F210" s="12" t="s">
        <v>91</v>
      </c>
      <c r="G210" s="12"/>
      <c r="H210" s="12" t="str">
        <f>RIGHT(H209,LEN(H209)-11)</f>
        <v>Motorbike, electric, &gt;35kW</v>
      </c>
    </row>
    <row r="211" spans="1:8" x14ac:dyDescent="0.3">
      <c r="A211" s="12" t="str">
        <f>INDEX('ei names mapping'!$B$4:$R$33,MATCH(B183,'ei names mapping'!$A$4:$A$33,0),MATCH(G211,'ei names mapping'!$B$3:$R$3,0))</f>
        <v>road maintenance</v>
      </c>
      <c r="B211" s="16">
        <f>INDEX('vehicles specifications'!$B$3:$CK$86,MATCH(B186,'vehicles specifications'!$A$3:$A$86,0),MATCH(G211,'vehicles specifications'!$B$2:$CK$2,0))*INDEX('ei names mapping'!$B$137:$BK$220,MATCH(B186,'ei names mapping'!$A$137:$A$220,0),MATCH(G211,'ei names mapping'!$B$136:$BK$136,0))</f>
        <v>1.2899999999999999E-3</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t="s">
        <v>117</v>
      </c>
      <c r="H211" s="12" t="str">
        <f>INDEX('ei names mapping'!$B$71:$BK$100,MATCH(B183,'ei names mapping'!$A$4:$A$33,0),MATCH(G211,'ei names mapping'!$B$3:$BK$3,0))</f>
        <v>road maintenance</v>
      </c>
    </row>
    <row r="212" spans="1:8" x14ac:dyDescent="0.3">
      <c r="A212" s="12" t="str">
        <f>INDEX('ei names mapping'!$B$4:$R$33,MATCH(B183,'ei names mapping'!$A$4:$A$33,0),MATCH(G212,'ei names mapping'!$B$3:$R$3,0))</f>
        <v>market for electricity, low voltage</v>
      </c>
      <c r="B212" s="14">
        <f>INDEX('vehicles specifications'!$B$3:$CK$86,MATCH(B186,'vehicles specifications'!$A$3:$A$86,0),MATCH(G212,'vehicles specifications'!$B$2:$CK$2,0))*INDEX('ei names mapping'!$B$137:$BK$220,MATCH(B186,'ei names mapping'!$A$137:$A$220,0),MATCH(G212,'ei names mapping'!$B$136:$BK$136,0))</f>
        <v>8.3945834198593472E-2</v>
      </c>
      <c r="C212" s="12" t="str">
        <f>INDEX('ei names mapping'!$B$38:$R$67,MATCH($B$3,'ei names mapping'!$A$4:$A$33,0),MATCH(G212,'ei names mapping'!$B$3:$R$3,0))</f>
        <v>CH</v>
      </c>
      <c r="D212" s="12" t="str">
        <f>INDEX('ei names mapping'!$B$104:$R$133,MATCH($B$3,'ei names mapping'!$A$4:$A$33,0),MATCH(G212,'ei names mapping'!$B$3:$R$3,0))</f>
        <v>kilowatt hour</v>
      </c>
      <c r="E212" s="12"/>
      <c r="F212" s="12" t="s">
        <v>91</v>
      </c>
      <c r="G212" t="s">
        <v>28</v>
      </c>
      <c r="H212" s="12" t="str">
        <f>INDEX('ei names mapping'!$B$71:$R$100,MATCH(B183,'ei names mapping'!$A$4:$A$33,0),MATCH(G212,'ei names mapping'!$B$3:$R$3,0))</f>
        <v>electricity, low voltage</v>
      </c>
    </row>
    <row r="213" spans="1:8" x14ac:dyDescent="0.3">
      <c r="A213" s="12" t="str">
        <f>INDEX('ei names mapping'!$B$4:$R$33,MATCH(B183,'ei names mapping'!$A$4:$A$33,0),MATCH(G213,'ei names mapping'!$B$3:$R$3,0))</f>
        <v>market for maintenance, electric scooter, without battery</v>
      </c>
      <c r="B213" s="16">
        <f>INDEX('vehicles specifications'!$B$3:$CK$86,MATCH(B186,'vehicles specifications'!$A$3:$A$86,0),MATCH(G213,'vehicles specifications'!$B$2:$CK$2,0))*INDEX('ei names mapping'!$B$137:$BK$220,MATCH(B186,'ei names mapping'!$A$137:$A$220,0),MATCH(G213,'ei names mapping'!$B$136:$BK$136,0))</f>
        <v>1.9999999999999998E-5</v>
      </c>
      <c r="C213" s="12" t="str">
        <f>INDEX('ei names mapping'!$B$38:$BK$67,MATCH(B183,'ei names mapping'!$A$4:$A$33,0),MATCH(G213,'ei names mapping'!$B$3:$BK$3,0))</f>
        <v>GLO</v>
      </c>
      <c r="D213" s="12" t="str">
        <f>INDEX('ei names mapping'!$B$104:$BK$133,MATCH(B183,'ei names mapping'!$A$4:$A$33,0),MATCH(G213,'ei names mapping'!$B$3:$BK$3,0))</f>
        <v>unit</v>
      </c>
      <c r="F213" s="12" t="s">
        <v>91</v>
      </c>
      <c r="G213" s="12" t="s">
        <v>123</v>
      </c>
      <c r="H213" s="12" t="str">
        <f>INDEX('ei names mapping'!$B$71:$BK$100,MATCH(B183,'ei names mapping'!$A$4:$A$33,0),MATCH(G213,'ei names mapping'!$B$3:$BK$3,0))</f>
        <v>maintenance, electric scooter, without battery</v>
      </c>
    </row>
    <row r="214" spans="1:8" s="21" customFormat="1" x14ac:dyDescent="0.3">
      <c r="A214" s="12" t="str">
        <f>INDEX('ei names mapping'!$B$4:$R$33,MATCH(B183,'ei names mapping'!$A$4:$A$33,0),MATCH(G214,'ei names mapping'!$B$3:$R$3,0))</f>
        <v>road construction</v>
      </c>
      <c r="B214" s="16">
        <f>INDEX('vehicles specifications'!$B$3:$CK$86,MATCH(B186,'vehicles specifications'!$A$3:$A$86,0),MATCH(G214,'vehicles specifications'!$B$2:$CK$2,0))*INDEX('ei names mapping'!$B$137:$BK$220,MATCH(B186,'ei names mapping'!$A$137:$A$220,0),MATCH(G214,'ei names mapping'!$B$136:$BK$136,0))</f>
        <v>1.7701667999999999E-4</v>
      </c>
      <c r="C214" s="12" t="str">
        <f>INDEX('ei names mapping'!$B$38:$R$67,MATCH(B183,'ei names mapping'!$A$4:$A$33,0),MATCH(G214,'ei names mapping'!$B$3:$R$3,0))</f>
        <v>CH</v>
      </c>
      <c r="D214" s="12" t="str">
        <f>INDEX('ei names mapping'!$B$104:$R$133,MATCH(B183,'ei names mapping'!$A$104:$A$133,0),MATCH(G214,'ei names mapping'!$B$3:$R$3,0))</f>
        <v>meter-year</v>
      </c>
      <c r="E214" s="12"/>
      <c r="F214" s="12" t="s">
        <v>91</v>
      </c>
      <c r="G214" s="21" t="s">
        <v>108</v>
      </c>
      <c r="H214" s="12" t="str">
        <f>INDEX('ei names mapping'!$B$71:$R$100,MATCH(B183,'ei names mapping'!$A$4:$A$33,0),MATCH(G214,'ei names mapping'!$B$3:$R$3,0))</f>
        <v>road</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-7.3669999999999991E-6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-4.1749999999999998E-6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Motorbike, electric, &gt;35kW, 2030</v>
      </c>
    </row>
    <row r="220" spans="1:8" x14ac:dyDescent="0.3">
      <c r="A220" t="s">
        <v>73</v>
      </c>
      <c r="B220" t="s">
        <v>37</v>
      </c>
    </row>
    <row r="221" spans="1:8" x14ac:dyDescent="0.3">
      <c r="A221" t="s">
        <v>87</v>
      </c>
      <c r="B221" t="s">
        <v>523</v>
      </c>
    </row>
    <row r="222" spans="1:8" x14ac:dyDescent="0.3">
      <c r="A222" t="s">
        <v>88</v>
      </c>
      <c r="B222" s="12"/>
    </row>
    <row r="223" spans="1:8" x14ac:dyDescent="0.3">
      <c r="A223" t="s">
        <v>89</v>
      </c>
      <c r="B223" s="12">
        <v>2030</v>
      </c>
    </row>
    <row r="224" spans="1:8" x14ac:dyDescent="0.3">
      <c r="A224" t="s">
        <v>131</v>
      </c>
      <c r="B224" s="12" t="str">
        <f>B221&amp;" - "&amp;B223&amp;" - "&amp;B220</f>
        <v>Motorbike, electric, &gt;35kW - 2030 - CH</v>
      </c>
    </row>
    <row r="225" spans="1:2" x14ac:dyDescent="0.3">
      <c r="A225" t="s">
        <v>74</v>
      </c>
      <c r="B225" s="12" t="str">
        <f>"transport, "&amp;B221</f>
        <v>transport, Motorbike, electric, &gt;35kW</v>
      </c>
    </row>
    <row r="226" spans="1:2" x14ac:dyDescent="0.3">
      <c r="A226" t="s">
        <v>75</v>
      </c>
      <c r="B226" t="s">
        <v>76</v>
      </c>
    </row>
    <row r="227" spans="1:2" x14ac:dyDescent="0.3">
      <c r="A227" t="s">
        <v>77</v>
      </c>
      <c r="B227" t="s">
        <v>172</v>
      </c>
    </row>
    <row r="228" spans="1:2" x14ac:dyDescent="0.3">
      <c r="A228" t="s">
        <v>79</v>
      </c>
      <c r="B228" t="s">
        <v>90</v>
      </c>
    </row>
    <row r="229" spans="1:2" x14ac:dyDescent="0.3">
      <c r="A229" t="s">
        <v>132</v>
      </c>
      <c r="B229">
        <f>INDEX('vehicles specifications'!$B$3:$CK$86,MATCH(B224,'vehicles specifications'!$A$3:$A$86,0),MATCH("Lifetime [km]",'vehicles specifications'!$B$2:$CK$2,0))</f>
        <v>62100</v>
      </c>
    </row>
    <row r="230" spans="1:2" x14ac:dyDescent="0.3">
      <c r="A230" t="s">
        <v>133</v>
      </c>
      <c r="B230">
        <f>INDEX('vehicles specifications'!$B$3:$CK$86,MATCH(B224,'vehicles specifications'!$A$3:$A$86,0),MATCH("Passengers [unit]",'vehicles specifications'!$B$2:$CK$2,0))</f>
        <v>1.1000000000000001</v>
      </c>
    </row>
    <row r="231" spans="1:2" x14ac:dyDescent="0.3">
      <c r="A231" t="s">
        <v>134</v>
      </c>
      <c r="B231">
        <f>INDEX('vehicles specifications'!$B$3:$CK$86,MATCH(B224,'vehicles specifications'!$A$3:$A$86,0),MATCH("Servicing [unit]",'vehicles specifications'!$B$2:$CK$2,0))</f>
        <v>1.242</v>
      </c>
    </row>
    <row r="232" spans="1:2" x14ac:dyDescent="0.3">
      <c r="A232" t="s">
        <v>135</v>
      </c>
      <c r="B232">
        <f>INDEX('vehicles specifications'!$B$3:$CK$86,MATCH(B224,'vehicles specifications'!$A$3:$A$86,0),MATCH("Energy battery replacement [unit]",'vehicles specifications'!$B$2:$CK$2,0))</f>
        <v>0.5</v>
      </c>
    </row>
    <row r="233" spans="1:2" x14ac:dyDescent="0.3">
      <c r="A233" t="s">
        <v>136</v>
      </c>
      <c r="B233">
        <f>INDEX('vehicles specifications'!$B$3:$CK$86,MATCH(B224,'vehicles specifications'!$A$3:$A$86,0),MATCH("Annual kilometers [km]",'vehicles specifications'!$B$2:$CK$2,0))</f>
        <v>4690</v>
      </c>
    </row>
    <row r="234" spans="1:2" x14ac:dyDescent="0.3">
      <c r="A234" t="s">
        <v>137</v>
      </c>
      <c r="B234" s="2">
        <f>INDEX('vehicles specifications'!$B$3:$CK$86,MATCH(B224,'vehicles specifications'!$A$3:$A$86,0),MATCH("Curb mass [kg]",'vehicles specifications'!$B$2:$CK$2,0))</f>
        <v>246.71</v>
      </c>
    </row>
    <row r="235" spans="1:2" x14ac:dyDescent="0.3">
      <c r="A235" t="s">
        <v>138</v>
      </c>
      <c r="B235">
        <f>INDEX('vehicles specifications'!$B$3:$CK$86,MATCH(B224,'vehicles specifications'!$A$3:$A$86,0),MATCH("Power [kW]",'vehicles specifications'!$B$2:$CK$2,0))</f>
        <v>49</v>
      </c>
    </row>
    <row r="236" spans="1:2" x14ac:dyDescent="0.3">
      <c r="A236" t="s">
        <v>139</v>
      </c>
      <c r="B236">
        <f>INDEX('vehicles specifications'!$B$3:$CK$86,MATCH(B224,'vehicles specifications'!$A$3:$A$86,0),MATCH("Energy battery mass [kg]",'vehicles specifications'!$B$2:$CK$2,0))</f>
        <v>102.4</v>
      </c>
    </row>
    <row r="237" spans="1:2" x14ac:dyDescent="0.3">
      <c r="A237" t="s">
        <v>140</v>
      </c>
      <c r="B237" s="21">
        <f>INDEX('vehicles specifications'!$B$3:$CK$86,MATCH(B224,'vehicles specifications'!$A$3:$A$86,0),MATCH("Electric energy stored [kWh]",'vehicles specifications'!$B$2:$CK$2,0))</f>
        <v>25.6</v>
      </c>
    </row>
    <row r="238" spans="1:2" s="21" customFormat="1" x14ac:dyDescent="0.3">
      <c r="A238" s="21" t="s">
        <v>654</v>
      </c>
      <c r="B238" s="21">
        <f>INDEX('vehicles specifications'!$B$3:$CK$86,MATCH(B224,'vehicles specifications'!$A$3:$A$86,0),MATCH("Electric energy available [kWh]",'vehicles specifications'!$B$2:$CK$2,0))</f>
        <v>20.480000000000004</v>
      </c>
    </row>
    <row r="239" spans="1:2" x14ac:dyDescent="0.3">
      <c r="A239" t="s">
        <v>143</v>
      </c>
      <c r="B239" s="2">
        <f>INDEX('vehicles specifications'!$B$3:$CK$86,MATCH(B224,'vehicles specifications'!$A$3:$A$86,0),MATCH("Oxydation energy stored [kWh]",'vehicles specifications'!$B$2:$CK$2,0))</f>
        <v>0</v>
      </c>
    </row>
    <row r="240" spans="1:2" x14ac:dyDescent="0.3">
      <c r="A240" t="s">
        <v>145</v>
      </c>
      <c r="B240">
        <f>INDEX('vehicles specifications'!$B$3:$CK$86,MATCH(B224,'vehicles specifications'!$A$3:$A$86,0),MATCH("Fuel mass [kg]",'vehicles specifications'!$B$2:$CK$2,0))</f>
        <v>0</v>
      </c>
    </row>
    <row r="241" spans="1:8" x14ac:dyDescent="0.3">
      <c r="A241" t="s">
        <v>141</v>
      </c>
      <c r="B241" s="2">
        <f>INDEX('vehicles specifications'!$B$3:$CK$86,MATCH(B224,'vehicles specifications'!$A$3:$A$86,0),MATCH("Range [km]",'vehicles specifications'!$B$2:$CK$2,0))</f>
        <v>268.363525302575</v>
      </c>
    </row>
    <row r="242" spans="1:8" x14ac:dyDescent="0.3">
      <c r="A242" t="s">
        <v>142</v>
      </c>
      <c r="B242" t="str">
        <f>INDEX('vehicles specifications'!$B$3:$CK$86,MATCH(B224,'vehicles specifications'!$A$3:$A$86,0),MATCH("Emission standard",'vehicles specifications'!$B$2:$CK$2,0))</f>
        <v>None</v>
      </c>
    </row>
    <row r="243" spans="1:8" x14ac:dyDescent="0.3">
      <c r="A243" t="s">
        <v>144</v>
      </c>
      <c r="B243" s="6">
        <f>INDEX('vehicles specifications'!$B$3:$CK$86,MATCH(B224,'vehicles specifications'!$A$3:$A$86,0),MATCH("Lightweighting rate [%]",'vehicles specifications'!$B$2:$CK$2,0))</f>
        <v>0.03</v>
      </c>
    </row>
    <row r="244" spans="1:8" x14ac:dyDescent="0.3">
      <c r="A244"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"&amp;'lci-kick scooter'!B187</f>
        <v>Power: 49 kW. Lifetime: 62100 km. Annual kilometers: 4690 km. Number of passengers: 1.1. Curb mass: 246.7 kg. Lightweighting of glider: 3%. Emission standard: None. Service visits throughout lifetime: 1.2. Range: 268 km. Battery capacity: 25.6 kWh. Available battery capacity: 20.48 kWh. Battery mass: 102.4 kg. Battery replacement throughout lifetime: 0.5. Fuel tank capacity: 0 kWh. Fuel mass: 0 kg. Documentation: 2021 UVEK life-cycle inventories update of on-road vehicles, Sacchi R. (PSI), Bauer C. (PSI), 2021. 0.44625</v>
      </c>
    </row>
    <row r="245" spans="1:8" ht="15.6" x14ac:dyDescent="0.3">
      <c r="A245" s="11" t="s">
        <v>80</v>
      </c>
    </row>
    <row r="246" spans="1:8" x14ac:dyDescent="0.3">
      <c r="A246" t="s">
        <v>81</v>
      </c>
      <c r="B246" t="s">
        <v>82</v>
      </c>
      <c r="C246" t="s">
        <v>73</v>
      </c>
      <c r="D246" t="s">
        <v>77</v>
      </c>
      <c r="E246" t="s">
        <v>83</v>
      </c>
      <c r="F246" t="s">
        <v>75</v>
      </c>
      <c r="G246" t="s">
        <v>84</v>
      </c>
      <c r="H246" t="s">
        <v>74</v>
      </c>
    </row>
    <row r="247" spans="1:8" x14ac:dyDescent="0.3">
      <c r="A247" s="12" t="str">
        <f>B219</f>
        <v>transport, Motorbike, electric, &gt;35kW, 2030</v>
      </c>
      <c r="B247" s="12">
        <v>1</v>
      </c>
      <c r="C247" s="12" t="str">
        <f>B220</f>
        <v>CH</v>
      </c>
      <c r="D247" s="12" t="s">
        <v>172</v>
      </c>
      <c r="E247" s="12"/>
      <c r="F247" s="12" t="s">
        <v>85</v>
      </c>
      <c r="G247" s="12" t="s">
        <v>86</v>
      </c>
      <c r="H247" s="12" t="str">
        <f>B225</f>
        <v>transport, Motorbike, electric, &gt;35kW</v>
      </c>
    </row>
    <row r="248" spans="1:8" x14ac:dyDescent="0.3">
      <c r="A248" s="12" t="str">
        <f>RIGHT(A247,LEN(A247)-11)</f>
        <v>Motorbike, electric, &gt;35kW, 2030</v>
      </c>
      <c r="B248" s="12">
        <f>1/B229</f>
        <v>1.6103059581320449E-5</v>
      </c>
      <c r="C248" s="12" t="str">
        <f>B220</f>
        <v>CH</v>
      </c>
      <c r="D248" s="12" t="s">
        <v>77</v>
      </c>
      <c r="E248" s="12"/>
      <c r="F248" s="12" t="s">
        <v>91</v>
      </c>
      <c r="G248" s="12"/>
      <c r="H248" s="12" t="str">
        <f>RIGHT(H247,LEN(H247)-11)</f>
        <v>Motorbike, electric, &gt;35kW</v>
      </c>
    </row>
    <row r="249" spans="1:8" x14ac:dyDescent="0.3">
      <c r="A249" s="12" t="str">
        <f>INDEX('ei names mapping'!$B$4:$R$33,MATCH(B221,'ei names mapping'!$A$4:$A$33,0),MATCH(G249,'ei names mapping'!$B$3:$R$3,0))</f>
        <v>road maintenance</v>
      </c>
      <c r="B249" s="16">
        <f>INDEX('vehicles specifications'!$B$3:$CK$86,MATCH(B224,'vehicles specifications'!$A$3:$A$86,0),MATCH(G249,'vehicles specifications'!$B$2:$CK$2,0))*INDEX('ei names mapping'!$B$137:$BK$220,MATCH(B224,'ei names mapping'!$A$137:$A$220,0),MATCH(G249,'ei names mapping'!$B$136:$BK$136,0))</f>
        <v>1.2899999999999999E-3</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t="s">
        <v>117</v>
      </c>
      <c r="H249" s="12" t="str">
        <f>INDEX('ei names mapping'!$B$71:$BK$100,MATCH(B221,'ei names mapping'!$A$4:$A$33,0),MATCH(G249,'ei names mapping'!$B$3:$BK$3,0))</f>
        <v>road maintenance</v>
      </c>
    </row>
    <row r="250" spans="1:8" x14ac:dyDescent="0.3">
      <c r="A250" s="12" t="str">
        <f>INDEX('ei names mapping'!$B$4:$R$33,MATCH(B221,'ei names mapping'!$A$4:$A$33,0),MATCH(G250,'ei names mapping'!$B$3:$R$3,0))</f>
        <v>market for electricity, low voltage</v>
      </c>
      <c r="B250" s="14">
        <f>INDEX('vehicles specifications'!$B$3:$CK$86,MATCH(B224,'vehicles specifications'!$A$3:$A$86,0),MATCH(G250,'vehicles specifications'!$B$2:$CK$2,0))*INDEX('ei names mapping'!$B$137:$BK$220,MATCH(B224,'ei names mapping'!$A$137:$A$220,0),MATCH(G250,'ei names mapping'!$B$136:$BK$136,0))</f>
        <v>8.3945834198593472E-2</v>
      </c>
      <c r="C250" s="12" t="str">
        <f>INDEX('ei names mapping'!$B$38:$R$67,MATCH($B$3,'ei names mapping'!$A$4:$A$33,0),MATCH(G250,'ei names mapping'!$B$3:$R$3,0))</f>
        <v>CH</v>
      </c>
      <c r="D250" s="12" t="str">
        <f>INDEX('ei names mapping'!$B$104:$R$133,MATCH($B$3,'ei names mapping'!$A$4:$A$33,0),MATCH(G250,'ei names mapping'!$B$3:$R$3,0))</f>
        <v>kilowatt hour</v>
      </c>
      <c r="E250" s="12"/>
      <c r="F250" s="12" t="s">
        <v>91</v>
      </c>
      <c r="G250" t="s">
        <v>28</v>
      </c>
      <c r="H250" s="12" t="str">
        <f>INDEX('ei names mapping'!$B$71:$R$100,MATCH(B221,'ei names mapping'!$A$4:$A$33,0),MATCH(G250,'ei names mapping'!$B$3:$R$3,0))</f>
        <v>electricity, low voltage</v>
      </c>
    </row>
    <row r="251" spans="1:8" x14ac:dyDescent="0.3">
      <c r="A251" s="12" t="str">
        <f>INDEX('ei names mapping'!$B$4:$R$33,MATCH(B221,'ei names mapping'!$A$4:$A$33,0),MATCH(G251,'ei names mapping'!$B$3:$R$3,0))</f>
        <v>market for maintenance, electric scooter, without battery</v>
      </c>
      <c r="B251" s="16">
        <f>INDEX('vehicles specifications'!$B$3:$CK$86,MATCH(B224,'vehicles specifications'!$A$3:$A$86,0),MATCH(G251,'vehicles specifications'!$B$2:$CK$2,0))*INDEX('ei names mapping'!$B$137:$BK$220,MATCH(B224,'ei names mapping'!$A$137:$A$220,0),MATCH(G251,'ei names mapping'!$B$136:$BK$136,0))</f>
        <v>1.9999999999999998E-5</v>
      </c>
      <c r="C251" s="12" t="str">
        <f>INDEX('ei names mapping'!$B$38:$BK$67,MATCH(B221,'ei names mapping'!$A$4:$A$33,0),MATCH(G251,'ei names mapping'!$B$3:$BK$3,0))</f>
        <v>GLO</v>
      </c>
      <c r="D251" s="12" t="str">
        <f>INDEX('ei names mapping'!$B$104:$BK$133,MATCH(B221,'ei names mapping'!$A$4:$A$33,0),MATCH(G251,'ei names mapping'!$B$3:$BK$3,0))</f>
        <v>unit</v>
      </c>
      <c r="F251" s="12" t="s">
        <v>91</v>
      </c>
      <c r="G251" s="12" t="s">
        <v>123</v>
      </c>
      <c r="H251" s="12" t="str">
        <f>INDEX('ei names mapping'!$B$71:$BK$100,MATCH(B221,'ei names mapping'!$A$4:$A$33,0),MATCH(G251,'ei names mapping'!$B$3:$BK$3,0))</f>
        <v>maintenance, electric scooter, without battery</v>
      </c>
    </row>
    <row r="252" spans="1:8" s="21" customFormat="1" x14ac:dyDescent="0.3">
      <c r="A252" s="12" t="str">
        <f>INDEX('ei names mapping'!$B$4:$R$33,MATCH(B221,'ei names mapping'!$A$4:$A$33,0),MATCH(G252,'ei names mapping'!$B$3:$R$3,0))</f>
        <v>road construction</v>
      </c>
      <c r="B252" s="16">
        <f>INDEX('vehicles specifications'!$B$3:$CK$86,MATCH(B224,'vehicles specifications'!$A$3:$A$86,0),MATCH(G252,'vehicles specifications'!$B$2:$CK$2,0))*INDEX('ei names mapping'!$B$137:$BK$220,MATCH(B224,'ei names mapping'!$A$137:$A$220,0),MATCH(G252,'ei names mapping'!$B$136:$BK$136,0))</f>
        <v>1.7705427000000001E-4</v>
      </c>
      <c r="C252" s="12" t="str">
        <f>INDEX('ei names mapping'!$B$38:$R$67,MATCH(B221,'ei names mapping'!$A$4:$A$33,0),MATCH(G252,'ei names mapping'!$B$3:$R$3,0))</f>
        <v>CH</v>
      </c>
      <c r="D252" s="12" t="str">
        <f>INDEX('ei names mapping'!$B$104:$R$133,MATCH(B221,'ei names mapping'!$A$104:$A$133,0),MATCH(G252,'ei names mapping'!$B$3:$R$3,0))</f>
        <v>meter-year</v>
      </c>
      <c r="E252" s="12"/>
      <c r="F252" s="12" t="s">
        <v>91</v>
      </c>
      <c r="G252" s="21" t="s">
        <v>108</v>
      </c>
      <c r="H252" s="12" t="str">
        <f>INDEX('ei names mapping'!$B$71:$R$100,MATCH(B221,'ei names mapping'!$A$4:$A$33,0),MATCH(G252,'ei names mapping'!$B$3:$R$3,0))</f>
        <v>road</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-7.3669999999999991E-6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-4.1749999999999998E-6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Motorbike, electric, &gt;35kW, 2040</v>
      </c>
    </row>
    <row r="258" spans="1:2" x14ac:dyDescent="0.3">
      <c r="A258" t="s">
        <v>73</v>
      </c>
      <c r="B258" t="s">
        <v>37</v>
      </c>
    </row>
    <row r="259" spans="1:2" x14ac:dyDescent="0.3">
      <c r="A259" t="s">
        <v>87</v>
      </c>
      <c r="B259" t="s">
        <v>523</v>
      </c>
    </row>
    <row r="260" spans="1:2" x14ac:dyDescent="0.3">
      <c r="A260" t="s">
        <v>88</v>
      </c>
      <c r="B260" s="12"/>
    </row>
    <row r="261" spans="1:2" x14ac:dyDescent="0.3">
      <c r="A261" t="s">
        <v>89</v>
      </c>
      <c r="B261" s="12">
        <v>2040</v>
      </c>
    </row>
    <row r="262" spans="1:2" x14ac:dyDescent="0.3">
      <c r="A262" t="s">
        <v>131</v>
      </c>
      <c r="B262" s="12" t="str">
        <f>B259&amp;" - "&amp;B261&amp;" - "&amp;B258</f>
        <v>Motorbike, electric, &gt;35kW - 2040 - CH</v>
      </c>
    </row>
    <row r="263" spans="1:2" x14ac:dyDescent="0.3">
      <c r="A263" t="s">
        <v>74</v>
      </c>
      <c r="B263" s="12" t="str">
        <f>"transport, "&amp;B259</f>
        <v>transport, Motorbike, electric, &gt;35kW</v>
      </c>
    </row>
    <row r="264" spans="1:2" x14ac:dyDescent="0.3">
      <c r="A264" t="s">
        <v>75</v>
      </c>
      <c r="B264" t="s">
        <v>76</v>
      </c>
    </row>
    <row r="265" spans="1:2" x14ac:dyDescent="0.3">
      <c r="A265" t="s">
        <v>77</v>
      </c>
      <c r="B265" t="s">
        <v>172</v>
      </c>
    </row>
    <row r="266" spans="1:2" x14ac:dyDescent="0.3">
      <c r="A266" t="s">
        <v>79</v>
      </c>
      <c r="B266" t="s">
        <v>90</v>
      </c>
    </row>
    <row r="267" spans="1:2" x14ac:dyDescent="0.3">
      <c r="A267" t="s">
        <v>132</v>
      </c>
      <c r="B267">
        <f>INDEX('vehicles specifications'!$B$3:$CK$86,MATCH(B262,'vehicles specifications'!$A$3:$A$86,0),MATCH("Lifetime [km]",'vehicles specifications'!$B$2:$CK$2,0))</f>
        <v>62100</v>
      </c>
    </row>
    <row r="268" spans="1:2" x14ac:dyDescent="0.3">
      <c r="A268" t="s">
        <v>133</v>
      </c>
      <c r="B268">
        <f>INDEX('vehicles specifications'!$B$3:$CK$86,MATCH(B262,'vehicles specifications'!$A$3:$A$86,0),MATCH("Passengers [unit]",'vehicles specifications'!$B$2:$CK$2,0))</f>
        <v>1.1000000000000001</v>
      </c>
    </row>
    <row r="269" spans="1:2" x14ac:dyDescent="0.3">
      <c r="A269" t="s">
        <v>134</v>
      </c>
      <c r="B269">
        <f>INDEX('vehicles specifications'!$B$3:$CK$86,MATCH(B262,'vehicles specifications'!$A$3:$A$86,0),MATCH("Servicing [unit]",'vehicles specifications'!$B$2:$CK$2,0))</f>
        <v>1.242</v>
      </c>
    </row>
    <row r="270" spans="1:2" x14ac:dyDescent="0.3">
      <c r="A270" t="s">
        <v>135</v>
      </c>
      <c r="B270">
        <f>INDEX('vehicles specifications'!$B$3:$CK$86,MATCH(B262,'vehicles specifications'!$A$3:$A$86,0),MATCH("Energy battery replacement [unit]",'vehicles specifications'!$B$2:$CK$2,0))</f>
        <v>0.25</v>
      </c>
    </row>
    <row r="271" spans="1:2" x14ac:dyDescent="0.3">
      <c r="A271" t="s">
        <v>136</v>
      </c>
      <c r="B271">
        <f>INDEX('vehicles specifications'!$B$3:$CK$86,MATCH(B262,'vehicles specifications'!$A$3:$A$86,0),MATCH("Annual kilometers [km]",'vehicles specifications'!$B$2:$CK$2,0))</f>
        <v>4690</v>
      </c>
    </row>
    <row r="272" spans="1:2" x14ac:dyDescent="0.3">
      <c r="A272" t="s">
        <v>137</v>
      </c>
      <c r="B272" s="2">
        <f>INDEX('vehicles specifications'!$B$3:$CK$86,MATCH(B262,'vehicles specifications'!$A$3:$A$86,0),MATCH("Curb mass [kg]",'vehicles specifications'!$B$2:$CK$2,0))</f>
        <v>247.08999999999997</v>
      </c>
    </row>
    <row r="273" spans="1:8" x14ac:dyDescent="0.3">
      <c r="A273" t="s">
        <v>138</v>
      </c>
      <c r="B273">
        <f>INDEX('vehicles specifications'!$B$3:$CK$86,MATCH(B262,'vehicles specifications'!$A$3:$A$86,0),MATCH("Power [kW]",'vehicles specifications'!$B$2:$CK$2,0))</f>
        <v>49</v>
      </c>
    </row>
    <row r="274" spans="1:8" x14ac:dyDescent="0.3">
      <c r="A274" t="s">
        <v>139</v>
      </c>
      <c r="B274">
        <f>INDEX('vehicles specifications'!$B$3:$CK$86,MATCH(B262,'vehicles specifications'!$A$3:$A$86,0),MATCH("Energy battery mass [kg]",'vehicles specifications'!$B$2:$CK$2,0))</f>
        <v>105</v>
      </c>
    </row>
    <row r="275" spans="1:8" x14ac:dyDescent="0.3">
      <c r="A275" t="s">
        <v>140</v>
      </c>
      <c r="B275" s="21">
        <f>INDEX('vehicles specifications'!$B$3:$CK$86,MATCH(B262,'vehicles specifications'!$A$3:$A$86,0),MATCH("Electric energy stored [kWh]",'vehicles specifications'!$B$2:$CK$2,0))</f>
        <v>35</v>
      </c>
    </row>
    <row r="276" spans="1:8" s="21" customFormat="1" x14ac:dyDescent="0.3">
      <c r="A276" s="21" t="s">
        <v>654</v>
      </c>
      <c r="B276" s="21">
        <f>INDEX('vehicles specifications'!$B$3:$CK$86,MATCH(B262,'vehicles specifications'!$A$3:$A$86,0),MATCH("Electric energy available [kWh]",'vehicles specifications'!$B$2:$CK$2,0))</f>
        <v>28</v>
      </c>
    </row>
    <row r="277" spans="1:8" x14ac:dyDescent="0.3">
      <c r="A277" t="s">
        <v>143</v>
      </c>
      <c r="B277" s="2">
        <f>INDEX('vehicles specifications'!$B$3:$CK$86,MATCH(B262,'vehicles specifications'!$A$3:$A$86,0),MATCH("Oxydation energy stored [kWh]",'vehicles specifications'!$B$2:$CK$2,0))</f>
        <v>0</v>
      </c>
    </row>
    <row r="278" spans="1:8" x14ac:dyDescent="0.3">
      <c r="A278" t="s">
        <v>145</v>
      </c>
      <c r="B278">
        <f>INDEX('vehicles specifications'!$B$3:$CK$86,MATCH(B262,'vehicles specifications'!$A$3:$A$86,0),MATCH("Fuel mass [kg]",'vehicles specifications'!$B$2:$CK$2,0))</f>
        <v>0</v>
      </c>
    </row>
    <row r="279" spans="1:8" x14ac:dyDescent="0.3">
      <c r="A279" t="s">
        <v>141</v>
      </c>
      <c r="B279" s="2">
        <f>INDEX('vehicles specifications'!$B$3:$CK$86,MATCH(B262,'vehicles specifications'!$A$3:$A$86,0),MATCH("Range [km]",'vehicles specifications'!$B$2:$CK$2,0))</f>
        <v>366.90325724961417</v>
      </c>
    </row>
    <row r="280" spans="1:8" x14ac:dyDescent="0.3">
      <c r="A280" t="s">
        <v>142</v>
      </c>
      <c r="B280" t="str">
        <f>INDEX('vehicles specifications'!$B$3:$CK$86,MATCH(B262,'vehicles specifications'!$A$3:$A$86,0),MATCH("Emission standard",'vehicles specifications'!$B$2:$CK$2,0))</f>
        <v>None</v>
      </c>
    </row>
    <row r="281" spans="1:8" x14ac:dyDescent="0.3">
      <c r="A281" t="s">
        <v>144</v>
      </c>
      <c r="B281" s="6">
        <f>INDEX('vehicles specifications'!$B$3:$CK$86,MATCH(B262,'vehicles specifications'!$A$3:$A$86,0),MATCH("Lightweighting rate [%]",'vehicles specifications'!$B$2:$CK$2,0))</f>
        <v>0.05</v>
      </c>
    </row>
    <row r="282" spans="1:8" x14ac:dyDescent="0.3">
      <c r="A282"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"&amp;'lci-kick scooter'!B225</f>
        <v>Power: 49 kW. Lifetime: 62100 km. Annual kilometers: 4690 km. Number of passengers: 1.1. Curb mass: 247.1 kg. Lightweighting of glider: 5%. Emission standard: None. Service visits throughout lifetime: 1.2. Range: 367 km. Battery capacity: 35 kWh. Available battery capacity: 28 kWh. Battery mass: 105 kg. Battery replacement throughout lifetime: 0.3. Fuel tank capacity: 0 kWh. Fuel mass: 0 kg. Documentation: 2021 UVEK life-cycle inventories update of on-road vehicles, Sacchi R. (PSI), Bauer C. (PSI), 2021. 0</v>
      </c>
    </row>
    <row r="283" spans="1:8" ht="15.6" x14ac:dyDescent="0.3">
      <c r="A283" s="11" t="s">
        <v>80</v>
      </c>
    </row>
    <row r="284" spans="1:8" x14ac:dyDescent="0.3">
      <c r="A284" t="s">
        <v>81</v>
      </c>
      <c r="B284" t="s">
        <v>82</v>
      </c>
      <c r="C284" t="s">
        <v>73</v>
      </c>
      <c r="D284" t="s">
        <v>77</v>
      </c>
      <c r="E284" t="s">
        <v>83</v>
      </c>
      <c r="F284" t="s">
        <v>75</v>
      </c>
      <c r="G284" t="s">
        <v>84</v>
      </c>
      <c r="H284" t="s">
        <v>74</v>
      </c>
    </row>
    <row r="285" spans="1:8" x14ac:dyDescent="0.3">
      <c r="A285" s="12" t="str">
        <f>B257</f>
        <v>transport, Motorbike, electric, &gt;35kW, 2040</v>
      </c>
      <c r="B285" s="12">
        <v>1</v>
      </c>
      <c r="C285" s="12" t="str">
        <f>B258</f>
        <v>CH</v>
      </c>
      <c r="D285" s="12" t="s">
        <v>172</v>
      </c>
      <c r="E285" s="12"/>
      <c r="F285" s="12" t="s">
        <v>85</v>
      </c>
      <c r="G285" s="12" t="s">
        <v>86</v>
      </c>
      <c r="H285" s="12" t="str">
        <f>B263</f>
        <v>transport, Motorbike, electric, &gt;35kW</v>
      </c>
    </row>
    <row r="286" spans="1:8" x14ac:dyDescent="0.3">
      <c r="A286" s="12" t="str">
        <f>RIGHT(A285,LEN(A285)-11)</f>
        <v>Motorbike, electric, &gt;35kW, 2040</v>
      </c>
      <c r="B286" s="12">
        <f>1/B267</f>
        <v>1.6103059581320449E-5</v>
      </c>
      <c r="C286" s="12" t="str">
        <f>B258</f>
        <v>CH</v>
      </c>
      <c r="D286" s="12" t="s">
        <v>77</v>
      </c>
      <c r="E286" s="12"/>
      <c r="F286" s="12" t="s">
        <v>91</v>
      </c>
      <c r="G286" s="12"/>
      <c r="H286" s="12" t="str">
        <f>RIGHT(H285,LEN(H285)-11)</f>
        <v>Motorbike, electric, &gt;35kW</v>
      </c>
    </row>
    <row r="287" spans="1:8" x14ac:dyDescent="0.3">
      <c r="A287" s="12" t="str">
        <f>INDEX('ei names mapping'!$B$4:$R$33,MATCH(B259,'ei names mapping'!$A$4:$A$33,0),MATCH(G287,'ei names mapping'!$B$3:$R$3,0))</f>
        <v>road maintenance</v>
      </c>
      <c r="B287" s="16">
        <f>INDEX('vehicles specifications'!$B$3:$CK$86,MATCH(B262,'vehicles specifications'!$A$3:$A$86,0),MATCH(G287,'vehicles specifications'!$B$2:$CK$2,0))*INDEX('ei names mapping'!$B$137:$BK$220,MATCH(B262,'ei names mapping'!$A$137:$A$220,0),MATCH(G287,'ei names mapping'!$B$136:$BK$136,0))</f>
        <v>1.2899999999999999E-3</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t="s">
        <v>117</v>
      </c>
      <c r="H287" s="12" t="str">
        <f>INDEX('ei names mapping'!$B$71:$BK$100,MATCH(B259,'ei names mapping'!$A$4:$A$33,0),MATCH(G287,'ei names mapping'!$B$3:$BK$3,0))</f>
        <v>road maintenance</v>
      </c>
    </row>
    <row r="288" spans="1:8" x14ac:dyDescent="0.3">
      <c r="A288" s="12" t="str">
        <f>INDEX('ei names mapping'!$B$4:$R$33,MATCH(B259,'ei names mapping'!$A$4:$A$33,0),MATCH(G288,'ei names mapping'!$B$3:$R$3,0))</f>
        <v>market for electricity, low voltage</v>
      </c>
      <c r="B288" s="14">
        <f>INDEX('vehicles specifications'!$B$3:$CK$86,MATCH(B262,'vehicles specifications'!$A$3:$A$86,0),MATCH(G288,'vehicles specifications'!$B$2:$CK$2,0))*INDEX('ei names mapping'!$B$137:$BK$220,MATCH(B262,'ei names mapping'!$A$137:$A$220,0),MATCH(G288,'ei names mapping'!$B$136:$BK$136,0))</f>
        <v>8.3945834198593472E-2</v>
      </c>
      <c r="C288" s="12" t="str">
        <f>INDEX('ei names mapping'!$B$38:$R$67,MATCH($B$3,'ei names mapping'!$A$4:$A$33,0),MATCH(G288,'ei names mapping'!$B$3:$R$3,0))</f>
        <v>CH</v>
      </c>
      <c r="D288" s="12" t="str">
        <f>INDEX('ei names mapping'!$B$104:$R$133,MATCH($B$3,'ei names mapping'!$A$4:$A$33,0),MATCH(G288,'ei names mapping'!$B$3:$R$3,0))</f>
        <v>kilowatt hour</v>
      </c>
      <c r="E288" s="12"/>
      <c r="F288" s="12" t="s">
        <v>91</v>
      </c>
      <c r="G288" t="s">
        <v>28</v>
      </c>
      <c r="H288" s="12" t="str">
        <f>INDEX('ei names mapping'!$B$71:$R$100,MATCH(B259,'ei names mapping'!$A$4:$A$33,0),MATCH(G288,'ei names mapping'!$B$3:$R$3,0))</f>
        <v>electricity, low voltage</v>
      </c>
    </row>
    <row r="289" spans="1:8" x14ac:dyDescent="0.3">
      <c r="A289" s="12" t="str">
        <f>INDEX('ei names mapping'!$B$4:$R$33,MATCH(B259,'ei names mapping'!$A$4:$A$33,0),MATCH(G289,'ei names mapping'!$B$3:$R$3,0))</f>
        <v>market for maintenance, electric scooter, without battery</v>
      </c>
      <c r="B289" s="16">
        <f>INDEX('vehicles specifications'!$B$3:$CK$86,MATCH(B262,'vehicles specifications'!$A$3:$A$86,0),MATCH(G289,'vehicles specifications'!$B$2:$CK$2,0))*INDEX('ei names mapping'!$B$137:$BK$220,MATCH(B262,'ei names mapping'!$A$137:$A$220,0),MATCH(G289,'ei names mapping'!$B$136:$BK$136,0))</f>
        <v>1.9999999999999998E-5</v>
      </c>
      <c r="C289" s="12" t="str">
        <f>INDEX('ei names mapping'!$B$38:$BK$67,MATCH(B259,'ei names mapping'!$A$4:$A$33,0),MATCH(G289,'ei names mapping'!$B$3:$BK$3,0))</f>
        <v>GLO</v>
      </c>
      <c r="D289" s="12" t="str">
        <f>INDEX('ei names mapping'!$B$104:$BK$133,MATCH(B259,'ei names mapping'!$A$4:$A$33,0),MATCH(G289,'ei names mapping'!$B$3:$BK$3,0))</f>
        <v>unit</v>
      </c>
      <c r="F289" s="12" t="s">
        <v>91</v>
      </c>
      <c r="G289" s="12" t="s">
        <v>123</v>
      </c>
      <c r="H289" s="12" t="str">
        <f>INDEX('ei names mapping'!$B$71:$BK$100,MATCH(B259,'ei names mapping'!$A$4:$A$33,0),MATCH(G289,'ei names mapping'!$B$3:$BK$3,0))</f>
        <v>maintenance, electric scooter, without battery</v>
      </c>
    </row>
    <row r="290" spans="1:8" s="21" customFormat="1" x14ac:dyDescent="0.3">
      <c r="A290" s="12" t="str">
        <f>INDEX('ei names mapping'!$B$4:$R$33,MATCH(B259,'ei names mapping'!$A$4:$A$33,0),MATCH(G290,'ei names mapping'!$B$3:$R$3,0))</f>
        <v>road construction</v>
      </c>
      <c r="B290" s="16">
        <f>INDEX('vehicles specifications'!$B$3:$CK$86,MATCH(B262,'vehicles specifications'!$A$3:$A$86,0),MATCH(G290,'vehicles specifications'!$B$2:$CK$2,0))*INDEX('ei names mapping'!$B$137:$BK$220,MATCH(B262,'ei names mapping'!$A$137:$A$220,0),MATCH(G290,'ei names mapping'!$B$136:$BK$136,0))</f>
        <v>1.7725833E-4</v>
      </c>
      <c r="C290" s="12" t="str">
        <f>INDEX('ei names mapping'!$B$38:$R$67,MATCH(B259,'ei names mapping'!$A$4:$A$33,0),MATCH(G290,'ei names mapping'!$B$3:$R$3,0))</f>
        <v>CH</v>
      </c>
      <c r="D290" s="12" t="str">
        <f>INDEX('ei names mapping'!$B$104:$R$133,MATCH(B259,'ei names mapping'!$A$104:$A$133,0),MATCH(G290,'ei names mapping'!$B$3:$R$3,0))</f>
        <v>meter-year</v>
      </c>
      <c r="E290" s="12"/>
      <c r="F290" s="12" t="s">
        <v>91</v>
      </c>
      <c r="G290" s="21" t="s">
        <v>108</v>
      </c>
      <c r="H290" s="12" t="str">
        <f>INDEX('ei names mapping'!$B$71:$R$100,MATCH(B259,'ei names mapping'!$A$4:$A$33,0),MATCH(G290,'ei names mapping'!$B$3:$R$3,0))</f>
        <v>road</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-7.3669999999999991E-6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-4.1749999999999998E-6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Motorbike, electric, &gt;35kW, 2050</v>
      </c>
    </row>
    <row r="296" spans="1:8" x14ac:dyDescent="0.3">
      <c r="A296" t="s">
        <v>73</v>
      </c>
      <c r="B296" t="s">
        <v>37</v>
      </c>
    </row>
    <row r="297" spans="1:8" x14ac:dyDescent="0.3">
      <c r="A297" t="s">
        <v>87</v>
      </c>
      <c r="B297" t="s">
        <v>523</v>
      </c>
    </row>
    <row r="298" spans="1:8" x14ac:dyDescent="0.3">
      <c r="A298" t="s">
        <v>88</v>
      </c>
      <c r="B298" s="12"/>
    </row>
    <row r="299" spans="1:8" x14ac:dyDescent="0.3">
      <c r="A299" t="s">
        <v>89</v>
      </c>
      <c r="B299" s="12">
        <v>2050</v>
      </c>
    </row>
    <row r="300" spans="1:8" x14ac:dyDescent="0.3">
      <c r="A300" t="s">
        <v>131</v>
      </c>
      <c r="B300" s="12" t="str">
        <f>B297&amp;" - "&amp;B299&amp;" - "&amp;B296</f>
        <v>Motorbike, electric, &gt;35kW - 2050 - CH</v>
      </c>
    </row>
    <row r="301" spans="1:8" x14ac:dyDescent="0.3">
      <c r="A301" t="s">
        <v>74</v>
      </c>
      <c r="B301" s="12" t="str">
        <f>"transport, "&amp;B297</f>
        <v>transport, Motorbike, electric, &gt;35kW</v>
      </c>
    </row>
    <row r="302" spans="1:8" x14ac:dyDescent="0.3">
      <c r="A302" t="s">
        <v>75</v>
      </c>
      <c r="B302" t="s">
        <v>76</v>
      </c>
    </row>
    <row r="303" spans="1:8" x14ac:dyDescent="0.3">
      <c r="A303" t="s">
        <v>77</v>
      </c>
      <c r="B303" t="s">
        <v>172</v>
      </c>
    </row>
    <row r="304" spans="1:8" x14ac:dyDescent="0.3">
      <c r="A304" t="s">
        <v>79</v>
      </c>
      <c r="B304" t="s">
        <v>90</v>
      </c>
    </row>
    <row r="305" spans="1:2" x14ac:dyDescent="0.3">
      <c r="A305" t="s">
        <v>132</v>
      </c>
      <c r="B305">
        <f>INDEX('vehicles specifications'!$B$3:$CK$86,MATCH(B300,'vehicles specifications'!$A$3:$A$86,0),MATCH("Lifetime [km]",'vehicles specifications'!$B$2:$CK$2,0))</f>
        <v>62100</v>
      </c>
    </row>
    <row r="306" spans="1:2" x14ac:dyDescent="0.3">
      <c r="A306" t="s">
        <v>133</v>
      </c>
      <c r="B306">
        <f>INDEX('vehicles specifications'!$B$3:$CK$86,MATCH(B300,'vehicles specifications'!$A$3:$A$86,0),MATCH("Passengers [unit]",'vehicles specifications'!$B$2:$CK$2,0))</f>
        <v>1.1000000000000001</v>
      </c>
    </row>
    <row r="307" spans="1:2" x14ac:dyDescent="0.3">
      <c r="A307" t="s">
        <v>134</v>
      </c>
      <c r="B307">
        <f>INDEX('vehicles specifications'!$B$3:$CK$86,MATCH(B300,'vehicles specifications'!$A$3:$A$86,0),MATCH("Servicing [unit]",'vehicles specifications'!$B$2:$CK$2,0))</f>
        <v>1.242</v>
      </c>
    </row>
    <row r="308" spans="1:2" x14ac:dyDescent="0.3">
      <c r="A308" t="s">
        <v>135</v>
      </c>
      <c r="B308">
        <f>INDEX('vehicles specifications'!$B$3:$CK$86,MATCH(B300,'vehicles specifications'!$A$3:$A$86,0),MATCH("Energy battery replacement [unit]",'vehicles specifications'!$B$2:$CK$2,0))</f>
        <v>0</v>
      </c>
    </row>
    <row r="309" spans="1:2" x14ac:dyDescent="0.3">
      <c r="A309" t="s">
        <v>136</v>
      </c>
      <c r="B309">
        <f>INDEX('vehicles specifications'!$B$3:$CK$86,MATCH(B300,'vehicles specifications'!$A$3:$A$86,0),MATCH("Annual kilometers [km]",'vehicles specifications'!$B$2:$CK$2,0))</f>
        <v>4690</v>
      </c>
    </row>
    <row r="310" spans="1:2" x14ac:dyDescent="0.3">
      <c r="A310" t="s">
        <v>137</v>
      </c>
      <c r="B310" s="2">
        <f>INDEX('vehicles specifications'!$B$3:$CK$86,MATCH(B300,'vehicles specifications'!$A$3:$A$86,0),MATCH("Curb mass [kg]",'vehicles specifications'!$B$2:$CK$2,0))</f>
        <v>246.66999999999996</v>
      </c>
    </row>
    <row r="311" spans="1:2" x14ac:dyDescent="0.3">
      <c r="A311" t="s">
        <v>138</v>
      </c>
      <c r="B311">
        <f>INDEX('vehicles specifications'!$B$3:$CK$86,MATCH(B300,'vehicles specifications'!$A$3:$A$86,0),MATCH("Power [kW]",'vehicles specifications'!$B$2:$CK$2,0))</f>
        <v>49</v>
      </c>
    </row>
    <row r="312" spans="1:2" x14ac:dyDescent="0.3">
      <c r="A312" t="s">
        <v>139</v>
      </c>
      <c r="B312">
        <f>INDEX('vehicles specifications'!$B$3:$CK$86,MATCH(B300,'vehicles specifications'!$A$3:$A$86,0),MATCH("Energy battery mass [kg]",'vehicles specifications'!$B$2:$CK$2,0))</f>
        <v>106.8</v>
      </c>
    </row>
    <row r="313" spans="1:2" x14ac:dyDescent="0.3">
      <c r="A313" t="s">
        <v>140</v>
      </c>
      <c r="B313" s="21">
        <f>INDEX('vehicles specifications'!$B$3:$CK$86,MATCH(B300,'vehicles specifications'!$A$3:$A$86,0),MATCH("Electric energy stored [kWh]",'vehicles specifications'!$B$2:$CK$2,0))</f>
        <v>44.5</v>
      </c>
    </row>
    <row r="314" spans="1:2" s="21" customFormat="1" x14ac:dyDescent="0.3">
      <c r="A314" s="21" t="s">
        <v>654</v>
      </c>
      <c r="B314" s="21">
        <f>INDEX('vehicles specifications'!$B$3:$CK$86,MATCH(B300,'vehicles specifications'!$A$3:$A$86,0),MATCH("Electric energy available [kWh]",'vehicles specifications'!$B$2:$CK$2,0))</f>
        <v>35.6</v>
      </c>
    </row>
    <row r="315" spans="1:2" x14ac:dyDescent="0.3">
      <c r="A315" t="s">
        <v>143</v>
      </c>
      <c r="B315" s="2">
        <f>INDEX('vehicles specifications'!$B$3:$CK$86,MATCH(B300,'vehicles specifications'!$A$3:$A$86,0),MATCH("Oxydation energy stored [kWh]",'vehicles specifications'!$B$2:$CK$2,0))</f>
        <v>0</v>
      </c>
    </row>
    <row r="316" spans="1:2" x14ac:dyDescent="0.3">
      <c r="A316" t="s">
        <v>145</v>
      </c>
      <c r="B316">
        <f>INDEX('vehicles specifications'!$B$3:$CK$86,MATCH(B300,'vehicles specifications'!$A$3:$A$86,0),MATCH("Fuel mass [kg]",'vehicles specifications'!$B$2:$CK$2,0))</f>
        <v>0</v>
      </c>
    </row>
    <row r="317" spans="1:2" x14ac:dyDescent="0.3">
      <c r="A317" t="s">
        <v>141</v>
      </c>
      <c r="B317" s="2">
        <f>INDEX('vehicles specifications'!$B$3:$CK$86,MATCH(B300,'vehicles specifications'!$A$3:$A$86,0),MATCH("Range [km]",'vehicles specifications'!$B$2:$CK$2,0))</f>
        <v>466.49128421736663</v>
      </c>
    </row>
    <row r="318" spans="1:2" x14ac:dyDescent="0.3">
      <c r="A318" t="s">
        <v>142</v>
      </c>
      <c r="B318" t="str">
        <f>INDEX('vehicles specifications'!$B$3:$CK$86,MATCH(B300,'vehicles specifications'!$A$3:$A$86,0),MATCH("Emission standard",'vehicles specifications'!$B$2:$CK$2,0))</f>
        <v>None</v>
      </c>
    </row>
    <row r="319" spans="1:2" x14ac:dyDescent="0.3">
      <c r="A319" t="s">
        <v>144</v>
      </c>
      <c r="B319" s="6">
        <f>INDEX('vehicles specifications'!$B$3:$CK$86,MATCH(B300,'vehicles specifications'!$A$3:$A$86,0),MATCH("Lightweighting rate [%]",'vehicles specifications'!$B$2:$CK$2,0))</f>
        <v>7.0000000000000007E-2</v>
      </c>
    </row>
    <row r="320" spans="1:2" x14ac:dyDescent="0.3">
      <c r="A320"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"&amp;'lci-kick scooter'!B263</f>
        <v>Power: 49 kW. Lifetime: 62100 km. Annual kilometers: 4690 km. Number of passengers: 1.1. Curb mass: 246.7 kg. Lightweighting of glider: 7%. Emission standard: None. Service visits throughout lifetime: 1.2. Range: 466 km. Battery capacity: 44.5 kWh. Available battery capacity: 35.6 kWh. Battery mass: 106.8 kg. Battery replacement throughout lifetime: 0. Fuel tank capacity: 0 kWh. Fuel mass: 0 kg. Documentation: 2021 UVEK life-cycle inventories update of on-road vehicles, Sacchi R. (PSI), Bauer C. (PSI), 2021. 890</v>
      </c>
    </row>
    <row r="321" spans="1:8" ht="15.6" x14ac:dyDescent="0.3">
      <c r="A321" s="11" t="s">
        <v>80</v>
      </c>
    </row>
    <row r="322" spans="1:8" x14ac:dyDescent="0.3">
      <c r="A322" t="s">
        <v>81</v>
      </c>
      <c r="B322" t="s">
        <v>82</v>
      </c>
      <c r="C322" t="s">
        <v>73</v>
      </c>
      <c r="D322" t="s">
        <v>77</v>
      </c>
      <c r="E322" t="s">
        <v>83</v>
      </c>
      <c r="F322" t="s">
        <v>75</v>
      </c>
      <c r="G322" t="s">
        <v>84</v>
      </c>
      <c r="H322" t="s">
        <v>74</v>
      </c>
    </row>
    <row r="323" spans="1:8" x14ac:dyDescent="0.3">
      <c r="A323" s="12" t="str">
        <f>B295</f>
        <v>transport, Motorbike, electric, &gt;35kW, 2050</v>
      </c>
      <c r="B323" s="12">
        <v>1</v>
      </c>
      <c r="C323" s="12" t="str">
        <f>B296</f>
        <v>CH</v>
      </c>
      <c r="D323" s="12" t="s">
        <v>172</v>
      </c>
      <c r="E323" s="12"/>
      <c r="F323" s="12" t="s">
        <v>85</v>
      </c>
      <c r="G323" s="12" t="s">
        <v>86</v>
      </c>
      <c r="H323" s="12" t="str">
        <f>B301</f>
        <v>transport, Motorbike, electric, &gt;35kW</v>
      </c>
    </row>
    <row r="324" spans="1:8" x14ac:dyDescent="0.3">
      <c r="A324" s="12" t="str">
        <f>RIGHT(A323,LEN(A323)-11)</f>
        <v>Motorbike, electric, &gt;35kW, 2050</v>
      </c>
      <c r="B324" s="12">
        <f>1/B305</f>
        <v>1.6103059581320449E-5</v>
      </c>
      <c r="C324" s="12" t="str">
        <f>B296</f>
        <v>CH</v>
      </c>
      <c r="D324" s="12" t="s">
        <v>77</v>
      </c>
      <c r="E324" s="12"/>
      <c r="F324" s="12" t="s">
        <v>91</v>
      </c>
      <c r="G324" s="12"/>
      <c r="H324" s="12" t="str">
        <f>RIGHT(H323,LEN(H323)-11)</f>
        <v>Motorbike, electric, &gt;35kW</v>
      </c>
    </row>
    <row r="325" spans="1:8" x14ac:dyDescent="0.3">
      <c r="A325" s="12" t="str">
        <f>INDEX('ei names mapping'!$B$4:$R$33,MATCH(B297,'ei names mapping'!$A$4:$A$33,0),MATCH(G325,'ei names mapping'!$B$3:$R$3,0))</f>
        <v>road maintenance</v>
      </c>
      <c r="B325" s="16">
        <f>INDEX('vehicles specifications'!$B$3:$CK$86,MATCH(B300,'vehicles specifications'!$A$3:$A$86,0),MATCH(G325,'vehicles specifications'!$B$2:$CK$2,0))*INDEX('ei names mapping'!$B$137:$BK$220,MATCH(B300,'ei names mapping'!$A$137:$A$220,0),MATCH(G325,'ei names mapping'!$B$136:$BK$136,0))</f>
        <v>1.2899999999999999E-3</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t="s">
        <v>117</v>
      </c>
      <c r="H325" s="12" t="str">
        <f>INDEX('ei names mapping'!$B$71:$BK$100,MATCH(B297,'ei names mapping'!$A$4:$A$33,0),MATCH(G325,'ei names mapping'!$B$3:$BK$3,0))</f>
        <v>road maintenance</v>
      </c>
    </row>
    <row r="326" spans="1:8" x14ac:dyDescent="0.3">
      <c r="A326" s="12" t="str">
        <f>INDEX('ei names mapping'!$B$4:$R$33,MATCH(B297,'ei names mapping'!$A$4:$A$33,0),MATCH(G326,'ei names mapping'!$B$3:$R$3,0))</f>
        <v>market for electricity, low voltage</v>
      </c>
      <c r="B326" s="14">
        <f>INDEX('vehicles specifications'!$B$3:$CK$86,MATCH(B300,'vehicles specifications'!$A$3:$A$86,0),MATCH(G326,'vehicles specifications'!$B$2:$CK$2,0))*INDEX('ei names mapping'!$B$137:$BK$220,MATCH(B300,'ei names mapping'!$A$137:$A$220,0),MATCH(G326,'ei names mapping'!$B$136:$BK$136,0))</f>
        <v>8.3945834198593472E-2</v>
      </c>
      <c r="C326" s="12" t="str">
        <f>INDEX('ei names mapping'!$B$38:$R$67,MATCH($B$3,'ei names mapping'!$A$4:$A$33,0),MATCH(G326,'ei names mapping'!$B$3:$R$3,0))</f>
        <v>CH</v>
      </c>
      <c r="D326" s="12" t="str">
        <f>INDEX('ei names mapping'!$B$104:$R$133,MATCH($B$3,'ei names mapping'!$A$4:$A$33,0),MATCH(G326,'ei names mapping'!$B$3:$R$3,0))</f>
        <v>kilowatt hour</v>
      </c>
      <c r="E326" s="12"/>
      <c r="F326" s="12" t="s">
        <v>91</v>
      </c>
      <c r="G326" t="s">
        <v>28</v>
      </c>
      <c r="H326" s="12" t="str">
        <f>INDEX('ei names mapping'!$B$71:$R$100,MATCH(B297,'ei names mapping'!$A$4:$A$33,0),MATCH(G326,'ei names mapping'!$B$3:$R$3,0))</f>
        <v>electricity, low voltage</v>
      </c>
    </row>
    <row r="327" spans="1:8" x14ac:dyDescent="0.3">
      <c r="A327" s="12" t="str">
        <f>INDEX('ei names mapping'!$B$4:$R$33,MATCH(B297,'ei names mapping'!$A$4:$A$33,0),MATCH(G327,'ei names mapping'!$B$3:$R$3,0))</f>
        <v>market for maintenance, electric scooter, without battery</v>
      </c>
      <c r="B327" s="16">
        <f>INDEX('vehicles specifications'!$B$3:$CK$86,MATCH(B300,'vehicles specifications'!$A$3:$A$86,0),MATCH(G327,'vehicles specifications'!$B$2:$CK$2,0))*INDEX('ei names mapping'!$B$137:$BK$220,MATCH(B300,'ei names mapping'!$A$137:$A$220,0),MATCH(G327,'ei names mapping'!$B$136:$BK$136,0))</f>
        <v>1.9999999999999998E-5</v>
      </c>
      <c r="C327" s="12" t="str">
        <f>INDEX('ei names mapping'!$B$38:$BK$67,MATCH(B297,'ei names mapping'!$A$4:$A$33,0),MATCH(G327,'ei names mapping'!$B$3:$BK$3,0))</f>
        <v>GLO</v>
      </c>
      <c r="D327" s="12" t="str">
        <f>INDEX('ei names mapping'!$B$104:$BK$133,MATCH(B297,'ei names mapping'!$A$4:$A$33,0),MATCH(G327,'ei names mapping'!$B$3:$BK$3,0))</f>
        <v>unit</v>
      </c>
      <c r="F327" s="12" t="s">
        <v>91</v>
      </c>
      <c r="G327" s="12" t="s">
        <v>123</v>
      </c>
      <c r="H327" s="12" t="str">
        <f>INDEX('ei names mapping'!$B$71:$BK$100,MATCH(B297,'ei names mapping'!$A$4:$A$33,0),MATCH(G327,'ei names mapping'!$B$3:$BK$3,0))</f>
        <v>maintenance, electric scooter, without battery</v>
      </c>
    </row>
    <row r="328" spans="1:8" s="21" customFormat="1" x14ac:dyDescent="0.3">
      <c r="A328" s="12" t="str">
        <f>INDEX('ei names mapping'!$B$4:$R$33,MATCH(B297,'ei names mapping'!$A$4:$A$33,0),MATCH(G328,'ei names mapping'!$B$3:$R$3,0))</f>
        <v>road construction</v>
      </c>
      <c r="B328" s="16">
        <f>INDEX('vehicles specifications'!$B$3:$CK$86,MATCH(B300,'vehicles specifications'!$A$3:$A$86,0),MATCH(G328,'vehicles specifications'!$B$2:$CK$2,0))*INDEX('ei names mapping'!$B$137:$BK$220,MATCH(B300,'ei names mapping'!$A$137:$A$220,0),MATCH(G328,'ei names mapping'!$B$136:$BK$136,0))</f>
        <v>1.7703278999999997E-4</v>
      </c>
      <c r="C328" s="12" t="str">
        <f>INDEX('ei names mapping'!$B$38:$R$67,MATCH(B297,'ei names mapping'!$A$4:$A$33,0),MATCH(G328,'ei names mapping'!$B$3:$R$3,0))</f>
        <v>CH</v>
      </c>
      <c r="D328" s="12" t="str">
        <f>INDEX('ei names mapping'!$B$104:$R$133,MATCH(B297,'ei names mapping'!$A$104:$A$133,0),MATCH(G328,'ei names mapping'!$B$3:$R$3,0))</f>
        <v>meter-year</v>
      </c>
      <c r="E328" s="12"/>
      <c r="F328" s="12" t="s">
        <v>91</v>
      </c>
      <c r="G328" s="21" t="s">
        <v>108</v>
      </c>
      <c r="H328" s="12" t="str">
        <f>INDEX('ei names mapping'!$B$71:$R$100,MATCH(B297,'ei names mapping'!$A$4:$A$33,0),MATCH(G328,'ei names mapping'!$B$3:$R$3,0))</f>
        <v>road</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-7.3669999999999991E-6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-4.1749999999999998E-6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t="s">
        <v>31</v>
      </c>
      <c r="H331" s="12" t="str">
        <f>INDEX('ei names mapping'!$B$71:$BK$100,MATCH(B297,'ei names mapping'!$A$4:$A$33,0),MATCH(G331,'ei names mapping'!$B$3:$BK$3,0))</f>
        <v>brake wear emissions, passenger car</v>
      </c>
    </row>
    <row r="333" spans="1:8" x14ac:dyDescent="0.3">
      <c r="B333" s="2"/>
    </row>
    <row r="334" spans="1:8" ht="15.6" x14ac:dyDescent="0.3">
      <c r="A334" s="11" t="s">
        <v>72</v>
      </c>
      <c r="B334" s="9" t="str">
        <f>"transport, "&amp;B336&amp;", "&amp;B338&amp;", label-certified electricity"</f>
        <v>transport, Motorbike, electric, &gt;35kW, 2020, label-certified electricity</v>
      </c>
    </row>
    <row r="335" spans="1:8" x14ac:dyDescent="0.3">
      <c r="A335" t="s">
        <v>73</v>
      </c>
      <c r="B335" t="s">
        <v>37</v>
      </c>
    </row>
    <row r="336" spans="1:8" x14ac:dyDescent="0.3">
      <c r="A336" t="s">
        <v>87</v>
      </c>
      <c r="B336" t="s">
        <v>523</v>
      </c>
    </row>
    <row r="337" spans="1:2" x14ac:dyDescent="0.3">
      <c r="A337" t="s">
        <v>88</v>
      </c>
      <c r="B337" s="12"/>
    </row>
    <row r="338" spans="1:2" x14ac:dyDescent="0.3">
      <c r="A338" t="s">
        <v>89</v>
      </c>
      <c r="B338" s="12">
        <v>2020</v>
      </c>
    </row>
    <row r="339" spans="1:2" x14ac:dyDescent="0.3">
      <c r="A339" t="s">
        <v>131</v>
      </c>
      <c r="B339" s="12" t="str">
        <f>B336&amp;" - "&amp;B338&amp;" - "&amp;B335</f>
        <v>Motorbike, electric, &gt;35kW - 2020 - CH</v>
      </c>
    </row>
    <row r="340" spans="1:2" x14ac:dyDescent="0.3">
      <c r="A340" t="s">
        <v>74</v>
      </c>
      <c r="B340" s="12" t="str">
        <f>"transport, "&amp;B336</f>
        <v>transport, Motorbike, electric, &gt;35kW</v>
      </c>
    </row>
    <row r="341" spans="1:2" x14ac:dyDescent="0.3">
      <c r="A341" t="s">
        <v>75</v>
      </c>
      <c r="B341" t="s">
        <v>76</v>
      </c>
    </row>
    <row r="342" spans="1:2" x14ac:dyDescent="0.3">
      <c r="A342" t="s">
        <v>77</v>
      </c>
      <c r="B342" t="s">
        <v>172</v>
      </c>
    </row>
    <row r="343" spans="1:2" x14ac:dyDescent="0.3">
      <c r="A343" t="s">
        <v>79</v>
      </c>
      <c r="B343" t="s">
        <v>90</v>
      </c>
    </row>
    <row r="344" spans="1:2" x14ac:dyDescent="0.3">
      <c r="A344" t="s">
        <v>132</v>
      </c>
      <c r="B344">
        <f>INDEX('vehicles specifications'!$B$3:$CK$86,MATCH(B339,'vehicles specifications'!$A$3:$A$86,0),MATCH("Lifetime [km]",'vehicles specifications'!$B$2:$CK$2,0))</f>
        <v>62100</v>
      </c>
    </row>
    <row r="345" spans="1:2" x14ac:dyDescent="0.3">
      <c r="A345" t="s">
        <v>133</v>
      </c>
      <c r="B345">
        <f>INDEX('vehicles specifications'!$B$3:$CK$86,MATCH(B339,'vehicles specifications'!$A$3:$A$86,0),MATCH("Passengers [unit]",'vehicles specifications'!$B$2:$CK$2,0))</f>
        <v>1.1000000000000001</v>
      </c>
    </row>
    <row r="346" spans="1:2" x14ac:dyDescent="0.3">
      <c r="A346" t="s">
        <v>134</v>
      </c>
      <c r="B346">
        <f>INDEX('vehicles specifications'!$B$3:$CK$86,MATCH(B339,'vehicles specifications'!$A$3:$A$86,0),MATCH("Servicing [unit]",'vehicles specifications'!$B$2:$CK$2,0))</f>
        <v>1.242</v>
      </c>
    </row>
    <row r="347" spans="1:2" x14ac:dyDescent="0.3">
      <c r="A347" t="s">
        <v>135</v>
      </c>
      <c r="B347">
        <f>INDEX('vehicles specifications'!$B$3:$CK$86,MATCH(B339,'vehicles specifications'!$A$3:$A$86,0),MATCH("Energy battery replacement [unit]",'vehicles specifications'!$B$2:$CK$2,0))</f>
        <v>1</v>
      </c>
    </row>
    <row r="348" spans="1:2" x14ac:dyDescent="0.3">
      <c r="A348" t="s">
        <v>136</v>
      </c>
      <c r="B348">
        <f>INDEX('vehicles specifications'!$B$3:$CK$86,MATCH(B339,'vehicles specifications'!$A$3:$A$86,0),MATCH("Annual kilometers [km]",'vehicles specifications'!$B$2:$CK$2,0))</f>
        <v>4690</v>
      </c>
    </row>
    <row r="349" spans="1:2" x14ac:dyDescent="0.3">
      <c r="A349" t="s">
        <v>137</v>
      </c>
      <c r="B349" s="2">
        <f>INDEX('vehicles specifications'!$B$3:$CK$86,MATCH(B339,'vehicles specifications'!$A$3:$A$86,0),MATCH("Curb mass [kg]",'vehicles specifications'!$B$2:$CK$2,0))</f>
        <v>246.64</v>
      </c>
    </row>
    <row r="350" spans="1:2" x14ac:dyDescent="0.3">
      <c r="A350" t="s">
        <v>138</v>
      </c>
      <c r="B350">
        <f>INDEX('vehicles specifications'!$B$3:$CK$86,MATCH(B339,'vehicles specifications'!$A$3:$A$86,0),MATCH("Power [kW]",'vehicles specifications'!$B$2:$CK$2,0))</f>
        <v>49</v>
      </c>
    </row>
    <row r="351" spans="1:2" x14ac:dyDescent="0.3">
      <c r="A351" t="s">
        <v>139</v>
      </c>
      <c r="B351">
        <f>INDEX('vehicles specifications'!$B$3:$CK$86,MATCH(B339,'vehicles specifications'!$A$3:$A$86,0),MATCH("Energy battery mass [kg]",'vehicles specifications'!$B$2:$CK$2,0))</f>
        <v>99</v>
      </c>
    </row>
    <row r="352" spans="1:2" x14ac:dyDescent="0.3">
      <c r="A352" t="s">
        <v>140</v>
      </c>
      <c r="B352" s="21">
        <f>INDEX('vehicles specifications'!$B$3:$CK$86,MATCH(B339,'vehicles specifications'!$A$3:$A$86,0),MATCH("Electric energy stored [kWh]",'vehicles specifications'!$B$2:$CK$2,0))</f>
        <v>16.5</v>
      </c>
    </row>
    <row r="353" spans="1:8" s="21" customFormat="1" x14ac:dyDescent="0.3">
      <c r="A353" s="21" t="s">
        <v>654</v>
      </c>
      <c r="B353" s="21">
        <f>INDEX('vehicles specifications'!$B$3:$CK$86,MATCH(B339,'vehicles specifications'!$A$3:$A$86,0),MATCH("Electric energy available [kWh]",'vehicles specifications'!$B$2:$CK$2,0))</f>
        <v>13.200000000000001</v>
      </c>
    </row>
    <row r="354" spans="1:8" x14ac:dyDescent="0.3">
      <c r="A354" t="s">
        <v>143</v>
      </c>
      <c r="B354" s="2">
        <f>INDEX('vehicles specifications'!$B$3:$CK$86,MATCH(B339,'vehicles specifications'!$A$3:$A$86,0),MATCH("Oxydation energy stored [kWh]",'vehicles specifications'!$B$2:$CK$2,0))</f>
        <v>0</v>
      </c>
    </row>
    <row r="355" spans="1:8" x14ac:dyDescent="0.3">
      <c r="A355" t="s">
        <v>145</v>
      </c>
      <c r="B355">
        <f>INDEX('vehicles specifications'!$B$3:$CK$86,MATCH(B339,'vehicles specifications'!$A$3:$A$86,0),MATCH("Fuel mass [kg]",'vehicles specifications'!$B$2:$CK$2,0))</f>
        <v>0</v>
      </c>
    </row>
    <row r="356" spans="1:8" x14ac:dyDescent="0.3">
      <c r="A356" t="s">
        <v>141</v>
      </c>
      <c r="B356" s="2">
        <f>INDEX('vehicles specifications'!$B$3:$CK$86,MATCH(B339,'vehicles specifications'!$A$3:$A$86,0),MATCH("Range [km]",'vehicles specifications'!$B$2:$CK$2,0))</f>
        <v>172.96867841767528</v>
      </c>
    </row>
    <row r="357" spans="1:8" x14ac:dyDescent="0.3">
      <c r="A357" t="s">
        <v>142</v>
      </c>
      <c r="B357" t="str">
        <f>INDEX('vehicles specifications'!$B$3:$CK$86,MATCH(B339,'vehicles specifications'!$A$3:$A$86,0),MATCH("Emission standard",'vehicles specifications'!$B$2:$CK$2,0))</f>
        <v>None</v>
      </c>
    </row>
    <row r="358" spans="1:8" x14ac:dyDescent="0.3">
      <c r="A358" t="s">
        <v>144</v>
      </c>
      <c r="B358" s="6">
        <f>INDEX('vehicles specifications'!$B$3:$CK$86,MATCH(B339,'vehicles specifications'!$A$3:$A$86,0),MATCH("Lightweighting rate [%]",'vehicles specifications'!$B$2:$CK$2,0))</f>
        <v>0</v>
      </c>
    </row>
    <row r="359" spans="1:8" x14ac:dyDescent="0.3">
      <c r="A359" t="s">
        <v>84</v>
      </c>
      <c r="B359" s="21" t="str">
        <f>"Power: "&amp;B350&amp;" kW. Lifetime: "&amp;B344&amp;" km. Annual kilometers: "&amp;B348&amp;" km. Number of passengers: "&amp;B345&amp;". Curb mass: "&amp;ROUND(B349,1)&amp;" kg. Lightweighting of glider: "&amp;ROUND(B358*100,0)&amp;"%. Emission standard: "&amp;B357&amp;". Service visits throughout lifetime: "&amp;ROUND(B346,1)&amp;". Range: "&amp;ROUND(B356,0)&amp;" km. Battery capacity: "&amp;ROUND(B352,1)&amp;" kWh. Available battery capacity: "&amp;B353&amp;" kWh. Battery mass: "&amp;ROUND(B351,1)&amp; " kg. Battery replacement throughout lifetime: "&amp;ROUND(B347,1)&amp;". Fuel tank capacity: "&amp;ROUND(B354,1)&amp;" kWh. Fuel mass: "&amp;ROUND(B355,1)&amp;" kg. Documentation: "&amp;Readmefirst!$B$2&amp;", "&amp;Readmefirst!$B$3&amp;". "&amp;'lci-kick scooter'!B302</f>
        <v>Power: 49 kW. Lifetime: 62100 km. Annual kilometers: 4690 km. Number of passengers: 1.1. Curb mass: 246.6 kg. Lightweighting of glider: 0%. Emission standard: None. Service visits throughout lifetime: 1.2. Range: 173 km. Battery capacity: 16.5 kWh. Available battery capacity: 13.2 kWh. Battery mass: 99 kg. Battery replacement throughout lifetime: 1. Fuel tank capacity: 0 kWh. Fuel mass: 0 kg. Documentation: 2021 UVEK life-cycle inventories update of on-road vehicles, Sacchi R. (PSI), Bauer C. (PSI), 2021. 0.25</v>
      </c>
    </row>
    <row r="360" spans="1:8" ht="15.6" x14ac:dyDescent="0.3">
      <c r="A360" s="11" t="s">
        <v>80</v>
      </c>
    </row>
    <row r="361" spans="1:8" x14ac:dyDescent="0.3">
      <c r="A361" t="s">
        <v>81</v>
      </c>
      <c r="B361" t="s">
        <v>82</v>
      </c>
      <c r="C361" t="s">
        <v>73</v>
      </c>
      <c r="D361" t="s">
        <v>77</v>
      </c>
      <c r="E361" t="s">
        <v>83</v>
      </c>
      <c r="F361" t="s">
        <v>75</v>
      </c>
      <c r="G361" t="s">
        <v>84</v>
      </c>
      <c r="H361" t="s">
        <v>74</v>
      </c>
    </row>
    <row r="362" spans="1:8" x14ac:dyDescent="0.3">
      <c r="A362" s="12" t="str">
        <f>B334</f>
        <v>transport, Motorbike, electric, &gt;35kW, 2020, label-certified electricity</v>
      </c>
      <c r="B362" s="12">
        <v>1</v>
      </c>
      <c r="C362" s="12" t="str">
        <f>B335</f>
        <v>CH</v>
      </c>
      <c r="D362" s="12" t="s">
        <v>172</v>
      </c>
      <c r="E362" s="12"/>
      <c r="F362" s="12" t="s">
        <v>85</v>
      </c>
      <c r="G362" s="12" t="s">
        <v>86</v>
      </c>
      <c r="H362" s="12" t="str">
        <f>B340</f>
        <v>transport, Motorbike, electric, &gt;35kW</v>
      </c>
    </row>
    <row r="363" spans="1:8" x14ac:dyDescent="0.3">
      <c r="A363" s="12" t="str">
        <f>B336&amp;", "&amp;B338</f>
        <v>Motorbike, electric, &gt;35kW, 2020</v>
      </c>
      <c r="B363" s="15">
        <f>1/B344</f>
        <v>1.6103059581320449E-5</v>
      </c>
      <c r="C363" s="12" t="str">
        <f>B335</f>
        <v>CH</v>
      </c>
      <c r="D363" s="12" t="s">
        <v>77</v>
      </c>
      <c r="E363" s="12"/>
      <c r="F363" s="12" t="s">
        <v>91</v>
      </c>
      <c r="G363" s="12"/>
      <c r="H363" s="12" t="str">
        <f>RIGHT(H362,LEN(H362)-11)</f>
        <v>Motorbike, electric, &gt;35kW</v>
      </c>
    </row>
    <row r="364" spans="1:8" x14ac:dyDescent="0.3">
      <c r="A364" s="12" t="str">
        <f>INDEX('ei names mapping'!$B$4:$R$33,MATCH(B336,'ei names mapping'!$A$4:$A$33,0),MATCH(G364,'ei names mapping'!$B$3:$R$3,0))</f>
        <v>road maintenance</v>
      </c>
      <c r="B364" s="16">
        <f>INDEX('vehicles specifications'!$B$3:$CK$86,MATCH(B339,'vehicles specifications'!$A$3:$A$86,0),MATCH(G364,'vehicles specifications'!$B$2:$CK$2,0))*INDEX('ei names mapping'!$B$137:$BK$220,MATCH(B339,'ei names mapping'!$A$137:$A$220,0),MATCH(G364,'ei names mapping'!$B$136:$BK$136,0))</f>
        <v>1.2899999999999999E-3</v>
      </c>
      <c r="C364" s="12" t="str">
        <f>INDEX('ei names mapping'!$B$38:$R$67,MATCH(B336,'ei names mapping'!$A$4:$A$33,0),MATCH(G364,'ei names mapping'!$B$3:$R$3,0))</f>
        <v>CH</v>
      </c>
      <c r="D364" s="12" t="str">
        <f>INDEX('ei names mapping'!$B$104:$BK$133,MATCH(B336,'ei names mapping'!$A$4:$A$33,0),MATCH(G364,'ei names mapping'!$B$3:$BK$3,0))</f>
        <v>meter-year</v>
      </c>
      <c r="E364" s="12"/>
      <c r="F364" s="12" t="s">
        <v>91</v>
      </c>
      <c r="G364" t="s">
        <v>117</v>
      </c>
      <c r="H364" s="12" t="str">
        <f>INDEX('ei names mapping'!$B$71:$BK$100,MATCH(B336,'ei names mapping'!$A$4:$A$33,0),MATCH(G364,'ei names mapping'!$B$3:$BK$3,0))</f>
        <v>road maintenance</v>
      </c>
    </row>
    <row r="365" spans="1:8" x14ac:dyDescent="0.3">
      <c r="A365" s="12" t="s">
        <v>114</v>
      </c>
      <c r="B365" s="14">
        <f>INDEX('vehicles specifications'!$B$3:$CK$86,MATCH(B339,'vehicles specifications'!$A$3:$A$86,0),MATCH(G365,'vehicles specifications'!$B$2:$CK$2,0))*INDEX('ei names mapping'!$B$137:$BK$220,MATCH(B339,'ei names mapping'!$A$137:$A$220,0),MATCH(G365,'ei names mapping'!$B$136:$BK$136,0))</f>
        <v>8.3945834198593472E-2</v>
      </c>
      <c r="C365" s="12" t="str">
        <f>INDEX('ei names mapping'!$B$38:$R$67,MATCH($B$3,'ei names mapping'!$A$4:$A$33,0),MATCH(G365,'ei names mapping'!$B$3:$R$3,0))</f>
        <v>CH</v>
      </c>
      <c r="D365" s="12" t="str">
        <f>INDEX('ei names mapping'!$B$104:$R$133,MATCH($B$3,'ei names mapping'!$A$4:$A$33,0),MATCH(G365,'ei names mapping'!$B$3:$R$3,0))</f>
        <v>kilowatt hour</v>
      </c>
      <c r="E365" s="12"/>
      <c r="F365" s="12" t="s">
        <v>91</v>
      </c>
      <c r="G365" t="s">
        <v>28</v>
      </c>
      <c r="H365" s="12" t="s">
        <v>116</v>
      </c>
    </row>
    <row r="366" spans="1:8" x14ac:dyDescent="0.3">
      <c r="A366" s="12" t="str">
        <f>INDEX('ei names mapping'!$B$4:$R$33,MATCH(B336,'ei names mapping'!$A$4:$A$33,0),MATCH(G366,'ei names mapping'!$B$3:$R$3,0))</f>
        <v>market for maintenance, electric scooter, without battery</v>
      </c>
      <c r="B366" s="16">
        <f>INDEX('vehicles specifications'!$B$3:$CK$86,MATCH(B339,'vehicles specifications'!$A$3:$A$86,0),MATCH(G366,'vehicles specifications'!$B$2:$CK$2,0))*INDEX('ei names mapping'!$B$137:$BK$220,MATCH(B339,'ei names mapping'!$A$137:$A$220,0),MATCH(G366,'ei names mapping'!$B$136:$BK$136,0))</f>
        <v>1.9999999999999998E-5</v>
      </c>
      <c r="C366" s="12" t="str">
        <f>INDEX('ei names mapping'!$B$38:$BK$67,MATCH(B336,'ei names mapping'!$A$4:$A$33,0),MATCH(G366,'ei names mapping'!$B$3:$BK$3,0))</f>
        <v>GLO</v>
      </c>
      <c r="D366" s="12" t="str">
        <f>INDEX('ei names mapping'!$B$104:$BK$133,MATCH(B336,'ei names mapping'!$A$4:$A$33,0),MATCH(G366,'ei names mapping'!$B$3:$BK$3,0))</f>
        <v>unit</v>
      </c>
      <c r="F366" s="12" t="s">
        <v>91</v>
      </c>
      <c r="G366" s="12" t="s">
        <v>123</v>
      </c>
      <c r="H366" s="12" t="str">
        <f>INDEX('ei names mapping'!$B$71:$BK$100,MATCH(B336,'ei names mapping'!$A$4:$A$33,0),MATCH(G366,'ei names mapping'!$B$3:$BK$3,0))</f>
        <v>maintenance, electric scooter, without battery</v>
      </c>
    </row>
    <row r="367" spans="1:8" s="21" customFormat="1" x14ac:dyDescent="0.3">
      <c r="A367" s="12" t="str">
        <f>INDEX('ei names mapping'!$B$4:$R$33,MATCH(B336,'ei names mapping'!$A$4:$A$33,0),MATCH(G367,'ei names mapping'!$B$3:$R$3,0))</f>
        <v>road construction</v>
      </c>
      <c r="B367" s="16">
        <f>INDEX('vehicles specifications'!$B$3:$CK$86,MATCH(B339,'vehicles specifications'!$A$3:$A$86,0),MATCH(G367,'vehicles specifications'!$B$2:$CK$2,0))*INDEX('ei names mapping'!$B$137:$BK$220,MATCH(B339,'ei names mapping'!$A$137:$A$220,0),MATCH(G367,'ei names mapping'!$B$136:$BK$136,0))</f>
        <v>1.7701667999999999E-4</v>
      </c>
      <c r="C367" s="12" t="str">
        <f>INDEX('ei names mapping'!$B$38:$R$67,MATCH(B336,'ei names mapping'!$A$4:$A$33,0),MATCH(G367,'ei names mapping'!$B$3:$R$3,0))</f>
        <v>CH</v>
      </c>
      <c r="D367" s="12" t="str">
        <f>INDEX('ei names mapping'!$B$104:$R$133,MATCH(B336,'ei names mapping'!$A$104:$A$133,0),MATCH(G367,'ei names mapping'!$B$3:$R$3,0))</f>
        <v>meter-year</v>
      </c>
      <c r="E367" s="12"/>
      <c r="F367" s="12" t="s">
        <v>91</v>
      </c>
      <c r="G367" s="21" t="s">
        <v>108</v>
      </c>
      <c r="H367" s="12" t="str">
        <f>INDEX('ei names mapping'!$B$71:$R$100,MATCH(B336,'ei names mapping'!$A$4:$A$33,0),MATCH(G367,'ei names mapping'!$B$3:$R$3,0))</f>
        <v>road</v>
      </c>
    </row>
    <row r="368" spans="1:8" x14ac:dyDescent="0.3">
      <c r="A368" s="12" t="str">
        <f>INDEX('ei names mapping'!$B$4:$BK$33,MATCH(B336,'ei names mapping'!$A$4:$A$33,0),MATCH(G368,'ei names mapping'!$B$3:$BK$3,0))</f>
        <v>treatment of road wear emissions, passenger car</v>
      </c>
      <c r="B368" s="16">
        <f>INDEX('vehicles specifications'!$B$3:$CK$86,MATCH(B339,'vehicles specifications'!$A$3:$A$86,0),MATCH(G368,'vehicles specifications'!$B$2:$CK$2,0))*INDEX('ei names mapping'!$B$137:$BK$220,MATCH(B339,'ei names mapping'!$A$137:$A$220,0),MATCH(G368,'ei names mapping'!$B$136:$BK$136,0))</f>
        <v>-6.0000000000000002E-6</v>
      </c>
      <c r="C368" s="12" t="str">
        <f>INDEX('ei names mapping'!$B$38:$BK$67,MATCH(B336,'ei names mapping'!$A$4:$A$33,0),MATCH(G368,'ei names mapping'!$B$3:$BK$3,0))</f>
        <v>RER</v>
      </c>
      <c r="D368" s="12" t="str">
        <f>INDEX('ei names mapping'!$B$104:$BK$133,MATCH(B336,'ei names mapping'!$A$4:$A$33,0),MATCH(G368,'ei names mapping'!$B$3:$BK$3,0))</f>
        <v>kilogram</v>
      </c>
      <c r="E368" s="12"/>
      <c r="F368" s="12" t="s">
        <v>91</v>
      </c>
      <c r="G368" t="s">
        <v>29</v>
      </c>
      <c r="H368" s="12" t="str">
        <f>INDEX('ei names mapping'!$B$71:$BK$100,MATCH(B336,'ei names mapping'!$A$4:$A$33,0),MATCH(G368,'ei names mapping'!$B$3:$BK$3,0))</f>
        <v>road wear emissions, passenger car</v>
      </c>
    </row>
    <row r="369" spans="1:8" x14ac:dyDescent="0.3">
      <c r="A369" s="12" t="str">
        <f>INDEX('ei names mapping'!$B$4:$BK$33,MATCH(B336,'ei names mapping'!$A$4:$A$33,0),MATCH(G369,'ei names mapping'!$B$3:$BK$3,0))</f>
        <v>treatment of tyre wear emissions, passenger car</v>
      </c>
      <c r="B369" s="16">
        <f>INDEX('vehicles specifications'!$B$3:$CK$86,MATCH(B339,'vehicles specifications'!$A$3:$A$86,0),MATCH(G369,'vehicles specifications'!$B$2:$CK$2,0))*INDEX('ei names mapping'!$B$137:$BK$220,MATCH(B339,'ei names mapping'!$A$137:$A$220,0),MATCH(G369,'ei names mapping'!$B$136:$BK$136,0))</f>
        <v>-7.3669999999999991E-6</v>
      </c>
      <c r="C369" s="12" t="str">
        <f>INDEX('ei names mapping'!$B$38:$BK$67,MATCH(B336,'ei names mapping'!$A$4:$A$33,0),MATCH(G369,'ei names mapping'!$B$3:$BK$3,0))</f>
        <v>RER</v>
      </c>
      <c r="D369" s="12" t="str">
        <f>INDEX('ei names mapping'!$B$104:$BK$133,MATCH(B336,'ei names mapping'!$A$4:$A$33,0),MATCH(G369,'ei names mapping'!$B$3:$BK$3,0))</f>
        <v>kilogram</v>
      </c>
      <c r="E369" s="12"/>
      <c r="F369" s="12" t="s">
        <v>91</v>
      </c>
      <c r="G369" t="s">
        <v>30</v>
      </c>
      <c r="H369" s="12" t="str">
        <f>INDEX('ei names mapping'!$B$71:$BK$100,MATCH(B336,'ei names mapping'!$A$4:$A$33,0),MATCH(G369,'ei names mapping'!$B$3:$BK$3,0))</f>
        <v>tyre wear emissions, passenger car</v>
      </c>
    </row>
    <row r="370" spans="1:8" x14ac:dyDescent="0.3">
      <c r="A370" s="12" t="str">
        <f>INDEX('ei names mapping'!$B$4:$BK$33,MATCH(B336,'ei names mapping'!$A$4:$A$33,0),MATCH(G370,'ei names mapping'!$B$3:$BK$3,0))</f>
        <v>treatment of brake wear emissions, passenger car</v>
      </c>
      <c r="B370" s="16">
        <f>INDEX('vehicles specifications'!$B$3:$CK$86,MATCH(B339,'vehicles specifications'!$A$3:$A$86,0),MATCH(G370,'vehicles specifications'!$B$2:$CK$2,0))*INDEX('ei names mapping'!$B$137:$BK$220,MATCH(B339,'ei names mapping'!$A$137:$A$220,0),MATCH(G370,'ei names mapping'!$B$136:$BK$136,0))</f>
        <v>-4.1749999999999998E-6</v>
      </c>
      <c r="C370" s="12" t="str">
        <f>INDEX('ei names mapping'!$B$38:$BK$67,MATCH(B336,'ei names mapping'!$A$4:$A$33,0),MATCH(G370,'ei names mapping'!$B$3:$BK$3,0))</f>
        <v>RER</v>
      </c>
      <c r="D370" s="12" t="str">
        <f>INDEX('ei names mapping'!$B$104:$BK$133,MATCH(B336,'ei names mapping'!$A$4:$A$33,0),MATCH(G370,'ei names mapping'!$B$3:$BK$3,0))</f>
        <v>kilogram</v>
      </c>
      <c r="E370" s="12"/>
      <c r="F370" s="12" t="s">
        <v>91</v>
      </c>
      <c r="G370" t="s">
        <v>31</v>
      </c>
      <c r="H370" s="12" t="str">
        <f>INDEX('ei names mapping'!$B$71:$BK$100,MATCH(B336,'ei names mapping'!$A$4:$A$33,0),MATCH(G370,'ei names mapping'!$B$3:$BK$3,0))</f>
        <v>brake wear emissions, passenger car</v>
      </c>
    </row>
    <row r="371" spans="1:8" x14ac:dyDescent="0.3">
      <c r="B371" s="6"/>
    </row>
    <row r="372" spans="1:8" ht="15.6" x14ac:dyDescent="0.3">
      <c r="A372" s="11" t="s">
        <v>72</v>
      </c>
      <c r="B372" s="9" t="str">
        <f>"transport, "&amp;B374&amp;", "&amp;B376&amp;", label-certified electricity"</f>
        <v>transport, Motorbike, electric, &gt;35kW, 2030, label-certified electricity</v>
      </c>
    </row>
    <row r="373" spans="1:8" x14ac:dyDescent="0.3">
      <c r="A373" t="s">
        <v>73</v>
      </c>
      <c r="B373" t="s">
        <v>37</v>
      </c>
    </row>
    <row r="374" spans="1:8" x14ac:dyDescent="0.3">
      <c r="A374" t="s">
        <v>87</v>
      </c>
      <c r="B374" t="s">
        <v>523</v>
      </c>
    </row>
    <row r="375" spans="1:8" x14ac:dyDescent="0.3">
      <c r="A375" t="s">
        <v>88</v>
      </c>
      <c r="B375" s="12"/>
    </row>
    <row r="376" spans="1:8" x14ac:dyDescent="0.3">
      <c r="A376" t="s">
        <v>89</v>
      </c>
      <c r="B376" s="12">
        <v>2030</v>
      </c>
    </row>
    <row r="377" spans="1:8" x14ac:dyDescent="0.3">
      <c r="A377" t="s">
        <v>131</v>
      </c>
      <c r="B377" s="12" t="str">
        <f>B374&amp;" - "&amp;B376&amp;" - "&amp;B373</f>
        <v>Motorbike, electric, &gt;35kW - 2030 - CH</v>
      </c>
    </row>
    <row r="378" spans="1:8" x14ac:dyDescent="0.3">
      <c r="A378" t="s">
        <v>74</v>
      </c>
      <c r="B378" s="12" t="str">
        <f>"transport, "&amp;B374</f>
        <v>transport, Motorbike, electric, &gt;35kW</v>
      </c>
    </row>
    <row r="379" spans="1:8" x14ac:dyDescent="0.3">
      <c r="A379" t="s">
        <v>75</v>
      </c>
      <c r="B379" t="s">
        <v>76</v>
      </c>
    </row>
    <row r="380" spans="1:8" x14ac:dyDescent="0.3">
      <c r="A380" t="s">
        <v>77</v>
      </c>
      <c r="B380" t="s">
        <v>172</v>
      </c>
    </row>
    <row r="381" spans="1:8" x14ac:dyDescent="0.3">
      <c r="A381" t="s">
        <v>79</v>
      </c>
      <c r="B381" t="s">
        <v>90</v>
      </c>
    </row>
    <row r="382" spans="1:8" x14ac:dyDescent="0.3">
      <c r="A382" t="s">
        <v>132</v>
      </c>
      <c r="B382">
        <f>INDEX('vehicles specifications'!$B$3:$CK$86,MATCH(B377,'vehicles specifications'!$A$3:$A$86,0),MATCH("Lifetime [km]",'vehicles specifications'!$B$2:$CK$2,0))</f>
        <v>62100</v>
      </c>
    </row>
    <row r="383" spans="1:8" x14ac:dyDescent="0.3">
      <c r="A383" t="s">
        <v>133</v>
      </c>
      <c r="B383">
        <f>INDEX('vehicles specifications'!$B$3:$CK$86,MATCH(B377,'vehicles specifications'!$A$3:$A$86,0),MATCH("Passengers [unit]",'vehicles specifications'!$B$2:$CK$2,0))</f>
        <v>1.1000000000000001</v>
      </c>
    </row>
    <row r="384" spans="1:8" x14ac:dyDescent="0.3">
      <c r="A384" t="s">
        <v>134</v>
      </c>
      <c r="B384">
        <f>INDEX('vehicles specifications'!$B$3:$CK$86,MATCH(B377,'vehicles specifications'!$A$3:$A$86,0),MATCH("Servicing [unit]",'vehicles specifications'!$B$2:$CK$2,0))</f>
        <v>1.242</v>
      </c>
    </row>
    <row r="385" spans="1:8" x14ac:dyDescent="0.3">
      <c r="A385" t="s">
        <v>135</v>
      </c>
      <c r="B385">
        <f>INDEX('vehicles specifications'!$B$3:$CK$86,MATCH(B377,'vehicles specifications'!$A$3:$A$86,0),MATCH("Energy battery replacement [unit]",'vehicles specifications'!$B$2:$CK$2,0))</f>
        <v>0.5</v>
      </c>
    </row>
    <row r="386" spans="1:8" x14ac:dyDescent="0.3">
      <c r="A386" t="s">
        <v>136</v>
      </c>
      <c r="B386">
        <f>INDEX('vehicles specifications'!$B$3:$CK$86,MATCH(B377,'vehicles specifications'!$A$3:$A$86,0),MATCH("Annual kilometers [km]",'vehicles specifications'!$B$2:$CK$2,0))</f>
        <v>4690</v>
      </c>
    </row>
    <row r="387" spans="1:8" x14ac:dyDescent="0.3">
      <c r="A387" t="s">
        <v>137</v>
      </c>
      <c r="B387" s="2">
        <f>INDEX('vehicles specifications'!$B$3:$CK$86,MATCH(B377,'vehicles specifications'!$A$3:$A$86,0),MATCH("Curb mass [kg]",'vehicles specifications'!$B$2:$CK$2,0))</f>
        <v>246.71</v>
      </c>
    </row>
    <row r="388" spans="1:8" x14ac:dyDescent="0.3">
      <c r="A388" t="s">
        <v>138</v>
      </c>
      <c r="B388">
        <f>INDEX('vehicles specifications'!$B$3:$CK$86,MATCH(B377,'vehicles specifications'!$A$3:$A$86,0),MATCH("Power [kW]",'vehicles specifications'!$B$2:$CK$2,0))</f>
        <v>49</v>
      </c>
    </row>
    <row r="389" spans="1:8" x14ac:dyDescent="0.3">
      <c r="A389" t="s">
        <v>139</v>
      </c>
      <c r="B389">
        <f>INDEX('vehicles specifications'!$B$3:$CK$86,MATCH(B377,'vehicles specifications'!$A$3:$A$86,0),MATCH("Energy battery mass [kg]",'vehicles specifications'!$B$2:$CK$2,0))</f>
        <v>102.4</v>
      </c>
    </row>
    <row r="390" spans="1:8" x14ac:dyDescent="0.3">
      <c r="A390" t="s">
        <v>140</v>
      </c>
      <c r="B390" s="21">
        <f>INDEX('vehicles specifications'!$B$3:$CK$86,MATCH(B377,'vehicles specifications'!$A$3:$A$86,0),MATCH("Electric energy stored [kWh]",'vehicles specifications'!$B$2:$CK$2,0))</f>
        <v>25.6</v>
      </c>
    </row>
    <row r="391" spans="1:8" s="21" customFormat="1" x14ac:dyDescent="0.3">
      <c r="A391" s="21" t="s">
        <v>654</v>
      </c>
      <c r="B391" s="21">
        <f>INDEX('vehicles specifications'!$B$3:$CK$86,MATCH(B377,'vehicles specifications'!$A$3:$A$86,0),MATCH("Electric energy available [kWh]",'vehicles specifications'!$B$2:$CK$2,0))</f>
        <v>20.480000000000004</v>
      </c>
    </row>
    <row r="392" spans="1:8" x14ac:dyDescent="0.3">
      <c r="A392" t="s">
        <v>143</v>
      </c>
      <c r="B392" s="2">
        <f>INDEX('vehicles specifications'!$B$3:$CK$86,MATCH(B377,'vehicles specifications'!$A$3:$A$86,0),MATCH("Oxydation energy stored [kWh]",'vehicles specifications'!$B$2:$CK$2,0))</f>
        <v>0</v>
      </c>
    </row>
    <row r="393" spans="1:8" x14ac:dyDescent="0.3">
      <c r="A393" t="s">
        <v>145</v>
      </c>
      <c r="B393">
        <f>INDEX('vehicles specifications'!$B$3:$CK$86,MATCH(B377,'vehicles specifications'!$A$3:$A$86,0),MATCH("Fuel mass [kg]",'vehicles specifications'!$B$2:$CK$2,0))</f>
        <v>0</v>
      </c>
    </row>
    <row r="394" spans="1:8" x14ac:dyDescent="0.3">
      <c r="A394" t="s">
        <v>141</v>
      </c>
      <c r="B394" s="2">
        <f>INDEX('vehicles specifications'!$B$3:$CK$86,MATCH(B377,'vehicles specifications'!$A$3:$A$86,0),MATCH("Range [km]",'vehicles specifications'!$B$2:$CK$2,0))</f>
        <v>268.363525302575</v>
      </c>
    </row>
    <row r="395" spans="1:8" x14ac:dyDescent="0.3">
      <c r="A395" t="s">
        <v>142</v>
      </c>
      <c r="B395" t="str">
        <f>INDEX('vehicles specifications'!$B$3:$CK$86,MATCH(B377,'vehicles specifications'!$A$3:$A$86,0),MATCH("Emission standard",'vehicles specifications'!$B$2:$CK$2,0))</f>
        <v>None</v>
      </c>
    </row>
    <row r="396" spans="1:8" x14ac:dyDescent="0.3">
      <c r="A396" t="s">
        <v>144</v>
      </c>
      <c r="B396" s="6">
        <f>INDEX('vehicles specifications'!$B$3:$CK$86,MATCH(B377,'vehicles specifications'!$A$3:$A$86,0),MATCH("Lightweighting rate [%]",'vehicles specifications'!$B$2:$CK$2,0))</f>
        <v>0.03</v>
      </c>
    </row>
    <row r="397" spans="1:8" x14ac:dyDescent="0.3">
      <c r="A397" t="s">
        <v>84</v>
      </c>
      <c r="B397" s="21" t="str">
        <f>"Power: "&amp;B388&amp;" kW. Lifetime: "&amp;B382&amp;" km. Annual kilometers: "&amp;B386&amp;" km. Number of passengers: "&amp;B383&amp;". Curb mass: "&amp;ROUND(B387,1)&amp;" kg. Lightweighting of glider: "&amp;ROUND(B396*100,0)&amp;"%. Emission standard: "&amp;B395&amp;". Service visits throughout lifetime: "&amp;ROUND(B384,1)&amp;". Range: "&amp;ROUND(B394,0)&amp;" km. Battery capacity: "&amp;ROUND(B390,1)&amp;" kWh. Available battery capacity: "&amp;B391&amp;" kWh. Battery mass: "&amp;ROUND(B389,1)&amp; " kg. Battery replacement throughout lifetime: "&amp;ROUND(B385,1)&amp;". Fuel tank capacity: "&amp;ROUND(B392,1)&amp;" kWh. Fuel mass: "&amp;ROUND(B393,1)&amp;" kg. Documentation: "&amp;Readmefirst!$B$2&amp;", "&amp;Readmefirst!$B$3&amp;". "&amp;'lci-kick scooter'!B340</f>
        <v xml:space="preserve">Power: 49 kW. Lifetime: 62100 km. Annual kilometers: 4690 km. Number of passengers: 1.1. Curb mass: 246.7 kg. Lightweighting of glider: 3%. Emission standard: None. Service visits throughout lifetime: 1.2. Range: 268 km. Battery capacity: 25.6 kWh. Available battery capacity: 20.48 kWh. Battery mass: 102.4 kg. Battery replacement throughout lifetime: 0.5. Fuel tank capacity: 0 kWh. Fuel mass: 0 kg. Documentation: 2021 UVEK life-cycle inventories update of on-road vehicles, Sacchi R. (PSI), Bauer C. (PSI), 2021. </v>
      </c>
    </row>
    <row r="398" spans="1:8" ht="15.6" x14ac:dyDescent="0.3">
      <c r="A398" s="11" t="s">
        <v>80</v>
      </c>
    </row>
    <row r="399" spans="1:8" x14ac:dyDescent="0.3">
      <c r="A399" t="s">
        <v>81</v>
      </c>
      <c r="B399" t="s">
        <v>82</v>
      </c>
      <c r="C399" t="s">
        <v>73</v>
      </c>
      <c r="D399" t="s">
        <v>77</v>
      </c>
      <c r="E399" t="s">
        <v>83</v>
      </c>
      <c r="F399" t="s">
        <v>75</v>
      </c>
      <c r="G399" t="s">
        <v>84</v>
      </c>
      <c r="H399" t="s">
        <v>74</v>
      </c>
    </row>
    <row r="400" spans="1:8" x14ac:dyDescent="0.3">
      <c r="A400" s="12" t="str">
        <f>B372</f>
        <v>transport, Motorbike, electric, &gt;35kW, 2030, label-certified electricity</v>
      </c>
      <c r="B400" s="12">
        <v>1</v>
      </c>
      <c r="C400" s="12" t="str">
        <f>B373</f>
        <v>CH</v>
      </c>
      <c r="D400" s="12" t="s">
        <v>172</v>
      </c>
      <c r="E400" s="12"/>
      <c r="F400" s="12" t="s">
        <v>85</v>
      </c>
      <c r="G400" s="12" t="s">
        <v>86</v>
      </c>
      <c r="H400" s="12" t="str">
        <f>B378</f>
        <v>transport, Motorbike, electric, &gt;35kW</v>
      </c>
    </row>
    <row r="401" spans="1:8" x14ac:dyDescent="0.3">
      <c r="A401" s="12" t="str">
        <f>B374&amp;", "&amp;B376</f>
        <v>Motorbike, electric, &gt;35kW, 2030</v>
      </c>
      <c r="B401" s="12">
        <f>1/B382</f>
        <v>1.6103059581320449E-5</v>
      </c>
      <c r="C401" s="12" t="str">
        <f>B373</f>
        <v>CH</v>
      </c>
      <c r="D401" s="12" t="s">
        <v>77</v>
      </c>
      <c r="E401" s="12"/>
      <c r="F401" s="12" t="s">
        <v>91</v>
      </c>
      <c r="G401" s="12"/>
      <c r="H401" s="12" t="str">
        <f>RIGHT(H400,LEN(H400)-11)</f>
        <v>Motorbike, electric, &gt;35kW</v>
      </c>
    </row>
    <row r="402" spans="1:8" x14ac:dyDescent="0.3">
      <c r="A402" s="12" t="str">
        <f>INDEX('ei names mapping'!$B$4:$R$33,MATCH(B374,'ei names mapping'!$A$4:$A$33,0),MATCH(G402,'ei names mapping'!$B$3:$R$3,0))</f>
        <v>road maintenance</v>
      </c>
      <c r="B402" s="16">
        <f>INDEX('vehicles specifications'!$B$3:$CK$86,MATCH(B377,'vehicles specifications'!$A$3:$A$86,0),MATCH(G402,'vehicles specifications'!$B$2:$CK$2,0))*INDEX('ei names mapping'!$B$137:$BK$220,MATCH(B377,'ei names mapping'!$A$137:$A$220,0),MATCH(G402,'ei names mapping'!$B$136:$BK$136,0))</f>
        <v>1.2899999999999999E-3</v>
      </c>
      <c r="C402" s="12" t="str">
        <f>INDEX('ei names mapping'!$B$38:$R$67,MATCH(B374,'ei names mapping'!$A$4:$A$33,0),MATCH(G402,'ei names mapping'!$B$3:$R$3,0))</f>
        <v>CH</v>
      </c>
      <c r="D402" s="12" t="str">
        <f>INDEX('ei names mapping'!$B$104:$BK$133,MATCH(B374,'ei names mapping'!$A$4:$A$33,0),MATCH(G402,'ei names mapping'!$B$3:$BK$3,0))</f>
        <v>meter-year</v>
      </c>
      <c r="E402" s="12"/>
      <c r="F402" s="12" t="s">
        <v>91</v>
      </c>
      <c r="G402" t="s">
        <v>117</v>
      </c>
      <c r="H402" s="12" t="str">
        <f>INDEX('ei names mapping'!$B$71:$BK$100,MATCH(B374,'ei names mapping'!$A$4:$A$33,0),MATCH(G402,'ei names mapping'!$B$3:$BK$3,0))</f>
        <v>road maintenance</v>
      </c>
    </row>
    <row r="403" spans="1:8" x14ac:dyDescent="0.3">
      <c r="A403" s="12" t="s">
        <v>114</v>
      </c>
      <c r="B403" s="14">
        <f>INDEX('vehicles specifications'!$B$3:$CK$86,MATCH(B377,'vehicles specifications'!$A$3:$A$86,0),MATCH(G403,'vehicles specifications'!$B$2:$CK$2,0))*INDEX('ei names mapping'!$B$137:$BK$220,MATCH(B377,'ei names mapping'!$A$137:$A$220,0),MATCH(G403,'ei names mapping'!$B$136:$BK$136,0))</f>
        <v>8.3945834198593472E-2</v>
      </c>
      <c r="C403" s="12" t="str">
        <f>INDEX('ei names mapping'!$B$38:$R$67,MATCH($B$3,'ei names mapping'!$A$4:$A$33,0),MATCH(G403,'ei names mapping'!$B$3:$R$3,0))</f>
        <v>CH</v>
      </c>
      <c r="D403" s="12" t="str">
        <f>INDEX('ei names mapping'!$B$104:$R$133,MATCH($B$3,'ei names mapping'!$A$4:$A$33,0),MATCH(G403,'ei names mapping'!$B$3:$R$3,0))</f>
        <v>kilowatt hour</v>
      </c>
      <c r="E403" s="12"/>
      <c r="F403" s="12" t="s">
        <v>91</v>
      </c>
      <c r="G403" t="s">
        <v>28</v>
      </c>
      <c r="H403" s="12" t="s">
        <v>116</v>
      </c>
    </row>
    <row r="404" spans="1:8" x14ac:dyDescent="0.3">
      <c r="A404" s="12" t="str">
        <f>INDEX('ei names mapping'!$B$4:$R$33,MATCH(B374,'ei names mapping'!$A$4:$A$33,0),MATCH(G404,'ei names mapping'!$B$3:$R$3,0))</f>
        <v>market for maintenance, electric scooter, without battery</v>
      </c>
      <c r="B404" s="16">
        <f>INDEX('vehicles specifications'!$B$3:$CK$86,MATCH(B377,'vehicles specifications'!$A$3:$A$86,0),MATCH(G404,'vehicles specifications'!$B$2:$CK$2,0))*INDEX('ei names mapping'!$B$137:$BK$220,MATCH(B377,'ei names mapping'!$A$137:$A$220,0),MATCH(G404,'ei names mapping'!$B$136:$BK$136,0))</f>
        <v>1.9999999999999998E-5</v>
      </c>
      <c r="C404" s="12" t="str">
        <f>INDEX('ei names mapping'!$B$38:$BK$67,MATCH(B374,'ei names mapping'!$A$4:$A$33,0),MATCH(G404,'ei names mapping'!$B$3:$BK$3,0))</f>
        <v>GLO</v>
      </c>
      <c r="D404" s="12" t="str">
        <f>INDEX('ei names mapping'!$B$104:$BK$133,MATCH(B374,'ei names mapping'!$A$4:$A$33,0),MATCH(G404,'ei names mapping'!$B$3:$BK$3,0))</f>
        <v>unit</v>
      </c>
      <c r="F404" s="12" t="s">
        <v>91</v>
      </c>
      <c r="G404" s="12" t="s">
        <v>123</v>
      </c>
      <c r="H404" s="12" t="str">
        <f>INDEX('ei names mapping'!$B$71:$BK$100,MATCH(B374,'ei names mapping'!$A$4:$A$33,0),MATCH(G404,'ei names mapping'!$B$3:$BK$3,0))</f>
        <v>maintenance, electric scooter, without battery</v>
      </c>
    </row>
    <row r="405" spans="1:8" s="21" customFormat="1" x14ac:dyDescent="0.3">
      <c r="A405" s="12" t="str">
        <f>INDEX('ei names mapping'!$B$4:$R$33,MATCH(B374,'ei names mapping'!$A$4:$A$33,0),MATCH(G405,'ei names mapping'!$B$3:$R$3,0))</f>
        <v>road construction</v>
      </c>
      <c r="B405" s="16">
        <f>INDEX('vehicles specifications'!$B$3:$CK$86,MATCH(B377,'vehicles specifications'!$A$3:$A$86,0),MATCH(G405,'vehicles specifications'!$B$2:$CK$2,0))*INDEX('ei names mapping'!$B$137:$BK$220,MATCH(B377,'ei names mapping'!$A$137:$A$220,0),MATCH(G405,'ei names mapping'!$B$136:$BK$136,0))</f>
        <v>1.7705427000000001E-4</v>
      </c>
      <c r="C405" s="12" t="str">
        <f>INDEX('ei names mapping'!$B$38:$R$67,MATCH(B374,'ei names mapping'!$A$4:$A$33,0),MATCH(G405,'ei names mapping'!$B$3:$R$3,0))</f>
        <v>CH</v>
      </c>
      <c r="D405" s="12" t="str">
        <f>INDEX('ei names mapping'!$B$104:$R$133,MATCH(B374,'ei names mapping'!$A$104:$A$133,0),MATCH(G405,'ei names mapping'!$B$3:$R$3,0))</f>
        <v>meter-year</v>
      </c>
      <c r="E405" s="12"/>
      <c r="F405" s="12" t="s">
        <v>91</v>
      </c>
      <c r="G405" s="21" t="s">
        <v>108</v>
      </c>
      <c r="H405" s="12" t="str">
        <f>INDEX('ei names mapping'!$B$71:$R$100,MATCH(B374,'ei names mapping'!$A$4:$A$33,0),MATCH(G405,'ei names mapping'!$B$3:$R$3,0))</f>
        <v>road</v>
      </c>
    </row>
    <row r="406" spans="1:8" x14ac:dyDescent="0.3">
      <c r="A406" s="12" t="str">
        <f>INDEX('ei names mapping'!$B$4:$BK$33,MATCH(B374,'ei names mapping'!$A$4:$A$33,0),MATCH(G406,'ei names mapping'!$B$3:$BK$3,0))</f>
        <v>treatment of road wear emissions, passenger car</v>
      </c>
      <c r="B406" s="16">
        <f>INDEX('vehicles specifications'!$B$3:$CK$86,MATCH(B377,'vehicles specifications'!$A$3:$A$86,0),MATCH(G406,'vehicles specifications'!$B$2:$CK$2,0))*INDEX('ei names mapping'!$B$137:$BK$220,MATCH(B377,'ei names mapping'!$A$137:$A$220,0),MATCH(G406,'ei names mapping'!$B$136:$BK$136,0))</f>
        <v>-6.0000000000000002E-6</v>
      </c>
      <c r="C406" s="12" t="str">
        <f>INDEX('ei names mapping'!$B$38:$BK$67,MATCH(B374,'ei names mapping'!$A$4:$A$33,0),MATCH(G406,'ei names mapping'!$B$3:$BK$3,0))</f>
        <v>RER</v>
      </c>
      <c r="D406" s="12" t="str">
        <f>INDEX('ei names mapping'!$B$104:$BK$133,MATCH(B374,'ei names mapping'!$A$4:$A$33,0),MATCH(G406,'ei names mapping'!$B$3:$BK$3,0))</f>
        <v>kilogram</v>
      </c>
      <c r="E406" s="12"/>
      <c r="F406" s="12" t="s">
        <v>91</v>
      </c>
      <c r="G406" t="s">
        <v>29</v>
      </c>
      <c r="H406" s="12" t="str">
        <f>INDEX('ei names mapping'!$B$71:$BK$100,MATCH(B374,'ei names mapping'!$A$4:$A$33,0),MATCH(G406,'ei names mapping'!$B$3:$BK$3,0))</f>
        <v>road wear emissions, passenger car</v>
      </c>
    </row>
    <row r="407" spans="1:8" x14ac:dyDescent="0.3">
      <c r="A407" s="12" t="str">
        <f>INDEX('ei names mapping'!$B$4:$BK$33,MATCH(B374,'ei names mapping'!$A$4:$A$33,0),MATCH(G407,'ei names mapping'!$B$3:$BK$3,0))</f>
        <v>treatment of tyre wear emissions, passenger car</v>
      </c>
      <c r="B407" s="16">
        <f>INDEX('vehicles specifications'!$B$3:$CK$86,MATCH(B377,'vehicles specifications'!$A$3:$A$86,0),MATCH(G407,'vehicles specifications'!$B$2:$CK$2,0))*INDEX('ei names mapping'!$B$137:$BK$220,MATCH(B377,'ei names mapping'!$A$137:$A$220,0),MATCH(G407,'ei names mapping'!$B$136:$BK$136,0))</f>
        <v>-7.3669999999999991E-6</v>
      </c>
      <c r="C407" s="12" t="str">
        <f>INDEX('ei names mapping'!$B$38:$BK$67,MATCH(B374,'ei names mapping'!$A$4:$A$33,0),MATCH(G407,'ei names mapping'!$B$3:$BK$3,0))</f>
        <v>RER</v>
      </c>
      <c r="D407" s="12" t="str">
        <f>INDEX('ei names mapping'!$B$104:$BK$133,MATCH(B374,'ei names mapping'!$A$4:$A$33,0),MATCH(G407,'ei names mapping'!$B$3:$BK$3,0))</f>
        <v>kilogram</v>
      </c>
      <c r="E407" s="12"/>
      <c r="F407" s="12" t="s">
        <v>91</v>
      </c>
      <c r="G407" t="s">
        <v>30</v>
      </c>
      <c r="H407" s="12" t="str">
        <f>INDEX('ei names mapping'!$B$71:$BK$100,MATCH(B374,'ei names mapping'!$A$4:$A$33,0),MATCH(G407,'ei names mapping'!$B$3:$BK$3,0))</f>
        <v>tyre wear emissions, passenger car</v>
      </c>
    </row>
    <row r="408" spans="1:8" x14ac:dyDescent="0.3">
      <c r="A408" s="12" t="str">
        <f>INDEX('ei names mapping'!$B$4:$BK$33,MATCH(B374,'ei names mapping'!$A$4:$A$33,0),MATCH(G408,'ei names mapping'!$B$3:$BK$3,0))</f>
        <v>treatment of brake wear emissions, passenger car</v>
      </c>
      <c r="B408" s="16">
        <f>INDEX('vehicles specifications'!$B$3:$CK$86,MATCH(B377,'vehicles specifications'!$A$3:$A$86,0),MATCH(G408,'vehicles specifications'!$B$2:$CK$2,0))*INDEX('ei names mapping'!$B$137:$BK$220,MATCH(B377,'ei names mapping'!$A$137:$A$220,0),MATCH(G408,'ei names mapping'!$B$136:$BK$136,0))</f>
        <v>-4.1749999999999998E-6</v>
      </c>
      <c r="C408" s="12" t="str">
        <f>INDEX('ei names mapping'!$B$38:$BK$67,MATCH(B374,'ei names mapping'!$A$4:$A$33,0),MATCH(G408,'ei names mapping'!$B$3:$BK$3,0))</f>
        <v>RER</v>
      </c>
      <c r="D408" s="12" t="str">
        <f>INDEX('ei names mapping'!$B$104:$BK$133,MATCH(B374,'ei names mapping'!$A$4:$A$33,0),MATCH(G408,'ei names mapping'!$B$3:$BK$3,0))</f>
        <v>kilogram</v>
      </c>
      <c r="E408" s="12"/>
      <c r="F408" s="12" t="s">
        <v>91</v>
      </c>
      <c r="G408" t="s">
        <v>31</v>
      </c>
      <c r="H408" s="12" t="str">
        <f>INDEX('ei names mapping'!$B$71:$BK$100,MATCH(B374,'ei names mapping'!$A$4:$A$33,0),MATCH(G408,'ei names mapping'!$B$3:$BK$3,0))</f>
        <v>brake wear emissions, passenger car</v>
      </c>
    </row>
    <row r="410" spans="1:8" ht="15.6" x14ac:dyDescent="0.3">
      <c r="A410" s="11" t="s">
        <v>72</v>
      </c>
      <c r="B410" s="9" t="str">
        <f>"transport, "&amp;B412&amp;", "&amp;B414&amp;", label-certified electricity"</f>
        <v>transport, Motorbike, electric, &gt;35kW, 2040, label-certified electricity</v>
      </c>
    </row>
    <row r="411" spans="1:8" x14ac:dyDescent="0.3">
      <c r="A411" t="s">
        <v>73</v>
      </c>
      <c r="B411" t="s">
        <v>37</v>
      </c>
    </row>
    <row r="412" spans="1:8" x14ac:dyDescent="0.3">
      <c r="A412" t="s">
        <v>87</v>
      </c>
      <c r="B412" t="s">
        <v>523</v>
      </c>
    </row>
    <row r="413" spans="1:8" x14ac:dyDescent="0.3">
      <c r="A413" t="s">
        <v>88</v>
      </c>
      <c r="B413" s="12"/>
    </row>
    <row r="414" spans="1:8" x14ac:dyDescent="0.3">
      <c r="A414" t="s">
        <v>89</v>
      </c>
      <c r="B414" s="12">
        <v>2040</v>
      </c>
    </row>
    <row r="415" spans="1:8" x14ac:dyDescent="0.3">
      <c r="A415" t="s">
        <v>131</v>
      </c>
      <c r="B415" s="12" t="str">
        <f>B412&amp;" - "&amp;B414&amp;" - "&amp;B411</f>
        <v>Motorbike, electric, &gt;35kW - 2040 - CH</v>
      </c>
    </row>
    <row r="416" spans="1:8" x14ac:dyDescent="0.3">
      <c r="A416" t="s">
        <v>74</v>
      </c>
      <c r="B416" s="12" t="str">
        <f>"transport, "&amp;B412</f>
        <v>transport, Motorbike, electric, &gt;35kW</v>
      </c>
    </row>
    <row r="417" spans="1:2" x14ac:dyDescent="0.3">
      <c r="A417" t="s">
        <v>75</v>
      </c>
      <c r="B417" t="s">
        <v>76</v>
      </c>
    </row>
    <row r="418" spans="1:2" x14ac:dyDescent="0.3">
      <c r="A418" t="s">
        <v>77</v>
      </c>
      <c r="B418" t="s">
        <v>172</v>
      </c>
    </row>
    <row r="419" spans="1:2" x14ac:dyDescent="0.3">
      <c r="A419" t="s">
        <v>79</v>
      </c>
      <c r="B419" t="s">
        <v>90</v>
      </c>
    </row>
    <row r="420" spans="1:2" x14ac:dyDescent="0.3">
      <c r="A420" t="s">
        <v>132</v>
      </c>
      <c r="B420">
        <f>INDEX('vehicles specifications'!$B$3:$CK$86,MATCH(B415,'vehicles specifications'!$A$3:$A$86,0),MATCH("Lifetime [km]",'vehicles specifications'!$B$2:$CK$2,0))</f>
        <v>62100</v>
      </c>
    </row>
    <row r="421" spans="1:2" x14ac:dyDescent="0.3">
      <c r="A421" t="s">
        <v>133</v>
      </c>
      <c r="B421">
        <f>INDEX('vehicles specifications'!$B$3:$CK$86,MATCH(B415,'vehicles specifications'!$A$3:$A$86,0),MATCH("Passengers [unit]",'vehicles specifications'!$B$2:$CK$2,0))</f>
        <v>1.1000000000000001</v>
      </c>
    </row>
    <row r="422" spans="1:2" x14ac:dyDescent="0.3">
      <c r="A422" t="s">
        <v>134</v>
      </c>
      <c r="B422">
        <f>INDEX('vehicles specifications'!$B$3:$CK$86,MATCH(B415,'vehicles specifications'!$A$3:$A$86,0),MATCH("Servicing [unit]",'vehicles specifications'!$B$2:$CK$2,0))</f>
        <v>1.242</v>
      </c>
    </row>
    <row r="423" spans="1:2" x14ac:dyDescent="0.3">
      <c r="A423" t="s">
        <v>135</v>
      </c>
      <c r="B423">
        <f>INDEX('vehicles specifications'!$B$3:$CK$86,MATCH(B415,'vehicles specifications'!$A$3:$A$86,0),MATCH("Energy battery replacement [unit]",'vehicles specifications'!$B$2:$CK$2,0))</f>
        <v>0.25</v>
      </c>
    </row>
    <row r="424" spans="1:2" x14ac:dyDescent="0.3">
      <c r="A424" t="s">
        <v>136</v>
      </c>
      <c r="B424">
        <f>INDEX('vehicles specifications'!$B$3:$CK$86,MATCH(B415,'vehicles specifications'!$A$3:$A$86,0),MATCH("Annual kilometers [km]",'vehicles specifications'!$B$2:$CK$2,0))</f>
        <v>4690</v>
      </c>
    </row>
    <row r="425" spans="1:2" x14ac:dyDescent="0.3">
      <c r="A425" t="s">
        <v>137</v>
      </c>
      <c r="B425" s="2">
        <f>INDEX('vehicles specifications'!$B$3:$CK$86,MATCH(B415,'vehicles specifications'!$A$3:$A$86,0),MATCH("Curb mass [kg]",'vehicles specifications'!$B$2:$CK$2,0))</f>
        <v>247.08999999999997</v>
      </c>
    </row>
    <row r="426" spans="1:2" x14ac:dyDescent="0.3">
      <c r="A426" t="s">
        <v>138</v>
      </c>
      <c r="B426">
        <f>INDEX('vehicles specifications'!$B$3:$CK$86,MATCH(B415,'vehicles specifications'!$A$3:$A$86,0),MATCH("Power [kW]",'vehicles specifications'!$B$2:$CK$2,0))</f>
        <v>49</v>
      </c>
    </row>
    <row r="427" spans="1:2" x14ac:dyDescent="0.3">
      <c r="A427" t="s">
        <v>139</v>
      </c>
      <c r="B427">
        <f>INDEX('vehicles specifications'!$B$3:$CK$86,MATCH(B415,'vehicles specifications'!$A$3:$A$86,0),MATCH("Energy battery mass [kg]",'vehicles specifications'!$B$2:$CK$2,0))</f>
        <v>105</v>
      </c>
    </row>
    <row r="428" spans="1:2" x14ac:dyDescent="0.3">
      <c r="A428" t="s">
        <v>140</v>
      </c>
      <c r="B428" s="21">
        <f>INDEX('vehicles specifications'!$B$3:$CK$86,MATCH(B415,'vehicles specifications'!$A$3:$A$86,0),MATCH("Electric energy stored [kWh]",'vehicles specifications'!$B$2:$CK$2,0))</f>
        <v>35</v>
      </c>
    </row>
    <row r="429" spans="1:2" s="21" customFormat="1" x14ac:dyDescent="0.3">
      <c r="A429" s="21" t="s">
        <v>654</v>
      </c>
      <c r="B429" s="21">
        <f>INDEX('vehicles specifications'!$B$3:$CK$86,MATCH(B415,'vehicles specifications'!$A$3:$A$86,0),MATCH("Electric energy available [kWh]",'vehicles specifications'!$B$2:$CK$2,0))</f>
        <v>28</v>
      </c>
    </row>
    <row r="430" spans="1:2" x14ac:dyDescent="0.3">
      <c r="A430" t="s">
        <v>143</v>
      </c>
      <c r="B430" s="2">
        <f>INDEX('vehicles specifications'!$B$3:$CK$86,MATCH(B415,'vehicles specifications'!$A$3:$A$86,0),MATCH("Oxydation energy stored [kWh]",'vehicles specifications'!$B$2:$CK$2,0))</f>
        <v>0</v>
      </c>
    </row>
    <row r="431" spans="1:2" x14ac:dyDescent="0.3">
      <c r="A431" t="s">
        <v>145</v>
      </c>
      <c r="B431">
        <f>INDEX('vehicles specifications'!$B$3:$CK$86,MATCH(B415,'vehicles specifications'!$A$3:$A$86,0),MATCH("Fuel mass [kg]",'vehicles specifications'!$B$2:$CK$2,0))</f>
        <v>0</v>
      </c>
    </row>
    <row r="432" spans="1:2" x14ac:dyDescent="0.3">
      <c r="A432" t="s">
        <v>141</v>
      </c>
      <c r="B432" s="2">
        <f>INDEX('vehicles specifications'!$B$3:$CK$86,MATCH(B415,'vehicles specifications'!$A$3:$A$86,0),MATCH("Range [km]",'vehicles specifications'!$B$2:$CK$2,0))</f>
        <v>366.90325724961417</v>
      </c>
    </row>
    <row r="433" spans="1:8" x14ac:dyDescent="0.3">
      <c r="A433" t="s">
        <v>142</v>
      </c>
      <c r="B433" t="str">
        <f>INDEX('vehicles specifications'!$B$3:$CK$86,MATCH(B415,'vehicles specifications'!$A$3:$A$86,0),MATCH("Emission standard",'vehicles specifications'!$B$2:$CK$2,0))</f>
        <v>None</v>
      </c>
    </row>
    <row r="434" spans="1:8" x14ac:dyDescent="0.3">
      <c r="A434" t="s">
        <v>144</v>
      </c>
      <c r="B434" s="6">
        <f>INDEX('vehicles specifications'!$B$3:$CK$86,MATCH(B415,'vehicles specifications'!$A$3:$A$86,0),MATCH("Lightweighting rate [%]",'vehicles specifications'!$B$2:$CK$2,0))</f>
        <v>0.05</v>
      </c>
    </row>
    <row r="435" spans="1:8" x14ac:dyDescent="0.3">
      <c r="A435" t="s">
        <v>84</v>
      </c>
      <c r="B435" s="21" t="str">
        <f>"Power: "&amp;B426&amp;" kW. Lifetime: "&amp;B420&amp;" km. Annual kilometers: "&amp;B424&amp;" km. Number of passengers: "&amp;B421&amp;". Curb mass: "&amp;ROUND(B425,1)&amp;" kg. Lightweighting of glider: "&amp;ROUND(B434*100,0)&amp;"%. Emission standard: "&amp;B433&amp;". Service visits throughout lifetime: "&amp;ROUND(B422,1)&amp;". Range: "&amp;ROUND(B432,0)&amp;" km. Battery capacity: "&amp;ROUND(B428,1)&amp;" kWh. Available battery capacity: "&amp;B429&amp;" kWh. Battery mass: "&amp;ROUND(B427,1)&amp; " kg. Battery replacement throughout lifetime: "&amp;ROUND(B423,1)&amp;". Fuel tank capacity: "&amp;ROUND(B430,1)&amp;" kWh. Fuel mass: "&amp;ROUND(B431,1)&amp;" kg. Documentation: "&amp;Readmefirst!$B$2&amp;", "&amp;Readmefirst!$B$3&amp;". "&amp;'lci-kick scooter'!B378</f>
        <v xml:space="preserve">Power: 49 kW. Lifetime: 62100 km. Annual kilometers: 4690 km. Number of passengers: 1.1. Curb mass: 247.1 kg. Lightweighting of glider: 5%. Emission standard: None. Service visits throughout lifetime: 1.2. Range: 367 km. Battery capacity: 35 kWh. Available battery capacity: 28 kWh. Battery mass: 105 kg. Battery replacement throughout lifetime: 0.3. Fuel tank capacity: 0 kWh. Fuel mass: 0 kg. Documentation: 2021 UVEK life-cycle inventories update of on-road vehicles, Sacchi R. (PSI), Bauer C. (PSI), 2021. </v>
      </c>
    </row>
    <row r="436" spans="1:8" ht="15.6" x14ac:dyDescent="0.3">
      <c r="A436" s="11" t="s">
        <v>80</v>
      </c>
    </row>
    <row r="437" spans="1:8" x14ac:dyDescent="0.3">
      <c r="A437" t="s">
        <v>81</v>
      </c>
      <c r="B437" t="s">
        <v>82</v>
      </c>
      <c r="C437" t="s">
        <v>73</v>
      </c>
      <c r="D437" t="s">
        <v>77</v>
      </c>
      <c r="E437" t="s">
        <v>83</v>
      </c>
      <c r="F437" t="s">
        <v>75</v>
      </c>
      <c r="G437" t="s">
        <v>84</v>
      </c>
      <c r="H437" t="s">
        <v>74</v>
      </c>
    </row>
    <row r="438" spans="1:8" x14ac:dyDescent="0.3">
      <c r="A438" s="12" t="str">
        <f>B410</f>
        <v>transport, Motorbike, electric, &gt;35kW, 2040, label-certified electricity</v>
      </c>
      <c r="B438" s="12">
        <v>1</v>
      </c>
      <c r="C438" s="12" t="str">
        <f>B411</f>
        <v>CH</v>
      </c>
      <c r="D438" s="12" t="s">
        <v>172</v>
      </c>
      <c r="E438" s="12"/>
      <c r="F438" s="12" t="s">
        <v>85</v>
      </c>
      <c r="G438" s="12" t="s">
        <v>86</v>
      </c>
      <c r="H438" s="12" t="str">
        <f>B416</f>
        <v>transport, Motorbike, electric, &gt;35kW</v>
      </c>
    </row>
    <row r="439" spans="1:8" x14ac:dyDescent="0.3">
      <c r="A439" s="12" t="str">
        <f>B412&amp;", "&amp;B414</f>
        <v>Motorbike, electric, &gt;35kW, 2040</v>
      </c>
      <c r="B439" s="12">
        <f>1/B420</f>
        <v>1.6103059581320449E-5</v>
      </c>
      <c r="C439" s="12" t="str">
        <f>B411</f>
        <v>CH</v>
      </c>
      <c r="D439" s="12" t="s">
        <v>77</v>
      </c>
      <c r="E439" s="12"/>
      <c r="F439" s="12" t="s">
        <v>91</v>
      </c>
      <c r="G439" s="12"/>
      <c r="H439" s="12" t="str">
        <f>RIGHT(H438,LEN(H438)-11)</f>
        <v>Motorbike, electric, &gt;35kW</v>
      </c>
    </row>
    <row r="440" spans="1:8" x14ac:dyDescent="0.3">
      <c r="A440" s="12" t="str">
        <f>INDEX('ei names mapping'!$B$4:$R$33,MATCH(B412,'ei names mapping'!$A$4:$A$33,0),MATCH(G440,'ei names mapping'!$B$3:$R$3,0))</f>
        <v>road maintenance</v>
      </c>
      <c r="B440" s="16">
        <f>INDEX('vehicles specifications'!$B$3:$CK$86,MATCH(B415,'vehicles specifications'!$A$3:$A$86,0),MATCH(G440,'vehicles specifications'!$B$2:$CK$2,0))*INDEX('ei names mapping'!$B$137:$BK$220,MATCH(B415,'ei names mapping'!$A$137:$A$220,0),MATCH(G440,'ei names mapping'!$B$136:$BK$136,0))</f>
        <v>1.2899999999999999E-3</v>
      </c>
      <c r="C440" s="12" t="str">
        <f>INDEX('ei names mapping'!$B$38:$R$67,MATCH(B412,'ei names mapping'!$A$4:$A$33,0),MATCH(G440,'ei names mapping'!$B$3:$R$3,0))</f>
        <v>CH</v>
      </c>
      <c r="D440" s="12" t="str">
        <f>INDEX('ei names mapping'!$B$104:$BK$133,MATCH(B412,'ei names mapping'!$A$4:$A$33,0),MATCH(G440,'ei names mapping'!$B$3:$BK$3,0))</f>
        <v>meter-year</v>
      </c>
      <c r="E440" s="12"/>
      <c r="F440" s="12" t="s">
        <v>91</v>
      </c>
      <c r="G440" t="s">
        <v>117</v>
      </c>
      <c r="H440" s="12" t="str">
        <f>INDEX('ei names mapping'!$B$71:$BK$100,MATCH(B412,'ei names mapping'!$A$4:$A$33,0),MATCH(G440,'ei names mapping'!$B$3:$BK$3,0))</f>
        <v>road maintenance</v>
      </c>
    </row>
    <row r="441" spans="1:8" x14ac:dyDescent="0.3">
      <c r="A441" s="12" t="s">
        <v>114</v>
      </c>
      <c r="B441" s="14">
        <f>INDEX('vehicles specifications'!$B$3:$CK$86,MATCH(B415,'vehicles specifications'!$A$3:$A$86,0),MATCH(G441,'vehicles specifications'!$B$2:$CK$2,0))*INDEX('ei names mapping'!$B$137:$BK$220,MATCH(B415,'ei names mapping'!$A$137:$A$220,0),MATCH(G441,'ei names mapping'!$B$136:$BK$136,0))</f>
        <v>8.3945834198593472E-2</v>
      </c>
      <c r="C441" s="12" t="str">
        <f>INDEX('ei names mapping'!$B$38:$R$67,MATCH($B$3,'ei names mapping'!$A$4:$A$33,0),MATCH(G441,'ei names mapping'!$B$3:$R$3,0))</f>
        <v>CH</v>
      </c>
      <c r="D441" s="12" t="str">
        <f>INDEX('ei names mapping'!$B$104:$R$133,MATCH($B$3,'ei names mapping'!$A$4:$A$33,0),MATCH(G441,'ei names mapping'!$B$3:$R$3,0))</f>
        <v>kilowatt hour</v>
      </c>
      <c r="E441" s="12"/>
      <c r="F441" s="12" t="s">
        <v>91</v>
      </c>
      <c r="G441" t="s">
        <v>28</v>
      </c>
      <c r="H441" s="12" t="s">
        <v>116</v>
      </c>
    </row>
    <row r="442" spans="1:8" x14ac:dyDescent="0.3">
      <c r="A442" s="12" t="str">
        <f>INDEX('ei names mapping'!$B$4:$R$33,MATCH(B412,'ei names mapping'!$A$4:$A$33,0),MATCH(G442,'ei names mapping'!$B$3:$R$3,0))</f>
        <v>market for maintenance, electric scooter, without battery</v>
      </c>
      <c r="B442" s="16">
        <f>INDEX('vehicles specifications'!$B$3:$CK$86,MATCH(B415,'vehicles specifications'!$A$3:$A$86,0),MATCH(G442,'vehicles specifications'!$B$2:$CK$2,0))*INDEX('ei names mapping'!$B$137:$BK$220,MATCH(B415,'ei names mapping'!$A$137:$A$220,0),MATCH(G442,'ei names mapping'!$B$136:$BK$136,0))</f>
        <v>1.9999999999999998E-5</v>
      </c>
      <c r="C442" s="12" t="str">
        <f>INDEX('ei names mapping'!$B$38:$BK$67,MATCH(B412,'ei names mapping'!$A$4:$A$33,0),MATCH(G442,'ei names mapping'!$B$3:$BK$3,0))</f>
        <v>GLO</v>
      </c>
      <c r="D442" s="12" t="str">
        <f>INDEX('ei names mapping'!$B$104:$BK$133,MATCH(B412,'ei names mapping'!$A$4:$A$33,0),MATCH(G442,'ei names mapping'!$B$3:$BK$3,0))</f>
        <v>unit</v>
      </c>
      <c r="F442" s="12" t="s">
        <v>91</v>
      </c>
      <c r="G442" s="12" t="s">
        <v>123</v>
      </c>
      <c r="H442" s="12" t="str">
        <f>INDEX('ei names mapping'!$B$71:$BK$100,MATCH(B412,'ei names mapping'!$A$4:$A$33,0),MATCH(G442,'ei names mapping'!$B$3:$BK$3,0))</f>
        <v>maintenance, electric scooter, without battery</v>
      </c>
    </row>
    <row r="443" spans="1:8" s="21" customFormat="1" x14ac:dyDescent="0.3">
      <c r="A443" s="12" t="str">
        <f>INDEX('ei names mapping'!$B$4:$R$33,MATCH(B412,'ei names mapping'!$A$4:$A$33,0),MATCH(G443,'ei names mapping'!$B$3:$R$3,0))</f>
        <v>road construction</v>
      </c>
      <c r="B443" s="16">
        <f>INDEX('vehicles specifications'!$B$3:$CK$86,MATCH(B415,'vehicles specifications'!$A$3:$A$86,0),MATCH(G443,'vehicles specifications'!$B$2:$CK$2,0))*INDEX('ei names mapping'!$B$137:$BK$220,MATCH(B415,'ei names mapping'!$A$137:$A$220,0),MATCH(G443,'ei names mapping'!$B$136:$BK$136,0))</f>
        <v>1.7725833E-4</v>
      </c>
      <c r="C443" s="12" t="str">
        <f>INDEX('ei names mapping'!$B$38:$R$67,MATCH(B412,'ei names mapping'!$A$4:$A$33,0),MATCH(G443,'ei names mapping'!$B$3:$R$3,0))</f>
        <v>CH</v>
      </c>
      <c r="D443" s="12" t="str">
        <f>INDEX('ei names mapping'!$B$104:$R$133,MATCH(B412,'ei names mapping'!$A$104:$A$133,0),MATCH(G443,'ei names mapping'!$B$3:$R$3,0))</f>
        <v>meter-year</v>
      </c>
      <c r="E443" s="12"/>
      <c r="F443" s="12" t="s">
        <v>91</v>
      </c>
      <c r="G443" s="21" t="s">
        <v>108</v>
      </c>
      <c r="H443" s="12" t="str">
        <f>INDEX('ei names mapping'!$B$71:$R$100,MATCH(B412,'ei names mapping'!$A$4:$A$33,0),MATCH(G443,'ei names mapping'!$B$3:$R$3,0))</f>
        <v>road</v>
      </c>
    </row>
    <row r="444" spans="1:8" x14ac:dyDescent="0.3">
      <c r="A444" s="12" t="str">
        <f>INDEX('ei names mapping'!$B$4:$BK$33,MATCH(B412,'ei names mapping'!$A$4:$A$33,0),MATCH(G444,'ei names mapping'!$B$3:$BK$3,0))</f>
        <v>treatment of road wear emissions, passenger car</v>
      </c>
      <c r="B444" s="16">
        <f>INDEX('vehicles specifications'!$B$3:$CK$86,MATCH(B415,'vehicles specifications'!$A$3:$A$86,0),MATCH(G444,'vehicles specifications'!$B$2:$CK$2,0))*INDEX('ei names mapping'!$B$137:$BK$220,MATCH(B415,'ei names mapping'!$A$137:$A$220,0),MATCH(G444,'ei names mapping'!$B$136:$BK$136,0))</f>
        <v>-6.0000000000000002E-6</v>
      </c>
      <c r="C444" s="12" t="str">
        <f>INDEX('ei names mapping'!$B$38:$BK$67,MATCH(B412,'ei names mapping'!$A$4:$A$33,0),MATCH(G444,'ei names mapping'!$B$3:$BK$3,0))</f>
        <v>RER</v>
      </c>
      <c r="D444" s="12" t="str">
        <f>INDEX('ei names mapping'!$B$104:$BK$133,MATCH(B412,'ei names mapping'!$A$4:$A$33,0),MATCH(G444,'ei names mapping'!$B$3:$BK$3,0))</f>
        <v>kilogram</v>
      </c>
      <c r="E444" s="12"/>
      <c r="F444" s="12" t="s">
        <v>91</v>
      </c>
      <c r="G444" t="s">
        <v>29</v>
      </c>
      <c r="H444" s="12" t="str">
        <f>INDEX('ei names mapping'!$B$71:$BK$100,MATCH(B412,'ei names mapping'!$A$4:$A$33,0),MATCH(G444,'ei names mapping'!$B$3:$BK$3,0))</f>
        <v>road wear emissions, passenger car</v>
      </c>
    </row>
    <row r="445" spans="1:8" x14ac:dyDescent="0.3">
      <c r="A445" s="12" t="str">
        <f>INDEX('ei names mapping'!$B$4:$BK$33,MATCH(B412,'ei names mapping'!$A$4:$A$33,0),MATCH(G445,'ei names mapping'!$B$3:$BK$3,0))</f>
        <v>treatment of tyre wear emissions, passenger car</v>
      </c>
      <c r="B445" s="16">
        <f>INDEX('vehicles specifications'!$B$3:$CK$86,MATCH(B415,'vehicles specifications'!$A$3:$A$86,0),MATCH(G445,'vehicles specifications'!$B$2:$CK$2,0))*INDEX('ei names mapping'!$B$137:$BK$220,MATCH(B415,'ei names mapping'!$A$137:$A$220,0),MATCH(G445,'ei names mapping'!$B$136:$BK$136,0))</f>
        <v>-7.3669999999999991E-6</v>
      </c>
      <c r="C445" s="12" t="str">
        <f>INDEX('ei names mapping'!$B$38:$BK$67,MATCH(B412,'ei names mapping'!$A$4:$A$33,0),MATCH(G445,'ei names mapping'!$B$3:$BK$3,0))</f>
        <v>RER</v>
      </c>
      <c r="D445" s="12" t="str">
        <f>INDEX('ei names mapping'!$B$104:$BK$133,MATCH(B412,'ei names mapping'!$A$4:$A$33,0),MATCH(G445,'ei names mapping'!$B$3:$BK$3,0))</f>
        <v>kilogram</v>
      </c>
      <c r="E445" s="12"/>
      <c r="F445" s="12" t="s">
        <v>91</v>
      </c>
      <c r="G445" t="s">
        <v>30</v>
      </c>
      <c r="H445" s="12" t="str">
        <f>INDEX('ei names mapping'!$B$71:$BK$100,MATCH(B412,'ei names mapping'!$A$4:$A$33,0),MATCH(G445,'ei names mapping'!$B$3:$BK$3,0))</f>
        <v>tyre wear emissions, passenger car</v>
      </c>
    </row>
    <row r="446" spans="1:8" x14ac:dyDescent="0.3">
      <c r="A446" s="12" t="str">
        <f>INDEX('ei names mapping'!$B$4:$BK$33,MATCH(B412,'ei names mapping'!$A$4:$A$33,0),MATCH(G446,'ei names mapping'!$B$3:$BK$3,0))</f>
        <v>treatment of brake wear emissions, passenger car</v>
      </c>
      <c r="B446" s="16">
        <f>INDEX('vehicles specifications'!$B$3:$CK$86,MATCH(B415,'vehicles specifications'!$A$3:$A$86,0),MATCH(G446,'vehicles specifications'!$B$2:$CK$2,0))*INDEX('ei names mapping'!$B$137:$BK$220,MATCH(B415,'ei names mapping'!$A$137:$A$220,0),MATCH(G446,'ei names mapping'!$B$136:$BK$136,0))</f>
        <v>-4.1749999999999998E-6</v>
      </c>
      <c r="C446" s="12" t="str">
        <f>INDEX('ei names mapping'!$B$38:$BK$67,MATCH(B412,'ei names mapping'!$A$4:$A$33,0),MATCH(G446,'ei names mapping'!$B$3:$BK$3,0))</f>
        <v>RER</v>
      </c>
      <c r="D446" s="12" t="str">
        <f>INDEX('ei names mapping'!$B$104:$BK$133,MATCH(B412,'ei names mapping'!$A$4:$A$33,0),MATCH(G446,'ei names mapping'!$B$3:$BK$3,0))</f>
        <v>kilogram</v>
      </c>
      <c r="E446" s="12"/>
      <c r="F446" s="12" t="s">
        <v>91</v>
      </c>
      <c r="G446" t="s">
        <v>31</v>
      </c>
      <c r="H446" s="12" t="str">
        <f>INDEX('ei names mapping'!$B$71:$BK$100,MATCH(B412,'ei names mapping'!$A$4:$A$33,0),MATCH(G446,'ei names mapping'!$B$3:$BK$3,0))</f>
        <v>brake wear emissions, passenger car</v>
      </c>
    </row>
    <row r="448" spans="1:8" ht="15.6" x14ac:dyDescent="0.3">
      <c r="A448" s="11" t="s">
        <v>72</v>
      </c>
      <c r="B448" s="9" t="str">
        <f>"transport, "&amp;B450&amp;", "&amp;B452&amp;", label-certified electricity"</f>
        <v>transport, Motorbike, electric, &gt;35kW, 2050, label-certified electricity</v>
      </c>
    </row>
    <row r="449" spans="1:2" x14ac:dyDescent="0.3">
      <c r="A449" t="s">
        <v>73</v>
      </c>
      <c r="B449" t="s">
        <v>37</v>
      </c>
    </row>
    <row r="450" spans="1:2" x14ac:dyDescent="0.3">
      <c r="A450" t="s">
        <v>87</v>
      </c>
      <c r="B450" t="s">
        <v>523</v>
      </c>
    </row>
    <row r="451" spans="1:2" x14ac:dyDescent="0.3">
      <c r="A451" t="s">
        <v>88</v>
      </c>
      <c r="B451" s="12"/>
    </row>
    <row r="452" spans="1:2" x14ac:dyDescent="0.3">
      <c r="A452" t="s">
        <v>89</v>
      </c>
      <c r="B452" s="12">
        <v>2050</v>
      </c>
    </row>
    <row r="453" spans="1:2" x14ac:dyDescent="0.3">
      <c r="A453" t="s">
        <v>131</v>
      </c>
      <c r="B453" s="12" t="str">
        <f>B450&amp;" - "&amp;B452&amp;" - "&amp;B449</f>
        <v>Motorbike, electric, &gt;35kW - 2050 - CH</v>
      </c>
    </row>
    <row r="454" spans="1:2" x14ac:dyDescent="0.3">
      <c r="A454" t="s">
        <v>74</v>
      </c>
      <c r="B454" s="12" t="str">
        <f>"transport, "&amp;B450</f>
        <v>transport, Motorbike, electric, &gt;35kW</v>
      </c>
    </row>
    <row r="455" spans="1:2" x14ac:dyDescent="0.3">
      <c r="A455" t="s">
        <v>75</v>
      </c>
      <c r="B455" t="s">
        <v>76</v>
      </c>
    </row>
    <row r="456" spans="1:2" x14ac:dyDescent="0.3">
      <c r="A456" t="s">
        <v>77</v>
      </c>
      <c r="B456" t="s">
        <v>172</v>
      </c>
    </row>
    <row r="457" spans="1:2" x14ac:dyDescent="0.3">
      <c r="A457" t="s">
        <v>79</v>
      </c>
      <c r="B457" t="s">
        <v>90</v>
      </c>
    </row>
    <row r="458" spans="1:2" x14ac:dyDescent="0.3">
      <c r="A458" t="s">
        <v>132</v>
      </c>
      <c r="B458">
        <f>INDEX('vehicles specifications'!$B$3:$CK$86,MATCH(B453,'vehicles specifications'!$A$3:$A$86,0),MATCH("Lifetime [km]",'vehicles specifications'!$B$2:$CK$2,0))</f>
        <v>62100</v>
      </c>
    </row>
    <row r="459" spans="1:2" x14ac:dyDescent="0.3">
      <c r="A459" t="s">
        <v>133</v>
      </c>
      <c r="B459">
        <f>INDEX('vehicles specifications'!$B$3:$CK$86,MATCH(B453,'vehicles specifications'!$A$3:$A$86,0),MATCH("Passengers [unit]",'vehicles specifications'!$B$2:$CK$2,0))</f>
        <v>1.1000000000000001</v>
      </c>
    </row>
    <row r="460" spans="1:2" x14ac:dyDescent="0.3">
      <c r="A460" t="s">
        <v>134</v>
      </c>
      <c r="B460">
        <f>INDEX('vehicles specifications'!$B$3:$CK$86,MATCH(B453,'vehicles specifications'!$A$3:$A$86,0),MATCH("Servicing [unit]",'vehicles specifications'!$B$2:$CK$2,0))</f>
        <v>1.242</v>
      </c>
    </row>
    <row r="461" spans="1:2" x14ac:dyDescent="0.3">
      <c r="A461" t="s">
        <v>135</v>
      </c>
      <c r="B461">
        <f>INDEX('vehicles specifications'!$B$3:$CK$86,MATCH(B453,'vehicles specifications'!$A$3:$A$86,0),MATCH("Energy battery replacement [unit]",'vehicles specifications'!$B$2:$CK$2,0))</f>
        <v>0</v>
      </c>
    </row>
    <row r="462" spans="1:2" x14ac:dyDescent="0.3">
      <c r="A462" t="s">
        <v>136</v>
      </c>
      <c r="B462">
        <f>INDEX('vehicles specifications'!$B$3:$CK$86,MATCH(B453,'vehicles specifications'!$A$3:$A$86,0),MATCH("Annual kilometers [km]",'vehicles specifications'!$B$2:$CK$2,0))</f>
        <v>4690</v>
      </c>
    </row>
    <row r="463" spans="1:2" x14ac:dyDescent="0.3">
      <c r="A463" t="s">
        <v>137</v>
      </c>
      <c r="B463" s="2">
        <f>INDEX('vehicles specifications'!$B$3:$CK$86,MATCH(B453,'vehicles specifications'!$A$3:$A$86,0),MATCH("Curb mass [kg]",'vehicles specifications'!$B$2:$CK$2,0))</f>
        <v>246.66999999999996</v>
      </c>
    </row>
    <row r="464" spans="1:2" x14ac:dyDescent="0.3">
      <c r="A464" t="s">
        <v>138</v>
      </c>
      <c r="B464">
        <f>INDEX('vehicles specifications'!$B$3:$CK$86,MATCH(B453,'vehicles specifications'!$A$3:$A$86,0),MATCH("Power [kW]",'vehicles specifications'!$B$2:$CK$2,0))</f>
        <v>49</v>
      </c>
    </row>
    <row r="465" spans="1:8" x14ac:dyDescent="0.3">
      <c r="A465" t="s">
        <v>139</v>
      </c>
      <c r="B465">
        <f>INDEX('vehicles specifications'!$B$3:$CK$86,MATCH(B453,'vehicles specifications'!$A$3:$A$86,0),MATCH("Energy battery mass [kg]",'vehicles specifications'!$B$2:$CK$2,0))</f>
        <v>106.8</v>
      </c>
    </row>
    <row r="466" spans="1:8" x14ac:dyDescent="0.3">
      <c r="A466" t="s">
        <v>140</v>
      </c>
      <c r="B466" s="21">
        <f>INDEX('vehicles specifications'!$B$3:$CK$86,MATCH(B453,'vehicles specifications'!$A$3:$A$86,0),MATCH("Electric energy stored [kWh]",'vehicles specifications'!$B$2:$CK$2,0))</f>
        <v>44.5</v>
      </c>
    </row>
    <row r="467" spans="1:8" s="21" customFormat="1" x14ac:dyDescent="0.3">
      <c r="A467" s="21" t="s">
        <v>654</v>
      </c>
      <c r="B467" s="21">
        <f>INDEX('vehicles specifications'!$B$3:$CK$86,MATCH(B453,'vehicles specifications'!$A$3:$A$86,0),MATCH("Electric energy available [kWh]",'vehicles specifications'!$B$2:$CK$2,0))</f>
        <v>35.6</v>
      </c>
    </row>
    <row r="468" spans="1:8" x14ac:dyDescent="0.3">
      <c r="A468" t="s">
        <v>143</v>
      </c>
      <c r="B468" s="2">
        <f>INDEX('vehicles specifications'!$B$3:$CK$86,MATCH(B453,'vehicles specifications'!$A$3:$A$86,0),MATCH("Oxydation energy stored [kWh]",'vehicles specifications'!$B$2:$CK$2,0))</f>
        <v>0</v>
      </c>
    </row>
    <row r="469" spans="1:8" x14ac:dyDescent="0.3">
      <c r="A469" t="s">
        <v>145</v>
      </c>
      <c r="B469">
        <f>INDEX('vehicles specifications'!$B$3:$CK$86,MATCH(B453,'vehicles specifications'!$A$3:$A$86,0),MATCH("Fuel mass [kg]",'vehicles specifications'!$B$2:$CK$2,0))</f>
        <v>0</v>
      </c>
    </row>
    <row r="470" spans="1:8" x14ac:dyDescent="0.3">
      <c r="A470" t="s">
        <v>141</v>
      </c>
      <c r="B470" s="2">
        <f>INDEX('vehicles specifications'!$B$3:$CK$86,MATCH(B453,'vehicles specifications'!$A$3:$A$86,0),MATCH("Range [km]",'vehicles specifications'!$B$2:$CK$2,0))</f>
        <v>466.49128421736663</v>
      </c>
    </row>
    <row r="471" spans="1:8" x14ac:dyDescent="0.3">
      <c r="A471" t="s">
        <v>142</v>
      </c>
      <c r="B471" t="str">
        <f>INDEX('vehicles specifications'!$B$3:$CK$86,MATCH(B453,'vehicles specifications'!$A$3:$A$86,0),MATCH("Emission standard",'vehicles specifications'!$B$2:$CK$2,0))</f>
        <v>None</v>
      </c>
    </row>
    <row r="472" spans="1:8" x14ac:dyDescent="0.3">
      <c r="A472" t="s">
        <v>144</v>
      </c>
      <c r="B472" s="6">
        <f>INDEX('vehicles specifications'!$B$3:$CK$86,MATCH(B453,'vehicles specifications'!$A$3:$A$86,0),MATCH("Lightweighting rate [%]",'vehicles specifications'!$B$2:$CK$2,0))</f>
        <v>7.0000000000000007E-2</v>
      </c>
    </row>
    <row r="473" spans="1:8" x14ac:dyDescent="0.3">
      <c r="A473" t="s">
        <v>84</v>
      </c>
      <c r="B473" s="21" t="str">
        <f>"Power: "&amp;B464&amp;" kW. Lifetime: "&amp;B458&amp;" km. Annual kilometers: "&amp;B462&amp;" km. Number of passengers: "&amp;B459&amp;". Curb mass: "&amp;ROUND(B463,1)&amp;" kg. Lightweighting of glider: "&amp;ROUND(B472*100,0)&amp;"%. Emission standard: "&amp;B471&amp;". Service visits throughout lifetime: "&amp;ROUND(B460,1)&amp;". Range: "&amp;ROUND(B470,0)&amp;" km. Battery capacity: "&amp;ROUND(B466,1)&amp;" kWh. Available battery capacity: "&amp;B467&amp;" kWh. Battery mass: "&amp;ROUND(B465,1)&amp; " kg. Battery replacement throughout lifetime: "&amp;ROUND(B461,1)&amp;". Fuel tank capacity: "&amp;ROUND(B468,1)&amp;" kWh. Fuel mass: "&amp;ROUND(B469,1)&amp;" kg. Documentation: "&amp;Readmefirst!$B$2&amp;", "&amp;Readmefirst!$B$3&amp;". "&amp;'lci-kick scooter'!B416</f>
        <v xml:space="preserve">Power: 49 kW. Lifetime: 62100 km. Annual kilometers: 4690 km. Number of passengers: 1.1. Curb mass: 246.7 kg. Lightweighting of glider: 7%. Emission standard: None. Service visits throughout lifetime: 1.2. Range: 466 km. Battery capacity: 44.5 kWh. Available battery capacity: 35.6 kWh. Battery mass: 106.8 kg. Battery replacement throughout lifetime: 0. Fuel tank capacity: 0 kWh. Fuel mass: 0 kg. Documentation: 2021 UVEK life-cycle inventories update of on-road vehicles, Sacchi R. (PSI), Bauer C. (PSI), 2021. </v>
      </c>
    </row>
    <row r="474" spans="1:8" ht="15.6" x14ac:dyDescent="0.3">
      <c r="A474" s="11" t="s">
        <v>80</v>
      </c>
    </row>
    <row r="475" spans="1:8" x14ac:dyDescent="0.3">
      <c r="A475" t="s">
        <v>81</v>
      </c>
      <c r="B475" t="s">
        <v>82</v>
      </c>
      <c r="C475" t="s">
        <v>73</v>
      </c>
      <c r="D475" t="s">
        <v>77</v>
      </c>
      <c r="E475" t="s">
        <v>83</v>
      </c>
      <c r="F475" t="s">
        <v>75</v>
      </c>
      <c r="G475" t="s">
        <v>84</v>
      </c>
      <c r="H475" t="s">
        <v>74</v>
      </c>
    </row>
    <row r="476" spans="1:8" x14ac:dyDescent="0.3">
      <c r="A476" s="12" t="str">
        <f>B448</f>
        <v>transport, Motorbike, electric, &gt;35kW, 2050, label-certified electricity</v>
      </c>
      <c r="B476" s="12">
        <v>1</v>
      </c>
      <c r="C476" s="12" t="str">
        <f>B449</f>
        <v>CH</v>
      </c>
      <c r="D476" s="12" t="s">
        <v>172</v>
      </c>
      <c r="E476" s="12"/>
      <c r="F476" s="12" t="s">
        <v>85</v>
      </c>
      <c r="G476" s="12" t="s">
        <v>86</v>
      </c>
      <c r="H476" s="12" t="str">
        <f>B454</f>
        <v>transport, Motorbike, electric, &gt;35kW</v>
      </c>
    </row>
    <row r="477" spans="1:8" x14ac:dyDescent="0.3">
      <c r="A477" s="12" t="str">
        <f>B450&amp;", "&amp;B452</f>
        <v>Motorbike, electric, &gt;35kW, 2050</v>
      </c>
      <c r="B477" s="12">
        <f>1/B458</f>
        <v>1.6103059581320449E-5</v>
      </c>
      <c r="C477" s="12" t="str">
        <f>B449</f>
        <v>CH</v>
      </c>
      <c r="D477" s="12" t="s">
        <v>77</v>
      </c>
      <c r="E477" s="12"/>
      <c r="F477" s="12" t="s">
        <v>91</v>
      </c>
      <c r="G477" s="12"/>
      <c r="H477" s="12" t="str">
        <f>RIGHT(H476,LEN(H476)-11)</f>
        <v>Motorbike, electric, &gt;35kW</v>
      </c>
    </row>
    <row r="478" spans="1:8" x14ac:dyDescent="0.3">
      <c r="A478" s="12" t="str">
        <f>INDEX('ei names mapping'!$B$4:$R$33,MATCH(B450,'ei names mapping'!$A$4:$A$33,0),MATCH(G478,'ei names mapping'!$B$3:$R$3,0))</f>
        <v>road maintenance</v>
      </c>
      <c r="B478" s="16">
        <f>INDEX('vehicles specifications'!$B$3:$CK$86,MATCH(B453,'vehicles specifications'!$A$3:$A$86,0),MATCH(G478,'vehicles specifications'!$B$2:$CK$2,0))*INDEX('ei names mapping'!$B$137:$BK$220,MATCH(B453,'ei names mapping'!$A$137:$A$220,0),MATCH(G478,'ei names mapping'!$B$136:$BK$136,0))</f>
        <v>1.2899999999999999E-3</v>
      </c>
      <c r="C478" s="12" t="str">
        <f>INDEX('ei names mapping'!$B$38:$R$67,MATCH(B450,'ei names mapping'!$A$4:$A$33,0),MATCH(G478,'ei names mapping'!$B$3:$R$3,0))</f>
        <v>CH</v>
      </c>
      <c r="D478" s="12" t="str">
        <f>INDEX('ei names mapping'!$B$104:$BK$133,MATCH(B450,'ei names mapping'!$A$4:$A$33,0),MATCH(G478,'ei names mapping'!$B$3:$BK$3,0))</f>
        <v>meter-year</v>
      </c>
      <c r="E478" s="12"/>
      <c r="F478" s="12" t="s">
        <v>91</v>
      </c>
      <c r="G478" t="s">
        <v>117</v>
      </c>
      <c r="H478" s="12" t="str">
        <f>INDEX('ei names mapping'!$B$71:$BK$100,MATCH(B450,'ei names mapping'!$A$4:$A$33,0),MATCH(G478,'ei names mapping'!$B$3:$BK$3,0))</f>
        <v>road maintenance</v>
      </c>
    </row>
    <row r="479" spans="1:8" x14ac:dyDescent="0.3">
      <c r="A479" s="12" t="s">
        <v>114</v>
      </c>
      <c r="B479" s="14">
        <f>INDEX('vehicles specifications'!$B$3:$CK$86,MATCH(B453,'vehicles specifications'!$A$3:$A$86,0),MATCH(G479,'vehicles specifications'!$B$2:$CK$2,0))*INDEX('ei names mapping'!$B$137:$BK$220,MATCH(B453,'ei names mapping'!$A$137:$A$220,0),MATCH(G479,'ei names mapping'!$B$136:$BK$136,0))</f>
        <v>8.3945834198593472E-2</v>
      </c>
      <c r="C479" s="12" t="str">
        <f>INDEX('ei names mapping'!$B$38:$R$67,MATCH($B$3,'ei names mapping'!$A$4:$A$33,0),MATCH(G479,'ei names mapping'!$B$3:$R$3,0))</f>
        <v>CH</v>
      </c>
      <c r="D479" s="12" t="str">
        <f>INDEX('ei names mapping'!$B$104:$R$133,MATCH($B$3,'ei names mapping'!$A$4:$A$33,0),MATCH(G479,'ei names mapping'!$B$3:$R$3,0))</f>
        <v>kilowatt hour</v>
      </c>
      <c r="E479" s="12"/>
      <c r="F479" s="12" t="s">
        <v>91</v>
      </c>
      <c r="G479" t="s">
        <v>28</v>
      </c>
      <c r="H479" s="12" t="s">
        <v>116</v>
      </c>
    </row>
    <row r="480" spans="1:8" x14ac:dyDescent="0.3">
      <c r="A480" s="12" t="str">
        <f>INDEX('ei names mapping'!$B$4:$R$33,MATCH(B450,'ei names mapping'!$A$4:$A$33,0),MATCH(G480,'ei names mapping'!$B$3:$R$3,0))</f>
        <v>market for maintenance, electric scooter, without battery</v>
      </c>
      <c r="B480" s="16">
        <f>INDEX('vehicles specifications'!$B$3:$CK$86,MATCH(B453,'vehicles specifications'!$A$3:$A$86,0),MATCH(G480,'vehicles specifications'!$B$2:$CK$2,0))*INDEX('ei names mapping'!$B$137:$BK$220,MATCH(B453,'ei names mapping'!$A$137:$A$220,0),MATCH(G480,'ei names mapping'!$B$136:$BK$136,0))</f>
        <v>1.9999999999999998E-5</v>
      </c>
      <c r="C480" s="12" t="str">
        <f>INDEX('ei names mapping'!$B$38:$BK$67,MATCH(B450,'ei names mapping'!$A$4:$A$33,0),MATCH(G480,'ei names mapping'!$B$3:$BK$3,0))</f>
        <v>GLO</v>
      </c>
      <c r="D480" s="12" t="str">
        <f>INDEX('ei names mapping'!$B$104:$BK$133,MATCH(B450,'ei names mapping'!$A$4:$A$33,0),MATCH(G480,'ei names mapping'!$B$3:$BK$3,0))</f>
        <v>unit</v>
      </c>
      <c r="F480" s="12" t="s">
        <v>91</v>
      </c>
      <c r="G480" s="12" t="s">
        <v>123</v>
      </c>
      <c r="H480" s="12" t="str">
        <f>INDEX('ei names mapping'!$B$71:$BK$100,MATCH(B450,'ei names mapping'!$A$4:$A$33,0),MATCH(G480,'ei names mapping'!$B$3:$BK$3,0))</f>
        <v>maintenance, electric scooter, without battery</v>
      </c>
    </row>
    <row r="481" spans="1:8" s="21" customFormat="1" x14ac:dyDescent="0.3">
      <c r="A481" s="12" t="str">
        <f>INDEX('ei names mapping'!$B$4:$R$33,MATCH(B450,'ei names mapping'!$A$4:$A$33,0),MATCH(G481,'ei names mapping'!$B$3:$R$3,0))</f>
        <v>road construction</v>
      </c>
      <c r="B481" s="16">
        <f>INDEX('vehicles specifications'!$B$3:$CK$86,MATCH(B453,'vehicles specifications'!$A$3:$A$86,0),MATCH(G481,'vehicles specifications'!$B$2:$CK$2,0))*INDEX('ei names mapping'!$B$137:$BK$220,MATCH(B453,'ei names mapping'!$A$137:$A$220,0),MATCH(G481,'ei names mapping'!$B$136:$BK$136,0))</f>
        <v>1.7703278999999997E-4</v>
      </c>
      <c r="C481" s="12" t="str">
        <f>INDEX('ei names mapping'!$B$38:$R$67,MATCH(B450,'ei names mapping'!$A$4:$A$33,0),MATCH(G481,'ei names mapping'!$B$3:$R$3,0))</f>
        <v>CH</v>
      </c>
      <c r="D481" s="12" t="str">
        <f>INDEX('ei names mapping'!$B$104:$R$133,MATCH(B450,'ei names mapping'!$A$104:$A$133,0),MATCH(G481,'ei names mapping'!$B$3:$R$3,0))</f>
        <v>meter-year</v>
      </c>
      <c r="E481" s="12"/>
      <c r="F481" s="12" t="s">
        <v>91</v>
      </c>
      <c r="G481" s="21" t="s">
        <v>108</v>
      </c>
      <c r="H481" s="12" t="str">
        <f>INDEX('ei names mapping'!$B$71:$R$100,MATCH(B450,'ei names mapping'!$A$4:$A$33,0),MATCH(G481,'ei names mapping'!$B$3:$R$3,0))</f>
        <v>road</v>
      </c>
    </row>
    <row r="482" spans="1:8" x14ac:dyDescent="0.3">
      <c r="A482" s="12" t="str">
        <f>INDEX('ei names mapping'!$B$4:$BK$33,MATCH(B450,'ei names mapping'!$A$4:$A$33,0),MATCH(G482,'ei names mapping'!$B$3:$BK$3,0))</f>
        <v>treatment of road wear emissions, passenger car</v>
      </c>
      <c r="B482" s="16">
        <f>INDEX('vehicles specifications'!$B$3:$CK$86,MATCH(B453,'vehicles specifications'!$A$3:$A$86,0),MATCH(G482,'vehicles specifications'!$B$2:$CK$2,0))*INDEX('ei names mapping'!$B$137:$BK$220,MATCH(B453,'ei names mapping'!$A$137:$A$220,0),MATCH(G482,'ei names mapping'!$B$136:$BK$136,0))</f>
        <v>-6.0000000000000002E-6</v>
      </c>
      <c r="C482" s="12" t="str">
        <f>INDEX('ei names mapping'!$B$38:$BK$67,MATCH(B450,'ei names mapping'!$A$4:$A$33,0),MATCH(G482,'ei names mapping'!$B$3:$BK$3,0))</f>
        <v>RER</v>
      </c>
      <c r="D482" s="12" t="str">
        <f>INDEX('ei names mapping'!$B$104:$BK$133,MATCH(B450,'ei names mapping'!$A$4:$A$33,0),MATCH(G482,'ei names mapping'!$B$3:$BK$3,0))</f>
        <v>kilogram</v>
      </c>
      <c r="E482" s="12"/>
      <c r="F482" s="12" t="s">
        <v>91</v>
      </c>
      <c r="G482" t="s">
        <v>29</v>
      </c>
      <c r="H482" s="12" t="str">
        <f>INDEX('ei names mapping'!$B$71:$BK$100,MATCH(B450,'ei names mapping'!$A$4:$A$33,0),MATCH(G482,'ei names mapping'!$B$3:$BK$3,0))</f>
        <v>road wear emissions, passenger car</v>
      </c>
    </row>
    <row r="483" spans="1:8" x14ac:dyDescent="0.3">
      <c r="A483" s="12" t="str">
        <f>INDEX('ei names mapping'!$B$4:$BK$33,MATCH(B450,'ei names mapping'!$A$4:$A$33,0),MATCH(G483,'ei names mapping'!$B$3:$BK$3,0))</f>
        <v>treatment of tyre wear emissions, passenger car</v>
      </c>
      <c r="B483" s="16">
        <f>INDEX('vehicles specifications'!$B$3:$CK$86,MATCH(B453,'vehicles specifications'!$A$3:$A$86,0),MATCH(G483,'vehicles specifications'!$B$2:$CK$2,0))*INDEX('ei names mapping'!$B$137:$BK$220,MATCH(B453,'ei names mapping'!$A$137:$A$220,0),MATCH(G483,'ei names mapping'!$B$136:$BK$136,0))</f>
        <v>-7.3669999999999991E-6</v>
      </c>
      <c r="C483" s="12" t="str">
        <f>INDEX('ei names mapping'!$B$38:$BK$67,MATCH(B450,'ei names mapping'!$A$4:$A$33,0),MATCH(G483,'ei names mapping'!$B$3:$BK$3,0))</f>
        <v>RER</v>
      </c>
      <c r="D483" s="12" t="str">
        <f>INDEX('ei names mapping'!$B$104:$BK$133,MATCH(B450,'ei names mapping'!$A$4:$A$33,0),MATCH(G483,'ei names mapping'!$B$3:$BK$3,0))</f>
        <v>kilogram</v>
      </c>
      <c r="E483" s="12"/>
      <c r="F483" s="12" t="s">
        <v>91</v>
      </c>
      <c r="G483" t="s">
        <v>30</v>
      </c>
      <c r="H483" s="12" t="str">
        <f>INDEX('ei names mapping'!$B$71:$BK$100,MATCH(B450,'ei names mapping'!$A$4:$A$33,0),MATCH(G483,'ei names mapping'!$B$3:$BK$3,0))</f>
        <v>tyre wear emissions, passenger car</v>
      </c>
    </row>
    <row r="484" spans="1:8" x14ac:dyDescent="0.3">
      <c r="A484" s="12" t="str">
        <f>INDEX('ei names mapping'!$B$4:$BK$33,MATCH(B450,'ei names mapping'!$A$4:$A$33,0),MATCH(G484,'ei names mapping'!$B$3:$BK$3,0))</f>
        <v>treatment of brake wear emissions, passenger car</v>
      </c>
      <c r="B484" s="16">
        <f>INDEX('vehicles specifications'!$B$3:$CK$86,MATCH(B453,'vehicles specifications'!$A$3:$A$86,0),MATCH(G484,'vehicles specifications'!$B$2:$CK$2,0))*INDEX('ei names mapping'!$B$137:$BK$220,MATCH(B453,'ei names mapping'!$A$137:$A$220,0),MATCH(G484,'ei names mapping'!$B$136:$BK$136,0))</f>
        <v>-4.1749999999999998E-6</v>
      </c>
      <c r="C484" s="12" t="str">
        <f>INDEX('ei names mapping'!$B$38:$BK$67,MATCH(B450,'ei names mapping'!$A$4:$A$33,0),MATCH(G484,'ei names mapping'!$B$3:$BK$3,0))</f>
        <v>RER</v>
      </c>
      <c r="D484" s="12" t="str">
        <f>INDEX('ei names mapping'!$B$104:$BK$133,MATCH(B450,'ei names mapping'!$A$4:$A$33,0),MATCH(G484,'ei names mapping'!$B$3:$BK$3,0))</f>
        <v>kilogram</v>
      </c>
      <c r="E484" s="12"/>
      <c r="F484" s="12" t="s">
        <v>91</v>
      </c>
      <c r="G484" t="s">
        <v>31</v>
      </c>
      <c r="H484" s="12" t="str">
        <f>INDEX('ei names mapping'!$B$71:$BK$100,MATCH(B450,'ei names mapping'!$A$4:$A$33,0),MATCH(G484,'ei names mapping'!$B$3:$BK$3,0))</f>
        <v>brake wear emissions, passenger car</v>
      </c>
    </row>
    <row r="486" spans="1:8" ht="15.6" x14ac:dyDescent="0.3">
      <c r="A486" s="11"/>
      <c r="B486" s="9"/>
    </row>
    <row r="489" spans="1:8" x14ac:dyDescent="0.3">
      <c r="B489" s="12"/>
    </row>
    <row r="490" spans="1:8" x14ac:dyDescent="0.3">
      <c r="B490" s="12"/>
    </row>
    <row r="491" spans="1:8" x14ac:dyDescent="0.3">
      <c r="B491" s="12"/>
    </row>
    <row r="501" spans="1:2" x14ac:dyDescent="0.3">
      <c r="B501" s="2"/>
    </row>
    <row r="505" spans="1:2" x14ac:dyDescent="0.3">
      <c r="B505" s="2"/>
    </row>
    <row r="507" spans="1:2" x14ac:dyDescent="0.3">
      <c r="B507" s="2"/>
    </row>
    <row r="509" spans="1:2" x14ac:dyDescent="0.3">
      <c r="B509" s="6"/>
    </row>
    <row r="511" spans="1:2" ht="15.6" x14ac:dyDescent="0.3">
      <c r="A511" s="11"/>
    </row>
    <row r="513" spans="1:8" x14ac:dyDescent="0.3">
      <c r="A513" s="12"/>
      <c r="B513" s="12"/>
      <c r="C513" s="12"/>
      <c r="D513" s="12"/>
      <c r="E513" s="12"/>
      <c r="F513" s="12"/>
      <c r="G513" s="12"/>
      <c r="H513" s="12"/>
    </row>
    <row r="514" spans="1:8" x14ac:dyDescent="0.3">
      <c r="A514" s="12"/>
      <c r="B514" s="16"/>
      <c r="C514" s="12"/>
      <c r="D514" s="12"/>
      <c r="E514" s="12"/>
      <c r="F514" s="12"/>
      <c r="G514" s="12"/>
      <c r="H514" s="12"/>
    </row>
    <row r="515" spans="1:8" x14ac:dyDescent="0.3">
      <c r="A515" s="12"/>
      <c r="B515" s="16"/>
      <c r="C515" s="12"/>
      <c r="D515" s="12"/>
      <c r="E515" s="12"/>
      <c r="F515" s="12"/>
      <c r="H515" s="12"/>
    </row>
    <row r="516" spans="1:8" x14ac:dyDescent="0.3">
      <c r="A516" s="12"/>
      <c r="B516" s="16"/>
      <c r="C516" s="12"/>
      <c r="D516" s="12"/>
      <c r="E516" s="12"/>
      <c r="F516" s="12"/>
      <c r="H516" s="12"/>
    </row>
    <row r="517" spans="1:8" x14ac:dyDescent="0.3">
      <c r="A517" s="12"/>
      <c r="B517" s="16"/>
      <c r="C517" s="12"/>
      <c r="D517" s="12"/>
      <c r="E517" s="12"/>
      <c r="F517" s="12"/>
      <c r="H517" s="12"/>
    </row>
    <row r="518" spans="1:8" x14ac:dyDescent="0.3">
      <c r="A518" s="12"/>
      <c r="B518" s="16"/>
      <c r="C518" s="12"/>
      <c r="D518" s="12"/>
      <c r="E518" s="12"/>
      <c r="F518" s="12"/>
      <c r="H518" s="12"/>
    </row>
    <row r="519" spans="1:8" x14ac:dyDescent="0.3">
      <c r="A519" s="12"/>
      <c r="B519" s="16"/>
      <c r="C519" s="12"/>
      <c r="D519" s="12"/>
      <c r="E519" s="12"/>
      <c r="F519" s="12"/>
      <c r="H519" s="12"/>
    </row>
    <row r="520" spans="1:8" x14ac:dyDescent="0.3">
      <c r="A520" s="12"/>
      <c r="B520" s="16"/>
      <c r="C520" s="12"/>
      <c r="D520" s="12"/>
      <c r="E520" s="12"/>
      <c r="F520" s="12"/>
      <c r="H520" s="12"/>
    </row>
    <row r="521" spans="1:8" x14ac:dyDescent="0.3">
      <c r="A521" s="12"/>
      <c r="B521" s="16"/>
      <c r="C521" s="12"/>
      <c r="D521" s="12"/>
      <c r="E521" s="12"/>
      <c r="F521" s="12"/>
      <c r="H521" s="12"/>
    </row>
    <row r="522" spans="1:8" x14ac:dyDescent="0.3">
      <c r="A522" s="12"/>
      <c r="B522" s="16"/>
      <c r="C522" s="12"/>
      <c r="D522" s="12"/>
      <c r="E522" s="12"/>
      <c r="F522" s="12"/>
      <c r="H522" s="12"/>
    </row>
    <row r="523" spans="1:8" x14ac:dyDescent="0.3">
      <c r="A523" s="12"/>
      <c r="B523" s="16"/>
      <c r="C523" s="12"/>
      <c r="D523" s="12"/>
      <c r="E523" s="12"/>
      <c r="F523" s="12"/>
      <c r="H523" s="12"/>
    </row>
    <row r="524" spans="1:8" x14ac:dyDescent="0.3">
      <c r="A524" s="12"/>
      <c r="B524" s="16"/>
      <c r="C524" s="12"/>
      <c r="D524" s="12"/>
      <c r="E524" s="12"/>
      <c r="F524" s="12"/>
      <c r="H524" s="12"/>
    </row>
    <row r="525" spans="1:8" ht="15.6" x14ac:dyDescent="0.3">
      <c r="A525" s="11"/>
      <c r="B525" s="9"/>
    </row>
    <row r="528" spans="1:8" x14ac:dyDescent="0.3">
      <c r="B528" s="12"/>
    </row>
    <row r="529" spans="2:2" x14ac:dyDescent="0.3">
      <c r="B529" s="12"/>
    </row>
    <row r="530" spans="2:2" x14ac:dyDescent="0.3">
      <c r="B530" s="12"/>
    </row>
    <row r="540" spans="2:2" x14ac:dyDescent="0.3">
      <c r="B540" s="2"/>
    </row>
    <row r="544" spans="2:2" x14ac:dyDescent="0.3">
      <c r="B544" s="2"/>
    </row>
    <row r="546" spans="1:8" x14ac:dyDescent="0.3">
      <c r="B546" s="2"/>
    </row>
    <row r="548" spans="1:8" x14ac:dyDescent="0.3">
      <c r="B548" s="6"/>
    </row>
    <row r="550" spans="1:8" ht="15.6" x14ac:dyDescent="0.3">
      <c r="A550" s="11"/>
    </row>
    <row r="552" spans="1:8" x14ac:dyDescent="0.3">
      <c r="A552" s="12"/>
      <c r="B552" s="12"/>
      <c r="C552" s="12"/>
      <c r="D552" s="12"/>
      <c r="E552" s="12"/>
      <c r="F552" s="12"/>
      <c r="G552" s="12"/>
      <c r="H552" s="12"/>
    </row>
    <row r="553" spans="1:8" x14ac:dyDescent="0.3">
      <c r="A553" s="12"/>
      <c r="B553" s="16"/>
      <c r="C553" s="12"/>
      <c r="D553" s="12"/>
      <c r="E553" s="12"/>
      <c r="F553" s="12"/>
      <c r="G553" s="12"/>
      <c r="H553" s="12"/>
    </row>
    <row r="554" spans="1:8" x14ac:dyDescent="0.3">
      <c r="A554" s="12"/>
      <c r="B554" s="16"/>
      <c r="C554" s="12"/>
      <c r="D554" s="12"/>
      <c r="E554" s="12"/>
      <c r="F554" s="12"/>
      <c r="H554" s="12"/>
    </row>
    <row r="555" spans="1:8" x14ac:dyDescent="0.3">
      <c r="A555" s="12"/>
      <c r="B555" s="16"/>
      <c r="C555" s="12"/>
      <c r="D555" s="12"/>
      <c r="E555" s="12"/>
      <c r="F555" s="12"/>
      <c r="H555" s="12"/>
    </row>
    <row r="556" spans="1:8" x14ac:dyDescent="0.3">
      <c r="A556" s="12"/>
      <c r="B556" s="16"/>
      <c r="C556" s="12"/>
      <c r="D556" s="12"/>
      <c r="E556" s="12"/>
      <c r="F556" s="12"/>
      <c r="H556" s="12"/>
    </row>
    <row r="557" spans="1:8" x14ac:dyDescent="0.3">
      <c r="A557" s="12"/>
      <c r="B557" s="16"/>
      <c r="C557" s="12"/>
      <c r="D557" s="12"/>
      <c r="E557" s="12"/>
      <c r="F557" s="12"/>
      <c r="H557" s="12"/>
    </row>
    <row r="558" spans="1:8" x14ac:dyDescent="0.3">
      <c r="A558" s="12"/>
      <c r="B558" s="16"/>
      <c r="C558" s="12"/>
      <c r="D558" s="12"/>
      <c r="E558" s="12"/>
      <c r="F558" s="12"/>
      <c r="H558" s="12"/>
    </row>
    <row r="559" spans="1:8" x14ac:dyDescent="0.3">
      <c r="A559" s="12"/>
      <c r="B559" s="16"/>
      <c r="C559" s="12"/>
      <c r="D559" s="12"/>
      <c r="E559" s="12"/>
      <c r="F559" s="12"/>
      <c r="H559" s="12"/>
    </row>
    <row r="560" spans="1:8" x14ac:dyDescent="0.3">
      <c r="A560" s="12"/>
      <c r="B560" s="16"/>
      <c r="C560" s="12"/>
      <c r="D560" s="12"/>
      <c r="E560" s="12"/>
      <c r="F560" s="12"/>
      <c r="H560" s="12"/>
    </row>
    <row r="561" spans="1:8" x14ac:dyDescent="0.3">
      <c r="A561" s="12"/>
      <c r="B561" s="16"/>
      <c r="C561" s="12"/>
      <c r="D561" s="12"/>
      <c r="E561" s="12"/>
      <c r="F561" s="12"/>
      <c r="H561" s="12"/>
    </row>
    <row r="562" spans="1:8" x14ac:dyDescent="0.3">
      <c r="A562" s="12"/>
      <c r="B562" s="16"/>
      <c r="C562" s="12"/>
      <c r="D562" s="12"/>
      <c r="E562" s="12"/>
      <c r="F562" s="12"/>
      <c r="H562" s="12"/>
    </row>
    <row r="563" spans="1:8" x14ac:dyDescent="0.3">
      <c r="B563" s="12"/>
    </row>
    <row r="564" spans="1:8" ht="15.6" x14ac:dyDescent="0.3">
      <c r="A564" s="11"/>
      <c r="B564" s="9"/>
    </row>
    <row r="567" spans="1:8" x14ac:dyDescent="0.3">
      <c r="B567" s="12"/>
    </row>
    <row r="568" spans="1:8" x14ac:dyDescent="0.3">
      <c r="B568" s="12"/>
    </row>
    <row r="569" spans="1:8" x14ac:dyDescent="0.3">
      <c r="B569" s="12"/>
    </row>
    <row r="579" spans="1:8" x14ac:dyDescent="0.3">
      <c r="B579" s="2"/>
    </row>
    <row r="583" spans="1:8" x14ac:dyDescent="0.3">
      <c r="B583" s="2"/>
    </row>
    <row r="585" spans="1:8" x14ac:dyDescent="0.3">
      <c r="B585" s="2"/>
    </row>
    <row r="587" spans="1:8" x14ac:dyDescent="0.3">
      <c r="B587" s="6"/>
    </row>
    <row r="589" spans="1:8" ht="15.6" x14ac:dyDescent="0.3">
      <c r="A589" s="11"/>
    </row>
    <row r="591" spans="1:8" x14ac:dyDescent="0.3">
      <c r="A591" s="12"/>
      <c r="B591" s="12"/>
      <c r="C591" s="12"/>
      <c r="D591" s="12"/>
      <c r="E591" s="12"/>
      <c r="F591" s="12"/>
      <c r="G591" s="12"/>
      <c r="H591" s="12"/>
    </row>
    <row r="592" spans="1:8" x14ac:dyDescent="0.3">
      <c r="A592" s="12"/>
      <c r="B592" s="16"/>
      <c r="C592" s="12"/>
      <c r="D592" s="12"/>
      <c r="E592" s="12"/>
      <c r="F592" s="12"/>
      <c r="G592" s="12"/>
      <c r="H592" s="12"/>
    </row>
    <row r="593" spans="1:8" x14ac:dyDescent="0.3">
      <c r="A593" s="12"/>
      <c r="B593" s="16"/>
      <c r="C593" s="12"/>
      <c r="D593" s="12"/>
      <c r="E593" s="12"/>
      <c r="F593" s="12"/>
      <c r="H593" s="12"/>
    </row>
    <row r="594" spans="1:8" x14ac:dyDescent="0.3">
      <c r="A594" s="12"/>
      <c r="B594" s="16"/>
      <c r="C594" s="12"/>
      <c r="D594" s="12"/>
      <c r="E594" s="12"/>
      <c r="F594" s="12"/>
      <c r="H594" s="12"/>
    </row>
    <row r="595" spans="1:8" x14ac:dyDescent="0.3">
      <c r="A595" s="12"/>
      <c r="B595" s="16"/>
      <c r="C595" s="12"/>
      <c r="D595" s="12"/>
      <c r="E595" s="12"/>
      <c r="F595" s="12"/>
      <c r="H595" s="12"/>
    </row>
    <row r="596" spans="1:8" x14ac:dyDescent="0.3">
      <c r="A596" s="12"/>
      <c r="B596" s="16"/>
      <c r="C596" s="12"/>
      <c r="D596" s="12"/>
      <c r="E596" s="12"/>
      <c r="F596" s="12"/>
      <c r="H596" s="12"/>
    </row>
    <row r="597" spans="1:8" x14ac:dyDescent="0.3">
      <c r="A597" s="12"/>
      <c r="B597" s="16"/>
      <c r="C597" s="12"/>
      <c r="D597" s="12"/>
      <c r="E597" s="12"/>
      <c r="F597" s="12"/>
      <c r="H597" s="12"/>
    </row>
    <row r="598" spans="1:8" x14ac:dyDescent="0.3">
      <c r="A598" s="12"/>
      <c r="B598" s="16"/>
      <c r="C598" s="12"/>
      <c r="D598" s="12"/>
      <c r="E598" s="12"/>
      <c r="F598" s="12"/>
      <c r="H598" s="12"/>
    </row>
    <row r="599" spans="1:8" x14ac:dyDescent="0.3">
      <c r="A599" s="12"/>
      <c r="B599" s="16"/>
      <c r="C599" s="12"/>
      <c r="D599" s="12"/>
      <c r="E599" s="12"/>
      <c r="F599" s="12"/>
      <c r="H599" s="12"/>
    </row>
    <row r="600" spans="1:8" x14ac:dyDescent="0.3">
      <c r="A600" s="12"/>
      <c r="B600" s="16"/>
      <c r="C600" s="12"/>
      <c r="D600" s="12"/>
      <c r="E600" s="12"/>
      <c r="F600" s="12"/>
      <c r="H600" s="12"/>
    </row>
    <row r="601" spans="1:8" x14ac:dyDescent="0.3">
      <c r="A601" s="12"/>
      <c r="B601" s="16"/>
      <c r="C601" s="12"/>
      <c r="D601" s="12"/>
      <c r="E601" s="12"/>
      <c r="F601" s="12"/>
      <c r="H601" s="12"/>
    </row>
    <row r="603" spans="1:8" ht="15.6" x14ac:dyDescent="0.3">
      <c r="A603" s="11"/>
      <c r="B603" s="9"/>
    </row>
    <row r="606" spans="1:8" x14ac:dyDescent="0.3">
      <c r="B606" s="12"/>
    </row>
    <row r="607" spans="1:8" x14ac:dyDescent="0.3">
      <c r="B607" s="12"/>
    </row>
    <row r="608" spans="1:8" x14ac:dyDescent="0.3">
      <c r="B608" s="12"/>
    </row>
    <row r="618" spans="2:2" x14ac:dyDescent="0.3">
      <c r="B618" s="2"/>
    </row>
    <row r="622" spans="2:2" x14ac:dyDescent="0.3">
      <c r="B622" s="2"/>
    </row>
    <row r="624" spans="2:2" x14ac:dyDescent="0.3">
      <c r="B624" s="2"/>
    </row>
    <row r="626" spans="1:8" x14ac:dyDescent="0.3">
      <c r="B626" s="6"/>
    </row>
    <row r="628" spans="1:8" ht="15.6" x14ac:dyDescent="0.3">
      <c r="A628" s="11"/>
    </row>
    <row r="630" spans="1:8" x14ac:dyDescent="0.3">
      <c r="A630" s="12"/>
      <c r="B630" s="12"/>
      <c r="C630" s="12"/>
      <c r="D630" s="12"/>
      <c r="E630" s="12"/>
      <c r="F630" s="12"/>
      <c r="G630" s="12"/>
      <c r="H630" s="12"/>
    </row>
    <row r="631" spans="1:8" x14ac:dyDescent="0.3">
      <c r="A631" s="12"/>
      <c r="B631" s="16"/>
      <c r="C631" s="12"/>
      <c r="D631" s="12"/>
      <c r="E631" s="12"/>
      <c r="F631" s="12"/>
      <c r="G631" s="12"/>
      <c r="H631" s="12"/>
    </row>
    <row r="632" spans="1:8" x14ac:dyDescent="0.3">
      <c r="A632" s="12"/>
      <c r="B632" s="16"/>
      <c r="C632" s="12"/>
      <c r="D632" s="12"/>
      <c r="E632" s="12"/>
      <c r="F632" s="12"/>
      <c r="H632" s="12"/>
    </row>
    <row r="633" spans="1:8" x14ac:dyDescent="0.3">
      <c r="A633" s="12"/>
      <c r="B633" s="16"/>
      <c r="C633" s="12"/>
      <c r="D633" s="12"/>
      <c r="E633" s="12"/>
      <c r="F633" s="12"/>
      <c r="H633" s="12"/>
    </row>
    <row r="634" spans="1:8" x14ac:dyDescent="0.3">
      <c r="A634" s="12"/>
      <c r="B634" s="16"/>
      <c r="C634" s="12"/>
      <c r="D634" s="12"/>
      <c r="E634" s="12"/>
      <c r="F634" s="12"/>
      <c r="H634" s="12"/>
    </row>
    <row r="635" spans="1:8" x14ac:dyDescent="0.3">
      <c r="A635" s="12"/>
      <c r="B635" s="16"/>
      <c r="C635" s="12"/>
      <c r="D635" s="12"/>
      <c r="E635" s="12"/>
      <c r="F635" s="12"/>
      <c r="H635" s="12"/>
    </row>
    <row r="636" spans="1:8" x14ac:dyDescent="0.3">
      <c r="A636" s="12"/>
      <c r="B636" s="16"/>
      <c r="C636" s="12"/>
      <c r="D636" s="12"/>
      <c r="E636" s="12"/>
      <c r="F636" s="12"/>
      <c r="H636" s="12"/>
    </row>
    <row r="637" spans="1:8" x14ac:dyDescent="0.3">
      <c r="A637" s="12"/>
      <c r="B637" s="16"/>
      <c r="C637" s="12"/>
      <c r="D637" s="12"/>
      <c r="E637" s="12"/>
      <c r="F637" s="12"/>
      <c r="H637" s="12"/>
    </row>
    <row r="638" spans="1:8" x14ac:dyDescent="0.3">
      <c r="A638" s="12"/>
      <c r="B638" s="16"/>
      <c r="C638" s="12"/>
      <c r="D638" s="12"/>
      <c r="E638" s="12"/>
      <c r="F638" s="12"/>
      <c r="H638" s="12"/>
    </row>
    <row r="639" spans="1:8" x14ac:dyDescent="0.3">
      <c r="A639" s="12"/>
      <c r="B639" s="16"/>
      <c r="C639" s="12"/>
      <c r="D639" s="12"/>
      <c r="E639" s="12"/>
      <c r="F639" s="12"/>
      <c r="H639" s="12"/>
    </row>
    <row r="640" spans="1:8" x14ac:dyDescent="0.3">
      <c r="A640" s="12"/>
      <c r="B640" s="16"/>
      <c r="C640" s="12"/>
      <c r="D640" s="12"/>
      <c r="E640" s="12"/>
      <c r="F640" s="12"/>
      <c r="H640" s="12"/>
    </row>
    <row r="641" spans="1:2" x14ac:dyDescent="0.3">
      <c r="B641" s="2"/>
    </row>
    <row r="642" spans="1:2" ht="15.6" x14ac:dyDescent="0.3">
      <c r="A642" s="11"/>
      <c r="B642" s="9"/>
    </row>
    <row r="645" spans="1:2" x14ac:dyDescent="0.3">
      <c r="B645" s="12"/>
    </row>
    <row r="646" spans="1:2" x14ac:dyDescent="0.3">
      <c r="B646" s="12"/>
    </row>
    <row r="647" spans="1:2" x14ac:dyDescent="0.3">
      <c r="B647" s="12"/>
    </row>
    <row r="648" spans="1:2" x14ac:dyDescent="0.3">
      <c r="B648" s="12"/>
    </row>
    <row r="657" spans="1:8" x14ac:dyDescent="0.3">
      <c r="B657" s="2"/>
    </row>
    <row r="661" spans="1:8" x14ac:dyDescent="0.3">
      <c r="B661" s="2"/>
    </row>
    <row r="663" spans="1:8" x14ac:dyDescent="0.3">
      <c r="B663" s="2"/>
    </row>
    <row r="665" spans="1:8" x14ac:dyDescent="0.3">
      <c r="B665" s="6"/>
    </row>
    <row r="667" spans="1:8" ht="15.6" x14ac:dyDescent="0.3">
      <c r="A667" s="11"/>
    </row>
    <row r="669" spans="1:8" x14ac:dyDescent="0.3">
      <c r="A669" s="12"/>
      <c r="B669" s="12"/>
      <c r="C669" s="12"/>
      <c r="D669" s="12"/>
      <c r="E669" s="12"/>
      <c r="F669" s="12"/>
      <c r="G669" s="12"/>
      <c r="H669" s="12"/>
    </row>
    <row r="670" spans="1:8" x14ac:dyDescent="0.3">
      <c r="A670" s="12"/>
      <c r="B670" s="15"/>
      <c r="C670" s="12"/>
      <c r="D670" s="12"/>
      <c r="E670" s="12"/>
      <c r="F670" s="12"/>
      <c r="G670" s="12"/>
      <c r="H670" s="12"/>
    </row>
    <row r="671" spans="1:8" x14ac:dyDescent="0.3">
      <c r="A671" s="12"/>
      <c r="B671" s="16"/>
      <c r="C671" s="12"/>
      <c r="D671" s="12"/>
      <c r="E671" s="12"/>
      <c r="F671" s="12"/>
      <c r="H671" s="12"/>
    </row>
    <row r="672" spans="1:8" x14ac:dyDescent="0.3">
      <c r="A672" s="12"/>
      <c r="B672" s="14"/>
      <c r="C672" s="12"/>
      <c r="D672" s="12"/>
      <c r="E672" s="12"/>
      <c r="F672" s="12"/>
      <c r="H672" s="12"/>
    </row>
    <row r="673" spans="1:8" x14ac:dyDescent="0.3">
      <c r="A673" s="12"/>
      <c r="B673" s="16"/>
      <c r="C673" s="12"/>
      <c r="D673" s="12"/>
      <c r="F673" s="12"/>
      <c r="G673" s="12"/>
      <c r="H673" s="12"/>
    </row>
    <row r="674" spans="1:8" x14ac:dyDescent="0.3">
      <c r="A674" s="12"/>
      <c r="B674" s="16"/>
      <c r="C674" s="12"/>
      <c r="D674" s="12"/>
      <c r="E674" s="12"/>
      <c r="F674" s="12"/>
      <c r="H674" s="12"/>
    </row>
    <row r="675" spans="1:8" x14ac:dyDescent="0.3">
      <c r="A675" s="12"/>
      <c r="B675" s="16"/>
      <c r="C675" s="12"/>
      <c r="D675" s="12"/>
      <c r="E675" s="12"/>
      <c r="F675" s="12"/>
      <c r="H675" s="12"/>
    </row>
    <row r="676" spans="1:8" x14ac:dyDescent="0.3">
      <c r="A676" s="12"/>
      <c r="B676" s="16"/>
      <c r="C676" s="12"/>
      <c r="D676" s="12"/>
      <c r="E676" s="12"/>
      <c r="F676" s="12"/>
      <c r="H676" s="12"/>
    </row>
    <row r="677" spans="1:8" x14ac:dyDescent="0.3">
      <c r="B677" s="6"/>
    </row>
    <row r="678" spans="1:8" ht="15.6" x14ac:dyDescent="0.3">
      <c r="A678" s="11"/>
      <c r="B678" s="9"/>
    </row>
    <row r="681" spans="1:8" x14ac:dyDescent="0.3">
      <c r="B681" s="12"/>
    </row>
    <row r="682" spans="1:8" x14ac:dyDescent="0.3">
      <c r="B682" s="12"/>
    </row>
    <row r="683" spans="1:8" x14ac:dyDescent="0.3">
      <c r="B683" s="12"/>
    </row>
    <row r="684" spans="1:8" x14ac:dyDescent="0.3">
      <c r="B684" s="12"/>
    </row>
    <row r="693" spans="1:2" x14ac:dyDescent="0.3">
      <c r="B693" s="2"/>
    </row>
    <row r="697" spans="1:2" x14ac:dyDescent="0.3">
      <c r="B697" s="2"/>
    </row>
    <row r="699" spans="1:2" x14ac:dyDescent="0.3">
      <c r="B699" s="2"/>
    </row>
    <row r="701" spans="1:2" x14ac:dyDescent="0.3">
      <c r="B701" s="6"/>
    </row>
    <row r="703" spans="1:2" ht="15.6" x14ac:dyDescent="0.3">
      <c r="A703" s="11"/>
    </row>
    <row r="705" spans="1:8" x14ac:dyDescent="0.3">
      <c r="A705" s="12"/>
      <c r="B705" s="12"/>
      <c r="C705" s="12"/>
      <c r="D705" s="12"/>
      <c r="E705" s="12"/>
      <c r="F705" s="12"/>
      <c r="G705" s="12"/>
      <c r="H705" s="12"/>
    </row>
    <row r="706" spans="1:8" x14ac:dyDescent="0.3">
      <c r="A706" s="12"/>
      <c r="B706" s="12"/>
      <c r="C706" s="12"/>
      <c r="D706" s="12"/>
      <c r="E706" s="12"/>
      <c r="F706" s="12"/>
      <c r="G706" s="12"/>
      <c r="H706" s="12"/>
    </row>
    <row r="707" spans="1:8" x14ac:dyDescent="0.3">
      <c r="A707" s="12"/>
      <c r="B707" s="16"/>
      <c r="C707" s="12"/>
      <c r="D707" s="12"/>
      <c r="E707" s="12"/>
      <c r="F707" s="12"/>
      <c r="H707" s="12"/>
    </row>
    <row r="708" spans="1:8" x14ac:dyDescent="0.3">
      <c r="A708" s="12"/>
      <c r="B708" s="14"/>
      <c r="C708" s="12"/>
      <c r="D708" s="12"/>
      <c r="E708" s="12"/>
      <c r="F708" s="12"/>
      <c r="H708" s="12"/>
    </row>
    <row r="709" spans="1:8" x14ac:dyDescent="0.3">
      <c r="A709" s="12"/>
      <c r="B709" s="16"/>
      <c r="C709" s="12"/>
      <c r="D709" s="12"/>
      <c r="F709" s="12"/>
      <c r="G709" s="12"/>
      <c r="H709" s="12"/>
    </row>
    <row r="710" spans="1:8" x14ac:dyDescent="0.3">
      <c r="A710" s="12"/>
      <c r="B710" s="16"/>
      <c r="C710" s="12"/>
      <c r="D710" s="12"/>
      <c r="E710" s="12"/>
      <c r="F710" s="12"/>
      <c r="H710" s="12"/>
    </row>
    <row r="711" spans="1:8" x14ac:dyDescent="0.3">
      <c r="A711" s="12"/>
      <c r="B711" s="16"/>
      <c r="C711" s="12"/>
      <c r="D711" s="12"/>
      <c r="E711" s="12"/>
      <c r="F711" s="12"/>
      <c r="H711" s="12"/>
    </row>
    <row r="712" spans="1:8" x14ac:dyDescent="0.3">
      <c r="A712" s="12"/>
      <c r="B712" s="16"/>
      <c r="C712" s="12"/>
      <c r="D712" s="12"/>
      <c r="E712" s="12"/>
      <c r="F712" s="12"/>
      <c r="H712" s="12"/>
    </row>
    <row r="714" spans="1:8" ht="15.6" x14ac:dyDescent="0.3">
      <c r="A714" s="11"/>
      <c r="B714" s="9"/>
    </row>
    <row r="717" spans="1:8" x14ac:dyDescent="0.3">
      <c r="B717" s="12"/>
    </row>
    <row r="718" spans="1:8" x14ac:dyDescent="0.3">
      <c r="B718" s="12"/>
    </row>
    <row r="719" spans="1:8" x14ac:dyDescent="0.3">
      <c r="B719" s="12"/>
    </row>
    <row r="720" spans="1:8" x14ac:dyDescent="0.3">
      <c r="B720" s="12"/>
    </row>
    <row r="729" spans="2:2" x14ac:dyDescent="0.3">
      <c r="B729" s="2"/>
    </row>
    <row r="733" spans="2:2" x14ac:dyDescent="0.3">
      <c r="B733" s="2"/>
    </row>
    <row r="735" spans="2:2" x14ac:dyDescent="0.3">
      <c r="B735" s="2"/>
    </row>
    <row r="737" spans="1:8" x14ac:dyDescent="0.3">
      <c r="B737" s="6"/>
    </row>
    <row r="739" spans="1:8" ht="15.6" x14ac:dyDescent="0.3">
      <c r="A739" s="11"/>
    </row>
    <row r="741" spans="1:8" x14ac:dyDescent="0.3">
      <c r="A741" s="12"/>
      <c r="B741" s="12"/>
      <c r="C741" s="12"/>
      <c r="D741" s="12"/>
      <c r="E741" s="12"/>
      <c r="F741" s="12"/>
      <c r="G741" s="12"/>
      <c r="H741" s="12"/>
    </row>
    <row r="742" spans="1:8" x14ac:dyDescent="0.3">
      <c r="A742" s="12"/>
      <c r="B742" s="12"/>
      <c r="C742" s="12"/>
      <c r="D742" s="12"/>
      <c r="E742" s="12"/>
      <c r="F742" s="12"/>
      <c r="G742" s="12"/>
      <c r="H742" s="12"/>
    </row>
    <row r="743" spans="1:8" x14ac:dyDescent="0.3">
      <c r="A743" s="12"/>
      <c r="B743" s="16"/>
      <c r="C743" s="12"/>
      <c r="D743" s="12"/>
      <c r="E743" s="12"/>
      <c r="F743" s="12"/>
      <c r="H743" s="12"/>
    </row>
    <row r="744" spans="1:8" x14ac:dyDescent="0.3">
      <c r="A744" s="12"/>
      <c r="B744" s="14"/>
      <c r="C744" s="12"/>
      <c r="D744" s="12"/>
      <c r="E744" s="12"/>
      <c r="F744" s="12"/>
      <c r="H744" s="12"/>
    </row>
    <row r="745" spans="1:8" x14ac:dyDescent="0.3">
      <c r="A745" s="12"/>
      <c r="B745" s="16"/>
      <c r="C745" s="12"/>
      <c r="D745" s="12"/>
      <c r="F745" s="12"/>
      <c r="G745" s="12"/>
      <c r="H745" s="12"/>
    </row>
    <row r="746" spans="1:8" x14ac:dyDescent="0.3">
      <c r="A746" s="12"/>
      <c r="B746" s="16"/>
      <c r="C746" s="12"/>
      <c r="D746" s="12"/>
      <c r="E746" s="12"/>
      <c r="F746" s="12"/>
      <c r="H746" s="12"/>
    </row>
    <row r="747" spans="1:8" x14ac:dyDescent="0.3">
      <c r="A747" s="12"/>
      <c r="B747" s="16"/>
      <c r="C747" s="12"/>
      <c r="D747" s="12"/>
      <c r="E747" s="12"/>
      <c r="F747" s="12"/>
      <c r="H747" s="12"/>
    </row>
    <row r="748" spans="1:8" x14ac:dyDescent="0.3">
      <c r="A748" s="12"/>
      <c r="B748" s="16"/>
      <c r="C748" s="12"/>
      <c r="D748" s="12"/>
      <c r="E748" s="12"/>
      <c r="F748" s="12"/>
      <c r="H748" s="12"/>
    </row>
    <row r="750" spans="1:8" ht="15.6" x14ac:dyDescent="0.3">
      <c r="A750" s="11"/>
      <c r="B750" s="9"/>
    </row>
    <row r="753" spans="2:2" x14ac:dyDescent="0.3">
      <c r="B753" s="12"/>
    </row>
    <row r="754" spans="2:2" x14ac:dyDescent="0.3">
      <c r="B754" s="12"/>
    </row>
    <row r="755" spans="2:2" x14ac:dyDescent="0.3">
      <c r="B755" s="12"/>
    </row>
    <row r="756" spans="2:2" x14ac:dyDescent="0.3">
      <c r="B756" s="12"/>
    </row>
    <row r="765" spans="2:2" x14ac:dyDescent="0.3">
      <c r="B765" s="2"/>
    </row>
    <row r="769" spans="1:8" x14ac:dyDescent="0.3">
      <c r="B769" s="2"/>
    </row>
    <row r="771" spans="1:8" x14ac:dyDescent="0.3">
      <c r="B771" s="2"/>
    </row>
    <row r="773" spans="1:8" x14ac:dyDescent="0.3">
      <c r="B773" s="6"/>
    </row>
    <row r="775" spans="1:8" ht="15.6" x14ac:dyDescent="0.3">
      <c r="A775" s="11"/>
    </row>
    <row r="777" spans="1:8" x14ac:dyDescent="0.3">
      <c r="A777" s="12"/>
      <c r="B777" s="12"/>
      <c r="C777" s="12"/>
      <c r="D777" s="12"/>
      <c r="E777" s="12"/>
      <c r="F777" s="12"/>
      <c r="G777" s="12"/>
      <c r="H777" s="12"/>
    </row>
    <row r="778" spans="1:8" x14ac:dyDescent="0.3">
      <c r="A778" s="12"/>
      <c r="B778" s="12"/>
      <c r="C778" s="12"/>
      <c r="D778" s="12"/>
      <c r="E778" s="12"/>
      <c r="F778" s="12"/>
      <c r="G778" s="12"/>
      <c r="H778" s="12"/>
    </row>
    <row r="779" spans="1:8" x14ac:dyDescent="0.3">
      <c r="A779" s="12"/>
      <c r="B779" s="16"/>
      <c r="C779" s="12"/>
      <c r="D779" s="12"/>
      <c r="E779" s="12"/>
      <c r="F779" s="12"/>
      <c r="H779" s="12"/>
    </row>
    <row r="780" spans="1:8" x14ac:dyDescent="0.3">
      <c r="A780" s="12"/>
      <c r="B780" s="14"/>
      <c r="C780" s="12"/>
      <c r="D780" s="12"/>
      <c r="E780" s="12"/>
      <c r="F780" s="12"/>
      <c r="H780" s="12"/>
    </row>
    <row r="781" spans="1:8" x14ac:dyDescent="0.3">
      <c r="A781" s="12"/>
      <c r="B781" s="16"/>
      <c r="C781" s="12"/>
      <c r="D781" s="12"/>
      <c r="F781" s="12"/>
      <c r="G781" s="12"/>
      <c r="H781" s="12"/>
    </row>
    <row r="782" spans="1:8" x14ac:dyDescent="0.3">
      <c r="A782" s="12"/>
      <c r="B782" s="16"/>
      <c r="C782" s="12"/>
      <c r="D782" s="12"/>
      <c r="E782" s="12"/>
      <c r="F782" s="12"/>
      <c r="H782" s="12"/>
    </row>
    <row r="783" spans="1:8" x14ac:dyDescent="0.3">
      <c r="A783" s="12"/>
      <c r="B783" s="16"/>
      <c r="C783" s="12"/>
      <c r="D783" s="12"/>
      <c r="E783" s="12"/>
      <c r="F783" s="12"/>
      <c r="H783" s="12"/>
    </row>
    <row r="784" spans="1:8" x14ac:dyDescent="0.3">
      <c r="A784" s="12"/>
      <c r="B784" s="16"/>
      <c r="C784" s="12"/>
      <c r="D784" s="12"/>
      <c r="E784" s="12"/>
      <c r="F784" s="12"/>
      <c r="H784"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topLeftCell="A235" workbookViewId="0">
      <selection activeCell="E265" sqref="E265"/>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gasoline, 4-11kW, EURO-3, 2006</v>
      </c>
    </row>
    <row r="2" spans="1:2" x14ac:dyDescent="0.3">
      <c r="A2" t="s">
        <v>73</v>
      </c>
      <c r="B2" t="s">
        <v>37</v>
      </c>
    </row>
    <row r="3" spans="1:2" x14ac:dyDescent="0.3">
      <c r="A3" t="s">
        <v>87</v>
      </c>
      <c r="B3" t="s">
        <v>712</v>
      </c>
    </row>
    <row r="4" spans="1:2" x14ac:dyDescent="0.3">
      <c r="A4" t="s">
        <v>88</v>
      </c>
      <c r="B4" s="12"/>
    </row>
    <row r="5" spans="1:2" x14ac:dyDescent="0.3">
      <c r="A5" t="s">
        <v>89</v>
      </c>
      <c r="B5" s="12">
        <v>2006</v>
      </c>
    </row>
    <row r="6" spans="1:2" x14ac:dyDescent="0.3">
      <c r="A6" t="s">
        <v>131</v>
      </c>
      <c r="B6" s="12" t="str">
        <f>B3&amp;" - "&amp;B5&amp;" - "&amp;B2</f>
        <v>Motorbike, gasoline, 4-11kW, EURO-3 - 2006 - CH</v>
      </c>
    </row>
    <row r="7" spans="1:2" x14ac:dyDescent="0.3">
      <c r="A7" t="s">
        <v>74</v>
      </c>
      <c r="B7" t="str">
        <f>B3</f>
        <v>Motorbike, gasoline, 4-11kW, EURO-3</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39800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1</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2758</v>
      </c>
    </row>
    <row r="16" spans="1:2" x14ac:dyDescent="0.3">
      <c r="A16" t="s">
        <v>137</v>
      </c>
      <c r="B16" s="2">
        <f>INDEX('vehicles specifications'!$B$3:$CK$86,MATCH(B6,'vehicles specifications'!$A$3:$A$86,0),MATCH("Curb mass [kg]",'vehicles specifications'!$B$2:$CK$2,0))</f>
        <v>122.27169718057486</v>
      </c>
    </row>
    <row r="17" spans="1:8" x14ac:dyDescent="0.3">
      <c r="A17" t="s">
        <v>138</v>
      </c>
      <c r="B17">
        <f>INDEX('vehicles specifications'!$B$3:$CK$86,MATCH(B6,'vehicles specifications'!$A$3:$A$86,0),MATCH("Power [kW]",'vehicles specifications'!$B$2:$CK$2,0))</f>
        <v>9</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s="2">
        <f>INDEX('vehicles specifications'!$B$3:$CK$86,MATCH(B6,'vehicles specifications'!$A$3:$A$86,0),MATCH("Oxydation energy stored [kWh]",'vehicles specifications'!$B$2:$CK$2,0))</f>
        <v>79.5</v>
      </c>
    </row>
    <row r="21" spans="1:8" x14ac:dyDescent="0.3">
      <c r="A21" t="s">
        <v>145</v>
      </c>
      <c r="B21">
        <f>INDEX('vehicles specifications'!$B$3:$CK$86,MATCH(B6,'vehicles specifications'!$A$3:$A$86,0),MATCH("Fuel mass [kg]",'vehicles specifications'!$B$2:$CK$2,0))</f>
        <v>6.75</v>
      </c>
    </row>
    <row r="22" spans="1:8" x14ac:dyDescent="0.3">
      <c r="A22" t="s">
        <v>141</v>
      </c>
      <c r="B22" s="2">
        <f>INDEX('vehicles specifications'!$B$3:$CK$86,MATCH(B6,'vehicles specifications'!$A$3:$A$86,0),MATCH("Range [km]",'vehicles specifications'!$B$2:$CK$2,0))</f>
        <v>278.92555744717635</v>
      </c>
    </row>
    <row r="23" spans="1:8" x14ac:dyDescent="0.3">
      <c r="A23" t="s">
        <v>142</v>
      </c>
      <c r="B23" t="str">
        <f>INDEX('vehicles specifications'!$B$3:$CK$86,MATCH(B6,'vehicles specifications'!$A$3:$A$86,0),MATCH("Emission standard",'vehicles specifications'!$B$2:$CK$2,0))</f>
        <v>EURO-3</v>
      </c>
    </row>
    <row r="24" spans="1:8" x14ac:dyDescent="0.3">
      <c r="A24" t="s">
        <v>144</v>
      </c>
      <c r="B24" s="6">
        <f>INDEX('vehicles specifications'!$B$3:$CK$86,MATCH(B6,'vehicles specifications'!$A$3:$A$86,0),MATCH("Lightweighting rate [%]",'vehicles specifications'!$B$2:$CK$2,0))</f>
        <v>-0.05</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9 kW. Lifetime: 39800 km. Annual kilometers: 2758 km. Number of passengers: 1.1. Curb mass: 122.3 kg. Lightweighting of glider: -5%. Emission standard: EURO-3. Service visits throughout lifetime: 1. Range: 279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Motorbike, gasoline, 4-11kW, EURO-3, 2006</v>
      </c>
      <c r="B31" s="12">
        <v>1</v>
      </c>
      <c r="C31" s="12" t="str">
        <f>B2</f>
        <v>CH</v>
      </c>
      <c r="D31" s="12" t="str">
        <f>B9</f>
        <v>unit</v>
      </c>
      <c r="E31" s="12"/>
      <c r="F31" s="12" t="s">
        <v>85</v>
      </c>
      <c r="G31" s="12" t="s">
        <v>86</v>
      </c>
      <c r="H31" s="12" t="str">
        <f>B3</f>
        <v>Motorbike, gasoline, 4-11kW,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0.7270425217814277</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0.50892976524699929</v>
      </c>
      <c r="C33" s="12" t="str">
        <f>INDEX('ei names mapping'!$B$38:$R$67,MATCH(B3,'ei names mapping'!$A$4:$A$33,0),MATCH(G33,'ei names mapping'!$B$3:$R$3,0))</f>
        <v>RER</v>
      </c>
      <c r="D33" s="12" t="str">
        <f>INDEX('ei names mapping'!$B$104:$R$133,MATCH(B3,'ei names mapping'!$A$104:$A$133,0),MATCH(G33,'ei names mapping'!$B$3:$R$3,0))</f>
        <v>unit</v>
      </c>
      <c r="E33" s="12"/>
      <c r="F33" s="12" t="s">
        <v>91</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1.0125</v>
      </c>
      <c r="C34" s="12" t="str">
        <f>INDEX('ei names mapping'!$B$38:$R$67,MATCH(B3,'ei names mapping'!$A$4:$A$33,0),MATCH(G34,'ei names mapping'!$B$3:$R$3,0))</f>
        <v>RER</v>
      </c>
      <c r="D34" s="12" t="str">
        <f>INDEX('ei names mapping'!$B$104:$R$133,MATCH(B3,'ei names mapping'!$A$104:$A$133,0),MATCH(G34,'ei names mapping'!$B$3:$R$3,0))</f>
        <v>kilogram</v>
      </c>
      <c r="E34" s="12"/>
      <c r="F34" s="12" t="s">
        <v>91</v>
      </c>
      <c r="G34" t="s">
        <v>24</v>
      </c>
      <c r="H34" s="12" t="str">
        <f>INDEX('ei names mapping'!$B$71:$R$100,MATCH(B3,'ei names mapping'!$A$4:$A$33,0),MATCH(G34,'ei names mapping'!$B$3:$R$3,0))</f>
        <v>polyethylene, high density, granulate</v>
      </c>
    </row>
    <row r="35" spans="1:8" s="21" customFormat="1" x14ac:dyDescent="0.3">
      <c r="A35" s="22" t="s">
        <v>468</v>
      </c>
      <c r="B35" s="21">
        <f>(B16/1000)*B27</f>
        <v>122.27169718057486</v>
      </c>
      <c r="C35" s="21" t="s">
        <v>94</v>
      </c>
      <c r="D35" s="21" t="s">
        <v>243</v>
      </c>
      <c r="F35" s="21" t="s">
        <v>91</v>
      </c>
      <c r="H35" s="22" t="s">
        <v>469</v>
      </c>
    </row>
    <row r="36" spans="1:8" s="21" customFormat="1" x14ac:dyDescent="0.3">
      <c r="A36" s="22" t="s">
        <v>467</v>
      </c>
      <c r="B36" s="2">
        <f>(B16/1000)*B26</f>
        <v>1944.1199851711403</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Motorbike, gasoline, 4-11kW, EURO-4, 2016</v>
      </c>
    </row>
    <row r="39" spans="1:8" x14ac:dyDescent="0.3">
      <c r="A39" t="s">
        <v>73</v>
      </c>
      <c r="B39" t="s">
        <v>37</v>
      </c>
    </row>
    <row r="40" spans="1:8" x14ac:dyDescent="0.3">
      <c r="A40" t="s">
        <v>87</v>
      </c>
      <c r="B40" t="s">
        <v>713</v>
      </c>
    </row>
    <row r="41" spans="1:8" x14ac:dyDescent="0.3">
      <c r="A41" t="s">
        <v>88</v>
      </c>
      <c r="B41" s="12"/>
    </row>
    <row r="42" spans="1:8" x14ac:dyDescent="0.3">
      <c r="A42" t="s">
        <v>89</v>
      </c>
      <c r="B42" s="12">
        <v>2016</v>
      </c>
    </row>
    <row r="43" spans="1:8" x14ac:dyDescent="0.3">
      <c r="A43" t="s">
        <v>131</v>
      </c>
      <c r="B43" s="12" t="str">
        <f>B40&amp;" - "&amp;B42&amp;" - "&amp;B39</f>
        <v>Motorbike, gasoline, 4-11kW, EURO-4 - 2016 - CH</v>
      </c>
    </row>
    <row r="44" spans="1:8" x14ac:dyDescent="0.3">
      <c r="A44" t="s">
        <v>74</v>
      </c>
      <c r="B44" t="str">
        <f>B40</f>
        <v>Motorbike, gasoline, 4-11kW, EURO-4</v>
      </c>
    </row>
    <row r="45" spans="1:8" x14ac:dyDescent="0.3">
      <c r="A45" t="s">
        <v>75</v>
      </c>
      <c r="B45" t="s">
        <v>76</v>
      </c>
    </row>
    <row r="46" spans="1:8" x14ac:dyDescent="0.3">
      <c r="A46" t="s">
        <v>77</v>
      </c>
      <c r="B46" t="s">
        <v>77</v>
      </c>
    </row>
    <row r="47" spans="1:8" x14ac:dyDescent="0.3">
      <c r="A47" t="s">
        <v>79</v>
      </c>
      <c r="B47" t="s">
        <v>90</v>
      </c>
    </row>
    <row r="48" spans="1:8" x14ac:dyDescent="0.3">
      <c r="A48" t="s">
        <v>132</v>
      </c>
      <c r="B48">
        <f>INDEX('vehicles specifications'!$B$3:$CK$86,MATCH(B43,'vehicles specifications'!$A$3:$A$86,0),MATCH("Lifetime [km]",'vehicles specifications'!$B$2:$CK$2,0))</f>
        <v>39800</v>
      </c>
    </row>
    <row r="49" spans="1:2" x14ac:dyDescent="0.3">
      <c r="A49" t="s">
        <v>133</v>
      </c>
      <c r="B49">
        <f>INDEX('vehicles specifications'!$B$3:$CK$86,MATCH(B43,'vehicles specifications'!$A$3:$A$86,0),MATCH("Passengers [unit]",'vehicles specifications'!$B$2:$CK$2,0))</f>
        <v>1.1000000000000001</v>
      </c>
    </row>
    <row r="50" spans="1:2" x14ac:dyDescent="0.3">
      <c r="A50" t="s">
        <v>134</v>
      </c>
      <c r="B50">
        <f>INDEX('vehicles specifications'!$B$3:$CK$86,MATCH(B43,'vehicles specifications'!$A$3:$A$86,0),MATCH("Servicing [unit]",'vehicles specifications'!$B$2:$CK$2,0))</f>
        <v>1</v>
      </c>
    </row>
    <row r="51" spans="1:2" x14ac:dyDescent="0.3">
      <c r="A51" t="s">
        <v>135</v>
      </c>
      <c r="B51">
        <f>INDEX('vehicles specifications'!$B$3:$CK$86,MATCH(B43,'vehicles specifications'!$A$3:$A$86,0),MATCH("Energy battery replacement [unit]",'vehicles specifications'!$B$2:$CK$2,0))</f>
        <v>0</v>
      </c>
    </row>
    <row r="52" spans="1:2" x14ac:dyDescent="0.3">
      <c r="A52" t="s">
        <v>136</v>
      </c>
      <c r="B52">
        <f>INDEX('vehicles specifications'!$B$3:$CK$86,MATCH(B43,'vehicles specifications'!$A$3:$A$86,0),MATCH("Annual kilometers [km]",'vehicles specifications'!$B$2:$CK$2,0))</f>
        <v>2758</v>
      </c>
    </row>
    <row r="53" spans="1:2" x14ac:dyDescent="0.3">
      <c r="A53" t="s">
        <v>137</v>
      </c>
      <c r="B53" s="2">
        <f>INDEX('vehicles specifications'!$B$3:$CK$86,MATCH(B43,'vehicles specifications'!$A$3:$A$86,0),MATCH("Curb mass [kg]",'vehicles specifications'!$B$2:$CK$2,0))</f>
        <v>120.308682371765</v>
      </c>
    </row>
    <row r="54" spans="1:2" x14ac:dyDescent="0.3">
      <c r="A54" t="s">
        <v>138</v>
      </c>
      <c r="B54">
        <f>INDEX('vehicles specifications'!$B$3:$CK$86,MATCH(B43,'vehicles specifications'!$A$3:$A$86,0),MATCH("Power [kW]",'vehicles specifications'!$B$2:$CK$2,0))</f>
        <v>9</v>
      </c>
    </row>
    <row r="55" spans="1:2" x14ac:dyDescent="0.3">
      <c r="A55" t="s">
        <v>139</v>
      </c>
      <c r="B55">
        <f>INDEX('vehicles specifications'!$B$3:$CK$86,MATCH(B43,'vehicles specifications'!$A$3:$A$86,0),MATCH("Energy battery mass [kg]",'vehicles specifications'!$B$2:$CK$2,0))</f>
        <v>0</v>
      </c>
    </row>
    <row r="56" spans="1:2" x14ac:dyDescent="0.3">
      <c r="A56" t="s">
        <v>140</v>
      </c>
      <c r="B56">
        <f>INDEX('vehicles specifications'!$B$3:$CK$86,MATCH(B43,'vehicles specifications'!$A$3:$A$86,0),MATCH("Electric energy available [kWh]",'vehicles specifications'!$B$2:$CK$2,0))</f>
        <v>0</v>
      </c>
    </row>
    <row r="57" spans="1:2" x14ac:dyDescent="0.3">
      <c r="A57" t="s">
        <v>143</v>
      </c>
      <c r="B57" s="2">
        <f>INDEX('vehicles specifications'!$B$3:$CK$86,MATCH(B43,'vehicles specifications'!$A$3:$A$86,0),MATCH("Oxydation energy stored [kWh]",'vehicles specifications'!$B$2:$CK$2,0))</f>
        <v>79.5</v>
      </c>
    </row>
    <row r="58" spans="1:2" x14ac:dyDescent="0.3">
      <c r="A58" t="s">
        <v>145</v>
      </c>
      <c r="B58">
        <f>INDEX('vehicles specifications'!$B$3:$CK$86,MATCH(B43,'vehicles specifications'!$A$3:$A$86,0),MATCH("Fuel mass [kg]",'vehicles specifications'!$B$2:$CK$2,0))</f>
        <v>6.75</v>
      </c>
    </row>
    <row r="59" spans="1:2" x14ac:dyDescent="0.3">
      <c r="A59" t="s">
        <v>141</v>
      </c>
      <c r="B59" s="2">
        <f>INDEX('vehicles specifications'!$B$3:$CK$86,MATCH(B43,'vehicles specifications'!$A$3:$A$86,0),MATCH("Range [km]",'vehicles specifications'!$B$2:$CK$2,0))</f>
        <v>281.71481302164813</v>
      </c>
    </row>
    <row r="60" spans="1:2" x14ac:dyDescent="0.3">
      <c r="A60" t="s">
        <v>142</v>
      </c>
      <c r="B60" t="str">
        <f>INDEX('vehicles specifications'!$B$3:$CK$86,MATCH(B43,'vehicles specifications'!$A$3:$A$86,0),MATCH("Emission standard",'vehicles specifications'!$B$2:$CK$2,0))</f>
        <v>EURO-4</v>
      </c>
    </row>
    <row r="61" spans="1:2" x14ac:dyDescent="0.3">
      <c r="A61" t="s">
        <v>144</v>
      </c>
      <c r="B61" s="6">
        <f>INDEX('vehicles specifications'!$B$3:$CK$86,MATCH(B43,'vehicles specifications'!$A$3:$A$86,0),MATCH("Lightweighting rate [%]",'vehicles specifications'!$B$2:$CK$2,0))</f>
        <v>-0.02</v>
      </c>
    </row>
    <row r="62" spans="1:2" s="21" customFormat="1" x14ac:dyDescent="0.3">
      <c r="A62" s="21" t="s">
        <v>513</v>
      </c>
      <c r="B62" s="6" t="s">
        <v>514</v>
      </c>
    </row>
    <row r="63" spans="1:2" s="21" customFormat="1" x14ac:dyDescent="0.3">
      <c r="A63" s="21" t="s">
        <v>515</v>
      </c>
      <c r="B63" s="2">
        <v>15900</v>
      </c>
    </row>
    <row r="64" spans="1:2" s="21" customFormat="1" x14ac:dyDescent="0.3">
      <c r="A64" s="21" t="s">
        <v>516</v>
      </c>
      <c r="B64" s="2">
        <v>1000</v>
      </c>
    </row>
    <row r="65" spans="1:8" s="21" customFormat="1"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9 kW. Lifetime: 39800 km. Annual kilometers: 2758 km. Number of passengers: 1.1. Curb mass: 120.3 kg. Lightweighting of glider: -2%. Emission standard: EURO-4. Service visits throughout lifetime: 1. Range: 282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t="s">
        <v>81</v>
      </c>
      <c r="B67" t="s">
        <v>82</v>
      </c>
      <c r="C67" t="s">
        <v>73</v>
      </c>
      <c r="D67" t="s">
        <v>77</v>
      </c>
      <c r="E67" t="s">
        <v>83</v>
      </c>
      <c r="F67" t="s">
        <v>75</v>
      </c>
      <c r="G67" t="s">
        <v>84</v>
      </c>
      <c r="H67" t="s">
        <v>74</v>
      </c>
    </row>
    <row r="68" spans="1:8" x14ac:dyDescent="0.3">
      <c r="A68" s="12" t="str">
        <f>B38</f>
        <v>Motorbike, gasoline, 4-11kW, EURO-4, 2016</v>
      </c>
      <c r="B68" s="12">
        <v>1</v>
      </c>
      <c r="C68" s="12" t="str">
        <f>B39</f>
        <v>CH</v>
      </c>
      <c r="D68" s="12" t="str">
        <f>B46</f>
        <v>unit</v>
      </c>
      <c r="E68" s="12"/>
      <c r="F68" s="12" t="s">
        <v>85</v>
      </c>
      <c r="G68" s="12" t="s">
        <v>86</v>
      </c>
      <c r="H68" s="12" t="str">
        <f>B40</f>
        <v>Motorbike, gasoline, 4-11kW,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0.7270425217814277</v>
      </c>
      <c r="C69" s="12" t="str">
        <f>INDEX('ei names mapping'!$B$38:$R$67,MATCH(B40,'ei names mapping'!$A$4:$A$33,0),MATCH(G69,'ei names mapping'!$B$3:$R$3,0))</f>
        <v>RER</v>
      </c>
      <c r="D69" s="12" t="str">
        <f>INDEX('ei names mapping'!$B$104:$R$133,MATCH(B40,'ei names mapping'!$A$104:$A$133,0),MATCH(G69,'ei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0.50892976524699929</v>
      </c>
      <c r="C70" s="12" t="str">
        <f>INDEX('ei names mapping'!$B$38:$R$67,MATCH(B40,'ei names mapping'!$A$4:$A$33,0),MATCH(G70,'ei names mapping'!$B$3:$R$3,0))</f>
        <v>RER</v>
      </c>
      <c r="D70" s="12" t="str">
        <f>INDEX('ei names mapping'!$B$104:$R$133,MATCH(B40,'ei names mapping'!$A$104:$A$133,0),MATCH(G70,'ei names mapping'!$B$3:$R$3,0))</f>
        <v>unit</v>
      </c>
      <c r="E70" s="12"/>
      <c r="F70" s="12" t="s">
        <v>91</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1.0125</v>
      </c>
      <c r="C71" s="12" t="str">
        <f>INDEX('ei names mapping'!$B$38:$R$67,MATCH(B40,'ei names mapping'!$A$4:$A$33,0),MATCH(G71,'ei names mapping'!$B$3:$R$3,0))</f>
        <v>RER</v>
      </c>
      <c r="D71" s="12" t="str">
        <f>INDEX('ei names mapping'!$B$104:$R$133,MATCH(B40,'ei names mapping'!$A$104:$A$133,0),MATCH(G71,'ei names mapping'!$B$3:$R$3,0))</f>
        <v>kilogram</v>
      </c>
      <c r="E71" s="12"/>
      <c r="F71" s="12" t="s">
        <v>91</v>
      </c>
      <c r="G71" t="s">
        <v>24</v>
      </c>
      <c r="H71" s="12" t="str">
        <f>INDEX('ei names mapping'!$B$71:$R$100,MATCH(B40,'ei names mapping'!$A$4:$A$33,0),MATCH(G71,'ei names mapping'!$B$3:$R$3,0))</f>
        <v>polyethylene, high density, granulate</v>
      </c>
    </row>
    <row r="72" spans="1:8" s="21" customFormat="1" x14ac:dyDescent="0.3">
      <c r="A72" s="22" t="s">
        <v>468</v>
      </c>
      <c r="B72" s="21">
        <f>(B53/1000)*B64</f>
        <v>120.308682371765</v>
      </c>
      <c r="C72" s="21" t="s">
        <v>94</v>
      </c>
      <c r="D72" s="21" t="s">
        <v>243</v>
      </c>
      <c r="F72" s="21" t="s">
        <v>91</v>
      </c>
      <c r="H72" s="22" t="s">
        <v>469</v>
      </c>
    </row>
    <row r="73" spans="1:8" s="21" customFormat="1" x14ac:dyDescent="0.3">
      <c r="A73" s="22" t="s">
        <v>467</v>
      </c>
      <c r="B73" s="2">
        <f>(B53/1000)*B63</f>
        <v>1912.9080497110635</v>
      </c>
      <c r="C73" s="21" t="s">
        <v>98</v>
      </c>
      <c r="D73" s="21" t="s">
        <v>243</v>
      </c>
      <c r="F73" s="21" t="s">
        <v>91</v>
      </c>
      <c r="H73" s="22" t="s">
        <v>467</v>
      </c>
    </row>
    <row r="75" spans="1:8" ht="15.6" x14ac:dyDescent="0.3">
      <c r="A75" s="11" t="s">
        <v>72</v>
      </c>
      <c r="B75" s="9" t="str">
        <f>B77&amp;", "&amp;B79</f>
        <v>Motorbike, gasoline, 4-11kW, EURO-5, 2020</v>
      </c>
    </row>
    <row r="76" spans="1:8" x14ac:dyDescent="0.3">
      <c r="A76" t="s">
        <v>73</v>
      </c>
      <c r="B76" t="s">
        <v>37</v>
      </c>
    </row>
    <row r="77" spans="1:8" x14ac:dyDescent="0.3">
      <c r="A77" t="s">
        <v>87</v>
      </c>
      <c r="B77" t="s">
        <v>714</v>
      </c>
    </row>
    <row r="78" spans="1:8" x14ac:dyDescent="0.3">
      <c r="A78" t="s">
        <v>88</v>
      </c>
      <c r="B78" s="12"/>
    </row>
    <row r="79" spans="1:8" x14ac:dyDescent="0.3">
      <c r="A79" t="s">
        <v>89</v>
      </c>
      <c r="B79" s="12">
        <v>2020</v>
      </c>
    </row>
    <row r="80" spans="1:8" x14ac:dyDescent="0.3">
      <c r="A80" t="s">
        <v>131</v>
      </c>
      <c r="B80" s="12" t="str">
        <f>B77&amp;" - "&amp;B79&amp;" - "&amp;B76</f>
        <v>Motorbike, gasoline, 4-11kW, EURO-5 - 2020 - CH</v>
      </c>
    </row>
    <row r="81" spans="1:2" x14ac:dyDescent="0.3">
      <c r="A81" t="s">
        <v>74</v>
      </c>
      <c r="B81" t="str">
        <f>B77</f>
        <v>Motorbike, gasoline, 4-11kW, EURO-5</v>
      </c>
    </row>
    <row r="82" spans="1:2" x14ac:dyDescent="0.3">
      <c r="A82" t="s">
        <v>75</v>
      </c>
      <c r="B82" t="s">
        <v>76</v>
      </c>
    </row>
    <row r="83" spans="1:2" x14ac:dyDescent="0.3">
      <c r="A83" t="s">
        <v>77</v>
      </c>
      <c r="B83" t="s">
        <v>77</v>
      </c>
    </row>
    <row r="84" spans="1:2" x14ac:dyDescent="0.3">
      <c r="A84" t="s">
        <v>79</v>
      </c>
      <c r="B84" t="s">
        <v>90</v>
      </c>
    </row>
    <row r="85" spans="1:2" x14ac:dyDescent="0.3">
      <c r="A85" t="s">
        <v>132</v>
      </c>
      <c r="B85">
        <f>INDEX('vehicles specifications'!$B$3:$CK$86,MATCH(B80,'vehicles specifications'!$A$3:$A$86,0),MATCH("Lifetime [km]",'vehicles specifications'!$B$2:$CK$2,0))</f>
        <v>39800</v>
      </c>
    </row>
    <row r="86" spans="1:2" x14ac:dyDescent="0.3">
      <c r="A86" t="s">
        <v>133</v>
      </c>
      <c r="B86">
        <f>INDEX('vehicles specifications'!$B$3:$CK$86,MATCH(B80,'vehicles specifications'!$A$3:$A$86,0),MATCH("Passengers [unit]",'vehicles specifications'!$B$2:$CK$2,0))</f>
        <v>1.1000000000000001</v>
      </c>
    </row>
    <row r="87" spans="1:2" x14ac:dyDescent="0.3">
      <c r="A87" t="s">
        <v>134</v>
      </c>
      <c r="B87">
        <f>INDEX('vehicles specifications'!$B$3:$CK$86,MATCH(B80,'vehicles specifications'!$A$3:$A$86,0),MATCH("Servicing [unit]",'vehicles specifications'!$B$2:$CK$2,0))</f>
        <v>1</v>
      </c>
    </row>
    <row r="88" spans="1:2" x14ac:dyDescent="0.3">
      <c r="A88" t="s">
        <v>135</v>
      </c>
      <c r="B88">
        <f>INDEX('vehicles specifications'!$B$3:$CK$86,MATCH(B80,'vehicles specifications'!$A$3:$A$86,0),MATCH("Energy battery replacement [unit]",'vehicles specifications'!$B$2:$CK$2,0))</f>
        <v>0</v>
      </c>
    </row>
    <row r="89" spans="1:2" x14ac:dyDescent="0.3">
      <c r="A89" t="s">
        <v>136</v>
      </c>
      <c r="B89">
        <f>INDEX('vehicles specifications'!$B$3:$CK$86,MATCH(B80,'vehicles specifications'!$A$3:$A$86,0),MATCH("Annual kilometers [km]",'vehicles specifications'!$B$2:$CK$2,0))</f>
        <v>2758</v>
      </c>
    </row>
    <row r="90" spans="1:2" x14ac:dyDescent="0.3">
      <c r="A90" t="s">
        <v>137</v>
      </c>
      <c r="B90" s="2">
        <f>INDEX('vehicles specifications'!$B$3:$CK$86,MATCH(B80,'vehicles specifications'!$A$3:$A$86,0),MATCH("Curb mass [kg]",'vehicles specifications'!$B$2:$CK$2,0))</f>
        <v>119.00000583255843</v>
      </c>
    </row>
    <row r="91" spans="1:2" x14ac:dyDescent="0.3">
      <c r="A91" t="s">
        <v>138</v>
      </c>
      <c r="B91">
        <f>INDEX('vehicles specifications'!$B$3:$CK$86,MATCH(B80,'vehicles specifications'!$A$3:$A$86,0),MATCH("Power [kW]",'vehicles specifications'!$B$2:$CK$2,0))</f>
        <v>9</v>
      </c>
    </row>
    <row r="92" spans="1:2" x14ac:dyDescent="0.3">
      <c r="A92" t="s">
        <v>139</v>
      </c>
      <c r="B92">
        <f>INDEX('vehicles specifications'!$B$3:$CK$86,MATCH(B80,'vehicles specifications'!$A$3:$A$86,0),MATCH("Energy battery mass [kg]",'vehicles specifications'!$B$2:$CK$2,0))</f>
        <v>0</v>
      </c>
    </row>
    <row r="93" spans="1:2" x14ac:dyDescent="0.3">
      <c r="A93" t="s">
        <v>140</v>
      </c>
      <c r="B93">
        <f>INDEX('vehicles specifications'!$B$3:$CK$86,MATCH(B80,'vehicles specifications'!$A$3:$A$86,0),MATCH("Electric energy available [kWh]",'vehicles specifications'!$B$2:$CK$2,0))</f>
        <v>0</v>
      </c>
    </row>
    <row r="94" spans="1:2" x14ac:dyDescent="0.3">
      <c r="A94" t="s">
        <v>143</v>
      </c>
      <c r="B94" s="2">
        <f>INDEX('vehicles specifications'!$B$3:$CK$86,MATCH(B80,'vehicles specifications'!$A$3:$A$86,0),MATCH("Oxydation energy stored [kWh]",'vehicles specifications'!$B$2:$CK$2,0))</f>
        <v>79.5</v>
      </c>
    </row>
    <row r="95" spans="1:2" x14ac:dyDescent="0.3">
      <c r="A95" t="s">
        <v>145</v>
      </c>
      <c r="B95">
        <f>INDEX('vehicles specifications'!$B$3:$CK$86,MATCH(B80,'vehicles specifications'!$A$3:$A$86,0),MATCH("Fuel mass [kg]",'vehicles specifications'!$B$2:$CK$2,0))</f>
        <v>6.75</v>
      </c>
    </row>
    <row r="96" spans="1:2" x14ac:dyDescent="0.3">
      <c r="A96" t="s">
        <v>141</v>
      </c>
      <c r="B96" s="2">
        <f>INDEX('vehicles specifications'!$B$3:$CK$86,MATCH(B80,'vehicles specifications'!$A$3:$A$86,0),MATCH("Range [km]",'vehicles specifications'!$B$2:$CK$2,0))</f>
        <v>284.56041719358399</v>
      </c>
    </row>
    <row r="97" spans="1:8" x14ac:dyDescent="0.3">
      <c r="A97" t="s">
        <v>142</v>
      </c>
      <c r="B97" t="str">
        <f>INDEX('vehicles specifications'!$B$3:$CK$86,MATCH(B80,'vehicles specifications'!$A$3:$A$86,0),MATCH("Emission standard",'vehicles specifications'!$B$2:$CK$2,0))</f>
        <v>EURO-5</v>
      </c>
    </row>
    <row r="98" spans="1:8" x14ac:dyDescent="0.3">
      <c r="A98" t="s">
        <v>144</v>
      </c>
      <c r="B98" s="6">
        <f>INDEX('vehicles specifications'!$B$3:$CK$86,MATCH(B80,'vehicles specifications'!$A$3:$A$86,0),MATCH("Lightweighting rate [%]",'vehicles specifications'!$B$2:$CK$2,0))</f>
        <v>0</v>
      </c>
    </row>
    <row r="99" spans="1:8" s="21" customFormat="1" x14ac:dyDescent="0.3">
      <c r="A99" s="21" t="s">
        <v>513</v>
      </c>
      <c r="B99" s="6" t="s">
        <v>514</v>
      </c>
    </row>
    <row r="100" spans="1:8" s="21" customFormat="1" x14ac:dyDescent="0.3">
      <c r="A100" s="21" t="s">
        <v>515</v>
      </c>
      <c r="B100" s="2">
        <v>15900</v>
      </c>
    </row>
    <row r="101" spans="1:8" s="21" customFormat="1" x14ac:dyDescent="0.3">
      <c r="A101" s="21" t="s">
        <v>516</v>
      </c>
      <c r="B101" s="2">
        <v>1000</v>
      </c>
    </row>
    <row r="102" spans="1:8" s="21" customFormat="1"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9 kW. Lifetime: 39800 km. Annual kilometers: 2758 km. Number of passengers: 1.1. Curb mass: 119 kg. Lightweighting of glider: 0%. Emission standard: EURO-5. Service visits throughout lifetime: 1. Range: 285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t="s">
        <v>81</v>
      </c>
      <c r="B104" t="s">
        <v>82</v>
      </c>
      <c r="C104" t="s">
        <v>73</v>
      </c>
      <c r="D104" t="s">
        <v>77</v>
      </c>
      <c r="E104" t="s">
        <v>83</v>
      </c>
      <c r="F104" t="s">
        <v>75</v>
      </c>
      <c r="G104" t="s">
        <v>84</v>
      </c>
      <c r="H104" t="s">
        <v>74</v>
      </c>
    </row>
    <row r="105" spans="1:8" x14ac:dyDescent="0.3">
      <c r="A105" s="12" t="str">
        <f>B75</f>
        <v>Motorbike, gasoline, 4-11kW, EURO-5, 2020</v>
      </c>
      <c r="B105" s="12">
        <v>1</v>
      </c>
      <c r="C105" s="12" t="str">
        <f>B76</f>
        <v>CH</v>
      </c>
      <c r="D105" s="12" t="str">
        <f>B83</f>
        <v>unit</v>
      </c>
      <c r="E105" s="12"/>
      <c r="F105" s="12" t="s">
        <v>85</v>
      </c>
      <c r="G105" s="12" t="s">
        <v>86</v>
      </c>
      <c r="H105" s="12" t="str">
        <f>B77</f>
        <v>Motorbike, gasoline, 4-11kW,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0.7270425217814277</v>
      </c>
      <c r="C106" s="12" t="str">
        <f>INDEX('ei names mapping'!$B$38:$R$67,MATCH(B77,'ei names mapping'!$A$4:$A$33,0),MATCH(G106,'ei names mapping'!$B$3:$R$3,0))</f>
        <v>RER</v>
      </c>
      <c r="D106" s="12" t="str">
        <f>INDEX('ei names mapping'!$B$104:$R$133,MATCH(B77,'ei names mapping'!$A$104:$A$133,0),MATCH(G106,'ei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0.50892976524699929</v>
      </c>
      <c r="C107" s="12" t="str">
        <f>INDEX('ei names mapping'!$B$38:$R$67,MATCH(B77,'ei names mapping'!$A$4:$A$33,0),MATCH(G107,'ei names mapping'!$B$3:$R$3,0))</f>
        <v>RER</v>
      </c>
      <c r="D107" s="12" t="str">
        <f>INDEX('ei names mapping'!$B$104:$R$133,MATCH(B77,'ei names mapping'!$A$104:$A$133,0),MATCH(G107,'ei names mapping'!$B$3:$R$3,0))</f>
        <v>unit</v>
      </c>
      <c r="E107" s="12"/>
      <c r="F107" s="12" t="s">
        <v>91</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mapping'!$A$104:$A$133,0),MATCH(G108,'ei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1.0125</v>
      </c>
      <c r="C109" s="12" t="str">
        <f>INDEX('ei names mapping'!$B$38:$R$67,MATCH(B77,'ei names mapping'!$A$4:$A$33,0),MATCH(G109,'ei names mapping'!$B$3:$R$3,0))</f>
        <v>RER</v>
      </c>
      <c r="D109" s="12" t="str">
        <f>INDEX('ei names mapping'!$B$104:$R$133,MATCH(B77,'ei names mapping'!$A$104:$A$133,0),MATCH(G109,'ei names mapping'!$B$3:$R$3,0))</f>
        <v>kilogram</v>
      </c>
      <c r="E109" s="12"/>
      <c r="F109" s="12" t="s">
        <v>91</v>
      </c>
      <c r="G109" t="s">
        <v>24</v>
      </c>
      <c r="H109" s="12" t="str">
        <f>INDEX('ei names mapping'!$B$71:$R$100,MATCH(B77,'ei names mapping'!$A$4:$A$33,0),MATCH(G109,'ei names mapping'!$B$3:$R$3,0))</f>
        <v>polyethylene, high density, granulate</v>
      </c>
    </row>
    <row r="110" spans="1:8" s="21" customFormat="1" x14ac:dyDescent="0.3">
      <c r="A110" s="22" t="s">
        <v>468</v>
      </c>
      <c r="B110" s="21">
        <f>(B90/1000)*B101</f>
        <v>119.00000583255843</v>
      </c>
      <c r="C110" s="21" t="s">
        <v>94</v>
      </c>
      <c r="D110" s="21" t="s">
        <v>243</v>
      </c>
      <c r="F110" s="21" t="s">
        <v>91</v>
      </c>
      <c r="H110" s="22" t="s">
        <v>469</v>
      </c>
    </row>
    <row r="111" spans="1:8" s="21" customFormat="1" x14ac:dyDescent="0.3">
      <c r="A111" s="22" t="s">
        <v>467</v>
      </c>
      <c r="B111" s="2">
        <f>(B90/1000)*B100</f>
        <v>1892.100092737679</v>
      </c>
      <c r="C111" s="21" t="s">
        <v>98</v>
      </c>
      <c r="D111" s="21" t="s">
        <v>243</v>
      </c>
      <c r="F111" s="21" t="s">
        <v>91</v>
      </c>
      <c r="H111" s="22" t="s">
        <v>467</v>
      </c>
    </row>
    <row r="113" spans="1:2" ht="15.6" x14ac:dyDescent="0.3">
      <c r="A113" s="11" t="s">
        <v>72</v>
      </c>
      <c r="B113" s="9" t="str">
        <f>B115&amp;", "&amp;B117</f>
        <v>Motorbike, gasoline, 4-11kW, EURO-5, 2030</v>
      </c>
    </row>
    <row r="114" spans="1:2" x14ac:dyDescent="0.3">
      <c r="A114" t="s">
        <v>73</v>
      </c>
      <c r="B114" t="s">
        <v>37</v>
      </c>
    </row>
    <row r="115" spans="1:2" x14ac:dyDescent="0.3">
      <c r="A115" t="s">
        <v>87</v>
      </c>
      <c r="B115" t="s">
        <v>714</v>
      </c>
    </row>
    <row r="116" spans="1:2" x14ac:dyDescent="0.3">
      <c r="A116" t="s">
        <v>88</v>
      </c>
      <c r="B116" s="12"/>
    </row>
    <row r="117" spans="1:2" x14ac:dyDescent="0.3">
      <c r="A117" t="s">
        <v>89</v>
      </c>
      <c r="B117" s="12">
        <v>2030</v>
      </c>
    </row>
    <row r="118" spans="1:2" x14ac:dyDescent="0.3">
      <c r="A118" t="s">
        <v>131</v>
      </c>
      <c r="B118" s="12" t="str">
        <f>B115&amp;" - "&amp;B117&amp;" - "&amp;B114</f>
        <v>Motorbike, gasoline, 4-11kW, EURO-5 - 2030 - CH</v>
      </c>
    </row>
    <row r="119" spans="1:2" x14ac:dyDescent="0.3">
      <c r="A119" t="s">
        <v>74</v>
      </c>
      <c r="B119" t="str">
        <f>B115</f>
        <v>Motorbike, gasoline, 4-11kW, EURO-5</v>
      </c>
    </row>
    <row r="120" spans="1:2" x14ac:dyDescent="0.3">
      <c r="A120" t="s">
        <v>75</v>
      </c>
      <c r="B120" t="s">
        <v>76</v>
      </c>
    </row>
    <row r="121" spans="1:2" x14ac:dyDescent="0.3">
      <c r="A121" t="s">
        <v>77</v>
      </c>
      <c r="B121" t="s">
        <v>77</v>
      </c>
    </row>
    <row r="122" spans="1:2" x14ac:dyDescent="0.3">
      <c r="A122" t="s">
        <v>79</v>
      </c>
      <c r="B122" t="s">
        <v>90</v>
      </c>
    </row>
    <row r="123" spans="1:2" x14ac:dyDescent="0.3">
      <c r="A123" t="s">
        <v>132</v>
      </c>
      <c r="B123">
        <f>INDEX('vehicles specifications'!$B$3:$CK$86,MATCH(B118,'vehicles specifications'!$A$3:$A$86,0),MATCH("Lifetime [km]",'vehicles specifications'!$B$2:$CK$2,0))</f>
        <v>39800</v>
      </c>
    </row>
    <row r="124" spans="1:2" x14ac:dyDescent="0.3">
      <c r="A124" t="s">
        <v>133</v>
      </c>
      <c r="B124">
        <f>INDEX('vehicles specifications'!$B$3:$CK$86,MATCH(B118,'vehicles specifications'!$A$3:$A$86,0),MATCH("Passengers [unit]",'vehicles specifications'!$B$2:$CK$2,0))</f>
        <v>1.1000000000000001</v>
      </c>
    </row>
    <row r="125" spans="1:2" x14ac:dyDescent="0.3">
      <c r="A125" t="s">
        <v>134</v>
      </c>
      <c r="B125">
        <f>INDEX('vehicles specifications'!$B$3:$CK$86,MATCH(B118,'vehicles specifications'!$A$3:$A$86,0),MATCH("Servicing [unit]",'vehicles specifications'!$B$2:$CK$2,0))</f>
        <v>1</v>
      </c>
    </row>
    <row r="126" spans="1:2" x14ac:dyDescent="0.3">
      <c r="A126" t="s">
        <v>135</v>
      </c>
      <c r="B126">
        <f>INDEX('vehicles specifications'!$B$3:$CK$86,MATCH(B118,'vehicles specifications'!$A$3:$A$86,0),MATCH("Energy battery replacement [unit]",'vehicles specifications'!$B$2:$CK$2,0))</f>
        <v>0</v>
      </c>
    </row>
    <row r="127" spans="1:2" x14ac:dyDescent="0.3">
      <c r="A127" t="s">
        <v>136</v>
      </c>
      <c r="B127">
        <f>INDEX('vehicles specifications'!$B$3:$CK$86,MATCH(B118,'vehicles specifications'!$A$3:$A$86,0),MATCH("Annual kilometers [km]",'vehicles specifications'!$B$2:$CK$2,0))</f>
        <v>2758</v>
      </c>
    </row>
    <row r="128" spans="1:2" x14ac:dyDescent="0.3">
      <c r="A128" t="s">
        <v>137</v>
      </c>
      <c r="B128" s="2">
        <f>INDEX('vehicles specifications'!$B$3:$CK$86,MATCH(B118,'vehicles specifications'!$A$3:$A$86,0),MATCH("Curb mass [kg]",'vehicles specifications'!$B$2:$CK$2,0))</f>
        <v>117.03699102374857</v>
      </c>
    </row>
    <row r="129" spans="1:8" x14ac:dyDescent="0.3">
      <c r="A129" t="s">
        <v>138</v>
      </c>
      <c r="B129">
        <f>INDEX('vehicles specifications'!$B$3:$CK$86,MATCH(B118,'vehicles specifications'!$A$3:$A$86,0),MATCH("Power [kW]",'vehicles specifications'!$B$2:$CK$2,0))</f>
        <v>9</v>
      </c>
    </row>
    <row r="130" spans="1:8" x14ac:dyDescent="0.3">
      <c r="A130" t="s">
        <v>139</v>
      </c>
      <c r="B130">
        <f>INDEX('vehicles specifications'!$B$3:$CK$86,MATCH(B118,'vehicles specifications'!$A$3:$A$86,0),MATCH("Energy battery mass [kg]",'vehicles specifications'!$B$2:$CK$2,0))</f>
        <v>0</v>
      </c>
    </row>
    <row r="131" spans="1:8" x14ac:dyDescent="0.3">
      <c r="A131" t="s">
        <v>140</v>
      </c>
      <c r="B131">
        <f>INDEX('vehicles specifications'!$B$3:$CK$86,MATCH(B118,'vehicles specifications'!$A$3:$A$86,0),MATCH("Electric energy available [kWh]",'vehicles specifications'!$B$2:$CK$2,0))</f>
        <v>0</v>
      </c>
    </row>
    <row r="132" spans="1:8" x14ac:dyDescent="0.3">
      <c r="A132" t="s">
        <v>143</v>
      </c>
      <c r="B132" s="2">
        <f>INDEX('vehicles specifications'!$B$3:$CK$86,MATCH(B118,'vehicles specifications'!$A$3:$A$86,0),MATCH("Oxydation energy stored [kWh]",'vehicles specifications'!$B$2:$CK$2,0))</f>
        <v>79.5</v>
      </c>
    </row>
    <row r="133" spans="1:8" x14ac:dyDescent="0.3">
      <c r="A133" t="s">
        <v>145</v>
      </c>
      <c r="B133">
        <f>INDEX('vehicles specifications'!$B$3:$CK$86,MATCH(B118,'vehicles specifications'!$A$3:$A$86,0),MATCH("Fuel mass [kg]",'vehicles specifications'!$B$2:$CK$2,0))</f>
        <v>6.75</v>
      </c>
    </row>
    <row r="134" spans="1:8" x14ac:dyDescent="0.3">
      <c r="A134" t="s">
        <v>141</v>
      </c>
      <c r="B134" s="2">
        <f>INDEX('vehicles specifications'!$B$3:$CK$86,MATCH(B118,'vehicles specifications'!$A$3:$A$86,0),MATCH("Range [km]",'vehicles specifications'!$B$2:$CK$2,0))</f>
        <v>287.43476484200397</v>
      </c>
    </row>
    <row r="135" spans="1:8" x14ac:dyDescent="0.3">
      <c r="A135" t="s">
        <v>142</v>
      </c>
      <c r="B135" t="str">
        <f>INDEX('vehicles specifications'!$B$3:$CK$86,MATCH(B118,'vehicles specifications'!$A$3:$A$86,0),MATCH("Emission standard",'vehicles specifications'!$B$2:$CK$2,0))</f>
        <v>EURO-5</v>
      </c>
    </row>
    <row r="136" spans="1:8" x14ac:dyDescent="0.3">
      <c r="A136" t="s">
        <v>144</v>
      </c>
      <c r="B136" s="6">
        <f>INDEX('vehicles specifications'!$B$3:$CK$86,MATCH(B118,'vehicles specifications'!$A$3:$A$86,0),MATCH("Lightweighting rate [%]",'vehicles specifications'!$B$2:$CK$2,0))</f>
        <v>0.03</v>
      </c>
    </row>
    <row r="137" spans="1:8" s="21" customFormat="1" x14ac:dyDescent="0.3">
      <c r="A137" s="21" t="s">
        <v>513</v>
      </c>
      <c r="B137" s="6" t="s">
        <v>514</v>
      </c>
    </row>
    <row r="138" spans="1:8" s="21" customFormat="1" x14ac:dyDescent="0.3">
      <c r="A138" s="21" t="s">
        <v>515</v>
      </c>
      <c r="B138" s="2">
        <v>15900</v>
      </c>
    </row>
    <row r="139" spans="1:8" s="21" customFormat="1" x14ac:dyDescent="0.3">
      <c r="A139" s="21" t="s">
        <v>516</v>
      </c>
      <c r="B139" s="2">
        <v>1000</v>
      </c>
    </row>
    <row r="140" spans="1:8" s="21" customFormat="1"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9 kW. Lifetime: 39800 km. Annual kilometers: 2758 km. Number of passengers: 1.1. Curb mass: 117 kg. Lightweighting of glider: 3%. Emission standard: EURO-5. Service visits throughout lifetime: 1. Range: 287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t="s">
        <v>81</v>
      </c>
      <c r="B142" t="s">
        <v>82</v>
      </c>
      <c r="C142" t="s">
        <v>73</v>
      </c>
      <c r="D142" t="s">
        <v>77</v>
      </c>
      <c r="E142" t="s">
        <v>83</v>
      </c>
      <c r="F142" t="s">
        <v>75</v>
      </c>
      <c r="G142" t="s">
        <v>84</v>
      </c>
      <c r="H142" t="s">
        <v>74</v>
      </c>
    </row>
    <row r="143" spans="1:8" x14ac:dyDescent="0.3">
      <c r="A143" s="12" t="str">
        <f>B113</f>
        <v>Motorbike, gasoline, 4-11kW, EURO-5, 2030</v>
      </c>
      <c r="B143" s="12">
        <v>1</v>
      </c>
      <c r="C143" s="12" t="str">
        <f>B114</f>
        <v>CH</v>
      </c>
      <c r="D143" s="12" t="str">
        <f>B121</f>
        <v>unit</v>
      </c>
      <c r="E143" s="12"/>
      <c r="F143" s="12" t="s">
        <v>85</v>
      </c>
      <c r="G143" s="12" t="s">
        <v>86</v>
      </c>
      <c r="H143" s="12" t="str">
        <f>B115</f>
        <v>Motorbike, gasoline, 4-11kW,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0.7270425217814277</v>
      </c>
      <c r="C144" s="12" t="str">
        <f>INDEX('ei names mapping'!$B$38:$R$67,MATCH(B115,'ei names mapping'!$A$4:$A$33,0),MATCH(G144,'ei names mapping'!$B$3:$R$3,0))</f>
        <v>RER</v>
      </c>
      <c r="D144" s="12" t="str">
        <f>INDEX('ei names mapping'!$B$104:$R$133,MATCH(B115,'ei names mapping'!$A$104:$A$133,0),MATCH(G144,'ei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0.50892976524699929</v>
      </c>
      <c r="C145" s="12" t="str">
        <f>INDEX('ei names mapping'!$B$38:$R$67,MATCH(B115,'ei names mapping'!$A$4:$A$33,0),MATCH(G145,'ei names mapping'!$B$3:$R$3,0))</f>
        <v>RER</v>
      </c>
      <c r="D145" s="12" t="str">
        <f>INDEX('ei names mapping'!$B$104:$R$133,MATCH(B115,'ei names mapping'!$A$104:$A$133,0),MATCH(G145,'ei names mapping'!$B$3:$R$3,0))</f>
        <v>unit</v>
      </c>
      <c r="E145" s="12"/>
      <c r="F145" s="12" t="s">
        <v>91</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1.9630148088098547</v>
      </c>
      <c r="C146" s="12" t="str">
        <f>INDEX('ei names mapping'!$B$38:$R$67,MATCH(B115,'ei names mapping'!$A$4:$A$33,0),MATCH(G146,'ei names mapping'!$B$3:$R$3,0))</f>
        <v>GLO</v>
      </c>
      <c r="D146" s="12" t="str">
        <f>INDEX('ei names mapping'!$B$104:$R$133,MATCH(B115,'ei names mapping'!$A$104:$A$133,0),MATCH(G146,'ei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1.0125</v>
      </c>
      <c r="C147" s="12" t="str">
        <f>INDEX('ei names mapping'!$B$38:$R$67,MATCH(B115,'ei names mapping'!$A$4:$A$33,0),MATCH(G147,'ei names mapping'!$B$3:$R$3,0))</f>
        <v>RER</v>
      </c>
      <c r="D147" s="12" t="str">
        <f>INDEX('ei names mapping'!$B$104:$R$133,MATCH(B115,'ei names mapping'!$A$104:$A$133,0),MATCH(G147,'ei names mapping'!$B$3:$R$3,0))</f>
        <v>kilogram</v>
      </c>
      <c r="E147" s="12"/>
      <c r="F147" s="12" t="s">
        <v>91</v>
      </c>
      <c r="G147" t="s">
        <v>24</v>
      </c>
      <c r="H147" s="12" t="str">
        <f>INDEX('ei names mapping'!$B$71:$R$100,MATCH(B115,'ei names mapping'!$A$4:$A$33,0),MATCH(G147,'ei names mapping'!$B$3:$R$3,0))</f>
        <v>polyethylene, high density, granulate</v>
      </c>
    </row>
    <row r="148" spans="1:8" s="21" customFormat="1" x14ac:dyDescent="0.3">
      <c r="A148" s="22" t="s">
        <v>468</v>
      </c>
      <c r="B148" s="21">
        <f>(B128/1000)*B139</f>
        <v>117.03699102374857</v>
      </c>
      <c r="C148" s="21" t="s">
        <v>94</v>
      </c>
      <c r="D148" s="21" t="s">
        <v>243</v>
      </c>
      <c r="F148" s="21" t="s">
        <v>91</v>
      </c>
      <c r="H148" s="22" t="s">
        <v>469</v>
      </c>
    </row>
    <row r="149" spans="1:8" s="21" customFormat="1" x14ac:dyDescent="0.3">
      <c r="A149" s="22" t="s">
        <v>467</v>
      </c>
      <c r="B149" s="2">
        <f>(B128/1000)*B138</f>
        <v>1860.8881572776022</v>
      </c>
      <c r="C149" s="21" t="s">
        <v>98</v>
      </c>
      <c r="D149" s="21" t="s">
        <v>243</v>
      </c>
      <c r="F149" s="21" t="s">
        <v>91</v>
      </c>
      <c r="H149" s="22" t="s">
        <v>467</v>
      </c>
    </row>
    <row r="151" spans="1:8" ht="15.6" x14ac:dyDescent="0.3">
      <c r="A151" s="11" t="s">
        <v>72</v>
      </c>
      <c r="B151" s="9" t="str">
        <f>B153&amp;", "&amp;B155</f>
        <v>Motorbike, gasoline, 4-11kW, EURO-5, 2040</v>
      </c>
    </row>
    <row r="152" spans="1:8" x14ac:dyDescent="0.3">
      <c r="A152" t="s">
        <v>73</v>
      </c>
      <c r="B152" t="s">
        <v>37</v>
      </c>
    </row>
    <row r="153" spans="1:8" x14ac:dyDescent="0.3">
      <c r="A153" t="s">
        <v>87</v>
      </c>
      <c r="B153" t="s">
        <v>714</v>
      </c>
    </row>
    <row r="154" spans="1:8" x14ac:dyDescent="0.3">
      <c r="A154" t="s">
        <v>88</v>
      </c>
      <c r="B154" s="12"/>
    </row>
    <row r="155" spans="1:8" x14ac:dyDescent="0.3">
      <c r="A155" t="s">
        <v>89</v>
      </c>
      <c r="B155" s="12">
        <v>2040</v>
      </c>
    </row>
    <row r="156" spans="1:8" x14ac:dyDescent="0.3">
      <c r="A156" t="s">
        <v>131</v>
      </c>
      <c r="B156" s="12" t="str">
        <f>B153&amp;" - "&amp;B155&amp;" - "&amp;B152</f>
        <v>Motorbike, gasoline, 4-11kW, EURO-5 - 2040 - CH</v>
      </c>
    </row>
    <row r="157" spans="1:8" x14ac:dyDescent="0.3">
      <c r="A157" t="s">
        <v>74</v>
      </c>
      <c r="B157" t="str">
        <f>B153</f>
        <v>Motorbike, gasoline, 4-11kW, EURO-5</v>
      </c>
    </row>
    <row r="158" spans="1:8" x14ac:dyDescent="0.3">
      <c r="A158" t="s">
        <v>75</v>
      </c>
      <c r="B158" t="s">
        <v>76</v>
      </c>
    </row>
    <row r="159" spans="1:8" x14ac:dyDescent="0.3">
      <c r="A159" t="s">
        <v>77</v>
      </c>
      <c r="B159" t="s">
        <v>77</v>
      </c>
    </row>
    <row r="160" spans="1:8" x14ac:dyDescent="0.3">
      <c r="A160" t="s">
        <v>79</v>
      </c>
      <c r="B160" t="s">
        <v>90</v>
      </c>
    </row>
    <row r="161" spans="1:2" x14ac:dyDescent="0.3">
      <c r="A161" t="s">
        <v>132</v>
      </c>
      <c r="B161">
        <f>INDEX('vehicles specifications'!$B$3:$CK$86,MATCH(B156,'vehicles specifications'!$A$3:$A$86,0),MATCH("Lifetime [km]",'vehicles specifications'!$B$2:$CK$2,0))</f>
        <v>39800</v>
      </c>
    </row>
    <row r="162" spans="1:2" x14ac:dyDescent="0.3">
      <c r="A162" t="s">
        <v>133</v>
      </c>
      <c r="B162">
        <f>INDEX('vehicles specifications'!$B$3:$CK$86,MATCH(B156,'vehicles specifications'!$A$3:$A$86,0),MATCH("Passengers [unit]",'vehicles specifications'!$B$2:$CK$2,0))</f>
        <v>1.1000000000000001</v>
      </c>
    </row>
    <row r="163" spans="1:2" x14ac:dyDescent="0.3">
      <c r="A163" t="s">
        <v>134</v>
      </c>
      <c r="B163">
        <f>INDEX('vehicles specifications'!$B$3:$CK$86,MATCH(B156,'vehicles specifications'!$A$3:$A$86,0),MATCH("Servicing [unit]",'vehicles specifications'!$B$2:$CK$2,0))</f>
        <v>1</v>
      </c>
    </row>
    <row r="164" spans="1:2" x14ac:dyDescent="0.3">
      <c r="A164" t="s">
        <v>135</v>
      </c>
      <c r="B164">
        <f>INDEX('vehicles specifications'!$B$3:$CK$86,MATCH(B156,'vehicles specifications'!$A$3:$A$86,0),MATCH("Energy battery replacement [unit]",'vehicles specifications'!$B$2:$CK$2,0))</f>
        <v>0</v>
      </c>
    </row>
    <row r="165" spans="1:2" x14ac:dyDescent="0.3">
      <c r="A165" t="s">
        <v>136</v>
      </c>
      <c r="B165">
        <f>INDEX('vehicles specifications'!$B$3:$CK$86,MATCH(B156,'vehicles specifications'!$A$3:$A$86,0),MATCH("Annual kilometers [km]",'vehicles specifications'!$B$2:$CK$2,0))</f>
        <v>2758</v>
      </c>
    </row>
    <row r="166" spans="1:2" x14ac:dyDescent="0.3">
      <c r="A166" t="s">
        <v>137</v>
      </c>
      <c r="B166" s="2">
        <f>INDEX('vehicles specifications'!$B$3:$CK$86,MATCH(B156,'vehicles specifications'!$A$3:$A$86,0),MATCH("Curb mass [kg]",'vehicles specifications'!$B$2:$CK$2,0))</f>
        <v>115.728314484542</v>
      </c>
    </row>
    <row r="167" spans="1:2" x14ac:dyDescent="0.3">
      <c r="A167" t="s">
        <v>138</v>
      </c>
      <c r="B167">
        <f>INDEX('vehicles specifications'!$B$3:$CK$86,MATCH(B156,'vehicles specifications'!$A$3:$A$86,0),MATCH("Power [kW]",'vehicles specifications'!$B$2:$CK$2,0))</f>
        <v>9</v>
      </c>
    </row>
    <row r="168" spans="1:2" x14ac:dyDescent="0.3">
      <c r="A168" t="s">
        <v>139</v>
      </c>
      <c r="B168">
        <f>INDEX('vehicles specifications'!$B$3:$CK$86,MATCH(B156,'vehicles specifications'!$A$3:$A$86,0),MATCH("Energy battery mass [kg]",'vehicles specifications'!$B$2:$CK$2,0))</f>
        <v>0</v>
      </c>
    </row>
    <row r="169" spans="1:2" x14ac:dyDescent="0.3">
      <c r="A169" t="s">
        <v>140</v>
      </c>
      <c r="B169">
        <f>INDEX('vehicles specifications'!$B$3:$CK$86,MATCH(B156,'vehicles specifications'!$A$3:$A$86,0),MATCH("Electric energy available [kWh]",'vehicles specifications'!$B$2:$CK$2,0))</f>
        <v>0</v>
      </c>
    </row>
    <row r="170" spans="1:2" x14ac:dyDescent="0.3">
      <c r="A170" t="s">
        <v>143</v>
      </c>
      <c r="B170" s="2">
        <f>INDEX('vehicles specifications'!$B$3:$CK$86,MATCH(B156,'vehicles specifications'!$A$3:$A$86,0),MATCH("Oxydation energy stored [kWh]",'vehicles specifications'!$B$2:$CK$2,0))</f>
        <v>79.5</v>
      </c>
    </row>
    <row r="171" spans="1:2" x14ac:dyDescent="0.3">
      <c r="A171" t="s">
        <v>145</v>
      </c>
      <c r="B171">
        <f>INDEX('vehicles specifications'!$B$3:$CK$86,MATCH(B156,'vehicles specifications'!$A$3:$A$86,0),MATCH("Fuel mass [kg]",'vehicles specifications'!$B$2:$CK$2,0))</f>
        <v>6.75</v>
      </c>
    </row>
    <row r="172" spans="1:2" x14ac:dyDescent="0.3">
      <c r="A172" t="s">
        <v>141</v>
      </c>
      <c r="B172" s="2">
        <f>INDEX('vehicles specifications'!$B$3:$CK$86,MATCH(B156,'vehicles specifications'!$A$3:$A$86,0),MATCH("Range [km]",'vehicles specifications'!$B$2:$CK$2,0))</f>
        <v>290.33814630505458</v>
      </c>
    </row>
    <row r="173" spans="1:2" x14ac:dyDescent="0.3">
      <c r="A173" t="s">
        <v>142</v>
      </c>
      <c r="B173" t="str">
        <f>INDEX('vehicles specifications'!$B$3:$CK$86,MATCH(B156,'vehicles specifications'!$A$3:$A$86,0),MATCH("Emission standard",'vehicles specifications'!$B$2:$CK$2,0))</f>
        <v>EURO-5</v>
      </c>
    </row>
    <row r="174" spans="1:2" x14ac:dyDescent="0.3">
      <c r="A174" t="s">
        <v>144</v>
      </c>
      <c r="B174" s="6">
        <f>INDEX('vehicles specifications'!$B$3:$CK$86,MATCH(B156,'vehicles specifications'!$A$3:$A$86,0),MATCH("Lightweighting rate [%]",'vehicles specifications'!$B$2:$CK$2,0))</f>
        <v>0.05</v>
      </c>
    </row>
    <row r="175" spans="1:2" s="21" customFormat="1" x14ac:dyDescent="0.3">
      <c r="A175" s="21" t="s">
        <v>513</v>
      </c>
      <c r="B175" s="6" t="s">
        <v>514</v>
      </c>
    </row>
    <row r="176" spans="1:2" s="21" customFormat="1" x14ac:dyDescent="0.3">
      <c r="A176" s="21" t="s">
        <v>515</v>
      </c>
      <c r="B176" s="2">
        <v>15900</v>
      </c>
    </row>
    <row r="177" spans="1:8" s="21" customFormat="1" x14ac:dyDescent="0.3">
      <c r="A177" s="21" t="s">
        <v>516</v>
      </c>
      <c r="B177" s="2">
        <v>1000</v>
      </c>
    </row>
    <row r="178" spans="1:8" s="21" customFormat="1"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9 kW. Lifetime: 39800 km. Annual kilometers: 2758 km. Number of passengers: 1.1. Curb mass: 115.7 kg. Lightweighting of glider: 5%. Emission standard: EURO-5. Service visits throughout lifetime: 1. Range: 290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t="s">
        <v>81</v>
      </c>
      <c r="B180" t="s">
        <v>82</v>
      </c>
      <c r="C180" t="s">
        <v>73</v>
      </c>
      <c r="D180" t="s">
        <v>77</v>
      </c>
      <c r="E180" t="s">
        <v>83</v>
      </c>
      <c r="F180" t="s">
        <v>75</v>
      </c>
      <c r="G180" t="s">
        <v>84</v>
      </c>
      <c r="H180" t="s">
        <v>74</v>
      </c>
    </row>
    <row r="181" spans="1:8" x14ac:dyDescent="0.3">
      <c r="A181" s="12" t="str">
        <f>B151</f>
        <v>Motorbike, gasoline, 4-11kW, EURO-5, 2040</v>
      </c>
      <c r="B181" s="12">
        <v>1</v>
      </c>
      <c r="C181" s="12" t="str">
        <f>B152</f>
        <v>CH</v>
      </c>
      <c r="D181" s="12" t="str">
        <f>B159</f>
        <v>unit</v>
      </c>
      <c r="E181" s="12"/>
      <c r="F181" s="12" t="s">
        <v>85</v>
      </c>
      <c r="G181" s="12" t="s">
        <v>86</v>
      </c>
      <c r="H181" s="12" t="str">
        <f>B153</f>
        <v>Motorbike, gasoline, 4-11kW,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0.7270425217814277</v>
      </c>
      <c r="C182" s="12" t="str">
        <f>INDEX('ei names mapping'!$B$38:$R$67,MATCH(B153,'ei names mapping'!$A$4:$A$33,0),MATCH(G182,'ei names mapping'!$B$3:$R$3,0))</f>
        <v>RER</v>
      </c>
      <c r="D182" s="12" t="str">
        <f>INDEX('ei names mapping'!$B$104:$R$133,MATCH(B153,'ei names mapping'!$A$104:$A$133,0),MATCH(G182,'ei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0.50892976524699929</v>
      </c>
      <c r="C183" s="12" t="str">
        <f>INDEX('ei names mapping'!$B$38:$R$67,MATCH(B153,'ei names mapping'!$A$4:$A$33,0),MATCH(G183,'ei names mapping'!$B$3:$R$3,0))</f>
        <v>RER</v>
      </c>
      <c r="D183" s="12" t="str">
        <f>INDEX('ei names mapping'!$B$104:$R$133,MATCH(B153,'ei names mapping'!$A$104:$A$133,0),MATCH(G183,'ei names mapping'!$B$3:$R$3,0))</f>
        <v>unit</v>
      </c>
      <c r="E183" s="12"/>
      <c r="F183" s="12" t="s">
        <v>91</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3.2716913480164247</v>
      </c>
      <c r="C184" s="12" t="str">
        <f>INDEX('ei names mapping'!$B$38:$R$67,MATCH(B153,'ei names mapping'!$A$4:$A$33,0),MATCH(G184,'ei names mapping'!$B$3:$R$3,0))</f>
        <v>GLO</v>
      </c>
      <c r="D184" s="12" t="str">
        <f>INDEX('ei names mapping'!$B$104:$R$133,MATCH(B153,'ei names mapping'!$A$104:$A$133,0),MATCH(G184,'ei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1.0125</v>
      </c>
      <c r="C185" s="12" t="str">
        <f>INDEX('ei names mapping'!$B$38:$R$67,MATCH(B153,'ei names mapping'!$A$4:$A$33,0),MATCH(G185,'ei names mapping'!$B$3:$R$3,0))</f>
        <v>RER</v>
      </c>
      <c r="D185" s="12" t="str">
        <f>INDEX('ei names mapping'!$B$104:$R$133,MATCH(B153,'ei names mapping'!$A$104:$A$133,0),MATCH(G185,'ei names mapping'!$B$3:$R$3,0))</f>
        <v>kilogram</v>
      </c>
      <c r="E185" s="12"/>
      <c r="F185" s="12" t="s">
        <v>91</v>
      </c>
      <c r="G185" t="s">
        <v>24</v>
      </c>
      <c r="H185" s="12" t="str">
        <f>INDEX('ei names mapping'!$B$71:$R$100,MATCH(B153,'ei names mapping'!$A$4:$A$33,0),MATCH(G185,'ei names mapping'!$B$3:$R$3,0))</f>
        <v>polyethylene, high density, granulate</v>
      </c>
    </row>
    <row r="186" spans="1:8" s="21" customFormat="1" x14ac:dyDescent="0.3">
      <c r="A186" s="22" t="s">
        <v>468</v>
      </c>
      <c r="B186" s="21">
        <f>(B166/1000)*B177</f>
        <v>115.728314484542</v>
      </c>
      <c r="C186" s="21" t="s">
        <v>94</v>
      </c>
      <c r="D186" s="21" t="s">
        <v>243</v>
      </c>
      <c r="F186" s="21" t="s">
        <v>91</v>
      </c>
      <c r="H186" s="22" t="s">
        <v>469</v>
      </c>
    </row>
    <row r="187" spans="1:8" s="21" customFormat="1" x14ac:dyDescent="0.3">
      <c r="A187" s="22" t="s">
        <v>467</v>
      </c>
      <c r="B187" s="2">
        <f>(B166/1000)*B176</f>
        <v>1840.0802003042179</v>
      </c>
      <c r="C187" s="21" t="s">
        <v>98</v>
      </c>
      <c r="D187" s="21" t="s">
        <v>243</v>
      </c>
      <c r="F187" s="21" t="s">
        <v>91</v>
      </c>
      <c r="H187" s="22" t="s">
        <v>467</v>
      </c>
    </row>
    <row r="189" spans="1:8" ht="15.6" x14ac:dyDescent="0.3">
      <c r="A189" s="11" t="s">
        <v>72</v>
      </c>
      <c r="B189" s="9" t="str">
        <f>B191&amp;", "&amp;B193</f>
        <v>Motorbike, gasoline, 4-11kW, EURO-5, 2050</v>
      </c>
    </row>
    <row r="190" spans="1:8" x14ac:dyDescent="0.3">
      <c r="A190" t="s">
        <v>73</v>
      </c>
      <c r="B190" t="s">
        <v>37</v>
      </c>
    </row>
    <row r="191" spans="1:8" x14ac:dyDescent="0.3">
      <c r="A191" t="s">
        <v>87</v>
      </c>
      <c r="B191" t="s">
        <v>714</v>
      </c>
    </row>
    <row r="192" spans="1:8" x14ac:dyDescent="0.3">
      <c r="A192" t="s">
        <v>88</v>
      </c>
      <c r="B192" s="12"/>
    </row>
    <row r="193" spans="1:2" x14ac:dyDescent="0.3">
      <c r="A193" t="s">
        <v>89</v>
      </c>
      <c r="B193" s="12">
        <v>2050</v>
      </c>
    </row>
    <row r="194" spans="1:2" x14ac:dyDescent="0.3">
      <c r="A194" t="s">
        <v>131</v>
      </c>
      <c r="B194" s="12" t="str">
        <f>B191&amp;" - "&amp;B193&amp;" - "&amp;B190</f>
        <v>Motorbike, gasoline, 4-11kW, EURO-5 - 2050 - CH</v>
      </c>
    </row>
    <row r="195" spans="1:2" x14ac:dyDescent="0.3">
      <c r="A195" t="s">
        <v>74</v>
      </c>
      <c r="B195" t="str">
        <f>B191</f>
        <v>Motorbike, gasoline, 4-11kW, EURO-5</v>
      </c>
    </row>
    <row r="196" spans="1:2" x14ac:dyDescent="0.3">
      <c r="A196" t="s">
        <v>75</v>
      </c>
      <c r="B196" t="s">
        <v>76</v>
      </c>
    </row>
    <row r="197" spans="1:2" x14ac:dyDescent="0.3">
      <c r="A197" t="s">
        <v>77</v>
      </c>
      <c r="B197" t="s">
        <v>77</v>
      </c>
    </row>
    <row r="198" spans="1:2" x14ac:dyDescent="0.3">
      <c r="A198" t="s">
        <v>79</v>
      </c>
      <c r="B198" t="s">
        <v>90</v>
      </c>
    </row>
    <row r="199" spans="1:2" x14ac:dyDescent="0.3">
      <c r="A199" t="s">
        <v>132</v>
      </c>
      <c r="B199">
        <f>INDEX('vehicles specifications'!$B$3:$CK$86,MATCH(B194,'vehicles specifications'!$A$3:$A$86,0),MATCH("Lifetime [km]",'vehicles specifications'!$B$2:$CK$2,0))</f>
        <v>39800</v>
      </c>
    </row>
    <row r="200" spans="1:2" x14ac:dyDescent="0.3">
      <c r="A200" t="s">
        <v>133</v>
      </c>
      <c r="B200">
        <f>INDEX('vehicles specifications'!$B$3:$CK$86,MATCH(B194,'vehicles specifications'!$A$3:$A$86,0),MATCH("Passengers [unit]",'vehicles specifications'!$B$2:$CK$2,0))</f>
        <v>1.1000000000000001</v>
      </c>
    </row>
    <row r="201" spans="1:2" x14ac:dyDescent="0.3">
      <c r="A201" t="s">
        <v>134</v>
      </c>
      <c r="B201">
        <f>INDEX('vehicles specifications'!$B$3:$CK$86,MATCH(B194,'vehicles specifications'!$A$3:$A$86,0),MATCH("Servicing [unit]",'vehicles specifications'!$B$2:$CK$2,0))</f>
        <v>1</v>
      </c>
    </row>
    <row r="202" spans="1:2" x14ac:dyDescent="0.3">
      <c r="A202" t="s">
        <v>135</v>
      </c>
      <c r="B202">
        <f>INDEX('vehicles specifications'!$B$3:$CK$86,MATCH(B194,'vehicles specifications'!$A$3:$A$86,0),MATCH("Energy battery replacement [unit]",'vehicles specifications'!$B$2:$CK$2,0))</f>
        <v>0</v>
      </c>
    </row>
    <row r="203" spans="1:2" x14ac:dyDescent="0.3">
      <c r="A203" t="s">
        <v>136</v>
      </c>
      <c r="B203">
        <f>INDEX('vehicles specifications'!$B$3:$CK$86,MATCH(B194,'vehicles specifications'!$A$3:$A$86,0),MATCH("Annual kilometers [km]",'vehicles specifications'!$B$2:$CK$2,0))</f>
        <v>2758</v>
      </c>
    </row>
    <row r="204" spans="1:2" x14ac:dyDescent="0.3">
      <c r="A204" t="s">
        <v>137</v>
      </c>
      <c r="B204" s="2">
        <f>INDEX('vehicles specifications'!$B$3:$CK$86,MATCH(B194,'vehicles specifications'!$A$3:$A$86,0),MATCH("Curb mass [kg]",'vehicles specifications'!$B$2:$CK$2,0))</f>
        <v>114.41963794533542</v>
      </c>
    </row>
    <row r="205" spans="1:2" x14ac:dyDescent="0.3">
      <c r="A205" t="s">
        <v>138</v>
      </c>
      <c r="B205">
        <f>INDEX('vehicles specifications'!$B$3:$CK$86,MATCH(B194,'vehicles specifications'!$A$3:$A$86,0),MATCH("Power [kW]",'vehicles specifications'!$B$2:$CK$2,0))</f>
        <v>9</v>
      </c>
    </row>
    <row r="206" spans="1:2" x14ac:dyDescent="0.3">
      <c r="A206" t="s">
        <v>139</v>
      </c>
      <c r="B206">
        <f>INDEX('vehicles specifications'!$B$3:$CK$86,MATCH(B194,'vehicles specifications'!$A$3:$A$86,0),MATCH("Energy battery mass [kg]",'vehicles specifications'!$B$2:$CK$2,0))</f>
        <v>0</v>
      </c>
    </row>
    <row r="207" spans="1:2" x14ac:dyDescent="0.3">
      <c r="A207" t="s">
        <v>140</v>
      </c>
      <c r="B207">
        <f>INDEX('vehicles specifications'!$B$3:$CK$86,MATCH(B194,'vehicles specifications'!$A$3:$A$86,0),MATCH("Electric energy available [kWh]",'vehicles specifications'!$B$2:$CK$2,0))</f>
        <v>0</v>
      </c>
    </row>
    <row r="208" spans="1:2" x14ac:dyDescent="0.3">
      <c r="A208" t="s">
        <v>143</v>
      </c>
      <c r="B208" s="2">
        <f>INDEX('vehicles specifications'!$B$3:$CK$86,MATCH(B194,'vehicles specifications'!$A$3:$A$86,0),MATCH("Oxydation energy stored [kWh]",'vehicles specifications'!$B$2:$CK$2,0))</f>
        <v>79.5</v>
      </c>
    </row>
    <row r="209" spans="1:8" x14ac:dyDescent="0.3">
      <c r="A209" t="s">
        <v>145</v>
      </c>
      <c r="B209">
        <f>INDEX('vehicles specifications'!$B$3:$CK$86,MATCH(B194,'vehicles specifications'!$A$3:$A$86,0),MATCH("Fuel mass [kg]",'vehicles specifications'!$B$2:$CK$2,0))</f>
        <v>6.75</v>
      </c>
    </row>
    <row r="210" spans="1:8" x14ac:dyDescent="0.3">
      <c r="A210" t="s">
        <v>141</v>
      </c>
      <c r="B210" s="2">
        <f>INDEX('vehicles specifications'!$B$3:$CK$86,MATCH(B194,'vehicles specifications'!$A$3:$A$86,0),MATCH("Range [km]",'vehicles specifications'!$B$2:$CK$2,0))</f>
        <v>293.27085485359044</v>
      </c>
    </row>
    <row r="211" spans="1:8" x14ac:dyDescent="0.3">
      <c r="A211" t="s">
        <v>142</v>
      </c>
      <c r="B211" t="str">
        <f>INDEX('vehicles specifications'!$B$3:$CK$86,MATCH(B194,'vehicles specifications'!$A$3:$A$86,0),MATCH("Emission standard",'vehicles specifications'!$B$2:$CK$2,0))</f>
        <v>EURO-5</v>
      </c>
    </row>
    <row r="212" spans="1:8" x14ac:dyDescent="0.3">
      <c r="A212" t="s">
        <v>144</v>
      </c>
      <c r="B212" s="6">
        <f>INDEX('vehicles specifications'!$B$3:$CK$86,MATCH(B194,'vehicles specifications'!$A$3:$A$86,0),MATCH("Lightweighting rate [%]",'vehicles specifications'!$B$2:$CK$2,0))</f>
        <v>7.0000000000000007E-2</v>
      </c>
    </row>
    <row r="213" spans="1:8" s="21" customFormat="1" x14ac:dyDescent="0.3">
      <c r="A213" s="21" t="s">
        <v>513</v>
      </c>
      <c r="B213" s="6" t="s">
        <v>514</v>
      </c>
    </row>
    <row r="214" spans="1:8" s="21" customFormat="1" x14ac:dyDescent="0.3">
      <c r="A214" s="21" t="s">
        <v>515</v>
      </c>
      <c r="B214" s="2">
        <v>15900</v>
      </c>
    </row>
    <row r="215" spans="1:8" s="21" customFormat="1" x14ac:dyDescent="0.3">
      <c r="A215" s="21" t="s">
        <v>516</v>
      </c>
      <c r="B215" s="2">
        <v>1000</v>
      </c>
    </row>
    <row r="216" spans="1:8" s="21" customFormat="1"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9 kW. Lifetime: 39800 km. Annual kilometers: 2758 km. Number of passengers: 1.1. Curb mass: 114.4 kg. Lightweighting of glider: 7%. Emission standard: EURO-5. Service visits throughout lifetime: 1. Range: 293 km. Battery capacity: 0 kWh. Battery mass: 0 kg. Battery replacement throughout lifetime: 0. Fuel tank capacity: 79.5 kWh. Fuel mass: 6.8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t="s">
        <v>81</v>
      </c>
      <c r="B218" t="s">
        <v>82</v>
      </c>
      <c r="C218" t="s">
        <v>73</v>
      </c>
      <c r="D218" t="s">
        <v>77</v>
      </c>
      <c r="E218" t="s">
        <v>83</v>
      </c>
      <c r="F218" t="s">
        <v>75</v>
      </c>
      <c r="G218" t="s">
        <v>84</v>
      </c>
      <c r="H218" t="s">
        <v>74</v>
      </c>
    </row>
    <row r="219" spans="1:8" x14ac:dyDescent="0.3">
      <c r="A219" s="12" t="str">
        <f>B189</f>
        <v>Motorbike, gasoline, 4-11kW, EURO-5, 2050</v>
      </c>
      <c r="B219" s="12">
        <v>1</v>
      </c>
      <c r="C219" s="12" t="str">
        <f>B190</f>
        <v>CH</v>
      </c>
      <c r="D219" s="12" t="str">
        <f>B197</f>
        <v>unit</v>
      </c>
      <c r="E219" s="12"/>
      <c r="F219" s="12" t="s">
        <v>85</v>
      </c>
      <c r="G219" s="12" t="s">
        <v>86</v>
      </c>
      <c r="H219" s="12" t="str">
        <f>B191</f>
        <v>Motorbike, gasoline, 4-11kW,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0.7270425217814277</v>
      </c>
      <c r="C220" s="12" t="str">
        <f>INDEX('ei names mapping'!$B$38:$R$67,MATCH(B191,'ei names mapping'!$A$4:$A$33,0),MATCH(G220,'ei names mapping'!$B$3:$R$3,0))</f>
        <v>RER</v>
      </c>
      <c r="D220" s="12" t="str">
        <f>INDEX('ei names mapping'!$B$104:$R$133,MATCH(B191,'ei names mapping'!$A$104:$A$133,0),MATCH(G220,'ei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0.50892976524699929</v>
      </c>
      <c r="C221" s="12" t="str">
        <f>INDEX('ei names mapping'!$B$38:$R$67,MATCH(B191,'ei names mapping'!$A$4:$A$33,0),MATCH(G221,'ei names mapping'!$B$3:$R$3,0))</f>
        <v>RER</v>
      </c>
      <c r="D221" s="12" t="str">
        <f>INDEX('ei names mapping'!$B$104:$R$133,MATCH(B191,'ei names mapping'!$A$104:$A$133,0),MATCH(G221,'ei names mapping'!$B$3:$R$3,0))</f>
        <v>unit</v>
      </c>
      <c r="E221" s="12"/>
      <c r="F221" s="12" t="s">
        <v>91</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4.5803678872229945</v>
      </c>
      <c r="C222" s="12" t="str">
        <f>INDEX('ei names mapping'!$B$38:$R$67,MATCH(B191,'ei names mapping'!$A$4:$A$33,0),MATCH(G222,'ei names mapping'!$B$3:$R$3,0))</f>
        <v>GLO</v>
      </c>
      <c r="D222" s="12" t="str">
        <f>INDEX('ei names mapping'!$B$104:$R$133,MATCH(B191,'ei names mapping'!$A$104:$A$133,0),MATCH(G222,'ei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1.0125</v>
      </c>
      <c r="C223" s="12" t="str">
        <f>INDEX('ei names mapping'!$B$38:$R$67,MATCH(B191,'ei names mapping'!$A$4:$A$33,0),MATCH(G223,'ei names mapping'!$B$3:$R$3,0))</f>
        <v>RER</v>
      </c>
      <c r="D223" s="12" t="str">
        <f>INDEX('ei names mapping'!$B$104:$R$133,MATCH(B191,'ei names mapping'!$A$104:$A$133,0),MATCH(G223,'ei names mapping'!$B$3:$R$3,0))</f>
        <v>kilogram</v>
      </c>
      <c r="E223" s="12"/>
      <c r="F223" s="12" t="s">
        <v>91</v>
      </c>
      <c r="G223" t="s">
        <v>24</v>
      </c>
      <c r="H223" s="12" t="str">
        <f>INDEX('ei names mapping'!$B$71:$R$100,MATCH(B191,'ei names mapping'!$A$4:$A$33,0),MATCH(G223,'ei names mapping'!$B$3:$R$3,0))</f>
        <v>polyethylene, high density, granulate</v>
      </c>
    </row>
    <row r="224" spans="1:8" s="21" customFormat="1" x14ac:dyDescent="0.3">
      <c r="A224" s="22" t="s">
        <v>468</v>
      </c>
      <c r="B224" s="21">
        <f>(B204/1000)*B215</f>
        <v>114.41963794533542</v>
      </c>
      <c r="C224" s="21" t="s">
        <v>94</v>
      </c>
      <c r="D224" s="21" t="s">
        <v>243</v>
      </c>
      <c r="F224" s="21" t="s">
        <v>91</v>
      </c>
      <c r="H224" s="22" t="s">
        <v>469</v>
      </c>
    </row>
    <row r="225" spans="1:8" s="21" customFormat="1" x14ac:dyDescent="0.3">
      <c r="A225" s="22" t="s">
        <v>467</v>
      </c>
      <c r="B225" s="2">
        <f>(B204/1000)*B214</f>
        <v>1819.2722433308334</v>
      </c>
      <c r="C225" s="21" t="s">
        <v>98</v>
      </c>
      <c r="D225" s="21" t="s">
        <v>243</v>
      </c>
      <c r="F225" s="21" t="s">
        <v>91</v>
      </c>
      <c r="H225" s="22" t="s">
        <v>467</v>
      </c>
    </row>
    <row r="227" spans="1:8" ht="15.6" x14ac:dyDescent="0.3">
      <c r="A227" s="11" t="s">
        <v>72</v>
      </c>
      <c r="B227" s="9" t="str">
        <f>"transport, "&amp;B229&amp;", "&amp;B231</f>
        <v>transport, Motorbike, gasoline, 4-11kW, EURO-3, 2006</v>
      </c>
    </row>
    <row r="228" spans="1:8" x14ac:dyDescent="0.3">
      <c r="A228" t="s">
        <v>73</v>
      </c>
      <c r="B228" t="s">
        <v>37</v>
      </c>
    </row>
    <row r="229" spans="1:8" x14ac:dyDescent="0.3">
      <c r="A229" t="s">
        <v>87</v>
      </c>
      <c r="B229" t="s">
        <v>712</v>
      </c>
    </row>
    <row r="230" spans="1:8" x14ac:dyDescent="0.3">
      <c r="A230" t="s">
        <v>88</v>
      </c>
      <c r="B230" s="12"/>
    </row>
    <row r="231" spans="1:8" x14ac:dyDescent="0.3">
      <c r="A231" t="s">
        <v>89</v>
      </c>
      <c r="B231" s="12">
        <v>2006</v>
      </c>
    </row>
    <row r="232" spans="1:8" x14ac:dyDescent="0.3">
      <c r="A232" t="s">
        <v>131</v>
      </c>
      <c r="B232" s="12" t="str">
        <f>B229&amp;" - "&amp;B231&amp;" - "&amp;B228</f>
        <v>Motorbike, gasoline, 4-11kW, EURO-3 - 2006 - CH</v>
      </c>
    </row>
    <row r="233" spans="1:8" x14ac:dyDescent="0.3">
      <c r="A233" t="s">
        <v>74</v>
      </c>
      <c r="B233" s="12" t="str">
        <f>"transport, "&amp;B229</f>
        <v>transport, Motorbike, gasoline, 4-11kW, EURO-3</v>
      </c>
    </row>
    <row r="234" spans="1:8" x14ac:dyDescent="0.3">
      <c r="A234" t="s">
        <v>75</v>
      </c>
      <c r="B234" t="s">
        <v>76</v>
      </c>
    </row>
    <row r="235" spans="1:8" x14ac:dyDescent="0.3">
      <c r="A235" t="s">
        <v>77</v>
      </c>
      <c r="B235" t="s">
        <v>172</v>
      </c>
    </row>
    <row r="236" spans="1:8" x14ac:dyDescent="0.3">
      <c r="A236" t="s">
        <v>79</v>
      </c>
      <c r="B236" t="s">
        <v>90</v>
      </c>
    </row>
    <row r="237" spans="1:8" x14ac:dyDescent="0.3">
      <c r="A237" t="s">
        <v>132</v>
      </c>
      <c r="B237">
        <f>INDEX('vehicles specifications'!$B$3:$CK$86,MATCH(B232,'vehicles specifications'!$A$3:$A$86,0),MATCH("Lifetime [km]",'vehicles specifications'!$B$2:$CK$2,0))</f>
        <v>39800</v>
      </c>
    </row>
    <row r="238" spans="1:8" x14ac:dyDescent="0.3">
      <c r="A238" t="s">
        <v>133</v>
      </c>
      <c r="B238">
        <f>INDEX('vehicles specifications'!$B$3:$CK$86,MATCH(B232,'vehicles specifications'!$A$3:$A$86,0),MATCH("Passengers [unit]",'vehicles specifications'!$B$2:$CK$2,0))</f>
        <v>1.1000000000000001</v>
      </c>
    </row>
    <row r="239" spans="1:8" x14ac:dyDescent="0.3">
      <c r="A239" t="s">
        <v>134</v>
      </c>
      <c r="B239">
        <f>INDEX('vehicles specifications'!$B$3:$CK$86,MATCH(B232,'vehicles specifications'!$A$3:$A$86,0),MATCH("Servicing [unit]",'vehicles specifications'!$B$2:$CK$2,0))</f>
        <v>1</v>
      </c>
    </row>
    <row r="240" spans="1:8" x14ac:dyDescent="0.3">
      <c r="A240" t="s">
        <v>135</v>
      </c>
      <c r="B240">
        <f>INDEX('vehicles specifications'!$B$3:$CK$86,MATCH(B232,'vehicles specifications'!$A$3:$A$86,0),MATCH("Energy battery replacement [unit]",'vehicles specifications'!$B$2:$CK$2,0))</f>
        <v>0</v>
      </c>
    </row>
    <row r="241" spans="1:8" x14ac:dyDescent="0.3">
      <c r="A241" t="s">
        <v>136</v>
      </c>
      <c r="B241">
        <f>INDEX('vehicles specifications'!$B$3:$CK$86,MATCH(B232,'vehicles specifications'!$A$3:$A$86,0),MATCH("Annual kilometers [km]",'vehicles specifications'!$B$2:$CK$2,0))</f>
        <v>2758</v>
      </c>
    </row>
    <row r="242" spans="1:8" x14ac:dyDescent="0.3">
      <c r="A242" t="s">
        <v>137</v>
      </c>
      <c r="B242" s="2">
        <f>INDEX('vehicles specifications'!$B$3:$CK$86,MATCH(B232,'vehicles specifications'!$A$3:$A$86,0),MATCH("Curb mass [kg]",'vehicles specifications'!$B$2:$CK$2,0))</f>
        <v>122.27169718057486</v>
      </c>
    </row>
    <row r="243" spans="1:8" x14ac:dyDescent="0.3">
      <c r="A243" t="s">
        <v>138</v>
      </c>
      <c r="B243">
        <f>INDEX('vehicles specifications'!$B$3:$CK$86,MATCH(B232,'vehicles specifications'!$A$3:$A$86,0),MATCH("Power [kW]",'vehicles specifications'!$B$2:$CK$2,0))</f>
        <v>9</v>
      </c>
    </row>
    <row r="244" spans="1:8" x14ac:dyDescent="0.3">
      <c r="A244" t="s">
        <v>139</v>
      </c>
      <c r="B244">
        <f>INDEX('vehicles specifications'!$B$3:$CK$86,MATCH(B232,'vehicles specifications'!$A$3:$A$86,0),MATCH("Energy battery mass [kg]",'vehicles specifications'!$B$2:$CK$2,0))</f>
        <v>0</v>
      </c>
    </row>
    <row r="245" spans="1:8" x14ac:dyDescent="0.3">
      <c r="A245" t="s">
        <v>140</v>
      </c>
      <c r="B245">
        <f>INDEX('vehicles specifications'!$B$3:$CK$86,MATCH(B232,'vehicles specifications'!$A$3:$A$86,0),MATCH("Electric energy available [kWh]",'vehicles specifications'!$B$2:$CK$2,0))</f>
        <v>0</v>
      </c>
    </row>
    <row r="246" spans="1:8" x14ac:dyDescent="0.3">
      <c r="A246" t="s">
        <v>143</v>
      </c>
      <c r="B246" s="2">
        <f>INDEX('vehicles specifications'!$B$3:$CK$86,MATCH(B232,'vehicles specifications'!$A$3:$A$86,0),MATCH("Oxydation energy stored [kWh]",'vehicles specifications'!$B$2:$CK$2,0))</f>
        <v>79.5</v>
      </c>
    </row>
    <row r="247" spans="1:8" x14ac:dyDescent="0.3">
      <c r="A247" t="s">
        <v>145</v>
      </c>
      <c r="B247">
        <f>INDEX('vehicles specifications'!$B$3:$CK$86,MATCH(B232,'vehicles specifications'!$A$3:$A$86,0),MATCH("Fuel mass [kg]",'vehicles specifications'!$B$2:$CK$2,0))</f>
        <v>6.75</v>
      </c>
    </row>
    <row r="248" spans="1:8" x14ac:dyDescent="0.3">
      <c r="A248" t="s">
        <v>141</v>
      </c>
      <c r="B248" s="2">
        <f>INDEX('vehicles specifications'!$B$3:$CK$86,MATCH(B232,'vehicles specifications'!$A$3:$A$86,0),MATCH("Range [km]",'vehicles specifications'!$B$2:$CK$2,0))</f>
        <v>278.92555744717635</v>
      </c>
    </row>
    <row r="249" spans="1:8" x14ac:dyDescent="0.3">
      <c r="A249" t="s">
        <v>142</v>
      </c>
      <c r="B249" t="str">
        <f>INDEX('vehicles specifications'!$B$3:$CK$86,MATCH(B232,'vehicles specifications'!$A$3:$A$86,0),MATCH("Emission standard",'vehicles specifications'!$B$2:$CK$2,0))</f>
        <v>EURO-3</v>
      </c>
    </row>
    <row r="250" spans="1:8" x14ac:dyDescent="0.3">
      <c r="A250" t="s">
        <v>144</v>
      </c>
      <c r="B250" s="6">
        <f>INDEX('vehicles specifications'!$B$3:$CK$86,MATCH(B232,'vehicles specifications'!$A$3:$A$86,0),MATCH("Lightweighting rate [%]",'vehicles specifications'!$B$2:$CK$2,0))</f>
        <v>-0.05</v>
      </c>
    </row>
    <row r="251" spans="1:8" x14ac:dyDescent="0.3">
      <c r="A25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9 kW. Lifetime: 39800 km. Annual kilometers: 2758 km. Number of passengers: 1.1. Curb mass: 122.3 kg. Lightweighting of glider: -5%. Emission standard: EURO-3. Service visits throughout lifetime: 1. Range: 279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t="s">
        <v>81</v>
      </c>
      <c r="B253" t="s">
        <v>82</v>
      </c>
      <c r="C253" t="s">
        <v>73</v>
      </c>
      <c r="D253" t="s">
        <v>77</v>
      </c>
      <c r="E253" t="s">
        <v>83</v>
      </c>
      <c r="F253" t="s">
        <v>75</v>
      </c>
      <c r="G253" t="s">
        <v>84</v>
      </c>
      <c r="H253" t="s">
        <v>74</v>
      </c>
    </row>
    <row r="254" spans="1:8" x14ac:dyDescent="0.3">
      <c r="A254" s="12" t="str">
        <f>B227</f>
        <v>transport, Motorbike, gasoline, 4-11kW, EURO-3, 2006</v>
      </c>
      <c r="B254" s="12">
        <v>1</v>
      </c>
      <c r="C254" s="12" t="str">
        <f>B228</f>
        <v>CH</v>
      </c>
      <c r="D254" s="12" t="s">
        <v>172</v>
      </c>
      <c r="E254" s="12"/>
      <c r="F254" s="12" t="s">
        <v>85</v>
      </c>
      <c r="G254" s="12" t="s">
        <v>86</v>
      </c>
      <c r="H254" s="12" t="str">
        <f>B233</f>
        <v>transport, Motorbike, gasoline, 4-11kW, EURO-3</v>
      </c>
    </row>
    <row r="255" spans="1:8" x14ac:dyDescent="0.3">
      <c r="A255" s="12" t="str">
        <f>RIGHT(A254,LEN(A254)-11)</f>
        <v>Motorbike, gasoline, 4-11kW, EURO-3, 2006</v>
      </c>
      <c r="B255" s="15">
        <f>1/B237</f>
        <v>2.5125628140703518E-5</v>
      </c>
      <c r="C255" s="12" t="str">
        <f>B228</f>
        <v>CH</v>
      </c>
      <c r="D255" s="12" t="s">
        <v>77</v>
      </c>
      <c r="E255" s="12"/>
      <c r="F255" s="12" t="s">
        <v>91</v>
      </c>
      <c r="G255" s="12"/>
      <c r="H255" s="12" t="str">
        <f>RIGHT(H254,LEN(H254)-11)</f>
        <v>Motorbike, gasoline, 4-11kW, EURO-3</v>
      </c>
    </row>
    <row r="256" spans="1:8"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1.1023090138596869E-4</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maintenance, motor scooter</v>
      </c>
      <c r="B257" s="16">
        <f>INDEX('vehicles specifications'!$B$3:$CK$86,MATCH(B232,'vehicles specifications'!$A$3:$A$86,0),MATCH(G257,'vehicles specifications'!$B$2:$CK$2,0))*INDEX('ei names mapping'!$B$137:$BK$220,MATCH(B232,'ei names mapping'!$A$137:$A$220,0),MATCH(G257,'ei names mapping'!$B$136:$BK$136,0))</f>
        <v>2.5125628140703518E-5</v>
      </c>
      <c r="C257" s="12" t="str">
        <f>INDEX('ei names mapping'!$B$38:$BK$67,MATCH(B229,'ei names mapping'!$A$4:$A$33,0),MATCH(G257,'ei names mapping'!$B$3:$BK$3,0))</f>
        <v>CH</v>
      </c>
      <c r="D257" s="12" t="str">
        <f>INDEX('ei names mapping'!$B$104:$BK$133,MATCH(B229,'ei names mapping'!$A$4:$A$33,0),MATCH(G257,'ei names mapping'!$B$3:$BK$3,0))</f>
        <v>unit</v>
      </c>
      <c r="F257" s="12" t="s">
        <v>91</v>
      </c>
      <c r="G257" s="12" t="s">
        <v>123</v>
      </c>
      <c r="H257" s="12" t="str">
        <f>INDEX('ei names mapping'!$B$71:$BK$100,MATCH(B229,'ei names mapping'!$A$4:$A$33,0),MATCH(G257,'ei names mapping'!$B$3:$BK$3,0))</f>
        <v>maintenance, motor scooter</v>
      </c>
    </row>
    <row r="258" spans="1:8" x14ac:dyDescent="0.3">
      <c r="A258" s="12" t="str">
        <f>INDEX('ei names mapping'!$B$4:$R$33,MATCH(B229,'ei names mapping'!$A$4:$A$33,0),MATCH(G258,'ei names mapping'!$B$3:$R$3,0))</f>
        <v>market for petrol, low-sulfur</v>
      </c>
      <c r="B258" s="16">
        <f>INDEX('vehicles specifications'!$B$3:$CK$86,MATCH(B232,'vehicles specifications'!$A$3:$A$86,0),MATCH(G258,'vehicles specifications'!$B$2:$CK$2,0))*INDEX('ei names mapping'!$B$137:$BK$220,MATCH(B232,'ei names mapping'!$A$137:$A$220,0),MATCH(G258,'ei names mapping'!$B$136:$BK$136,0))</f>
        <v>2.4200005412836123E-2</v>
      </c>
      <c r="C258" s="12" t="str">
        <f>INDEX('ei names mapping'!$B$38:$BK$67,MATCH(B229,'ei names mapping'!$A$4:$A$33,0),MATCH(G258,'ei names mapping'!$B$3:$BK$3,0))</f>
        <v>CH</v>
      </c>
      <c r="D258" s="12" t="str">
        <f>INDEX('ei names mapping'!$B$104:$BK$133,MATCH(B229,'ei names mapping'!$A$4:$A$33,0),MATCH(G258,'ei names mapping'!$B$3:$BK$3,0))</f>
        <v>kilogram</v>
      </c>
      <c r="F258" s="12" t="s">
        <v>91</v>
      </c>
      <c r="G258" s="12" t="s">
        <v>27</v>
      </c>
      <c r="H258" s="12" t="str">
        <f>INDEX('ei names mapping'!$B$71:$BK$100,MATCH(B229,'ei names mapping'!$A$4:$A$33,0),MATCH(G258,'ei names mapping'!$B$3:$BK$3,0))</f>
        <v>petrol, low-sulfur</v>
      </c>
    </row>
    <row r="259" spans="1:8" s="21" customFormat="1" x14ac:dyDescent="0.3">
      <c r="A259" s="12" t="str">
        <f>INDEX('ei names mapping'!$B$4:$R$33,MATCH(B229,'ei names mapping'!$A$4:$A$33,0),MATCH(G259,'ei names mapping'!$B$3:$R$3,0))</f>
        <v>road maintenance</v>
      </c>
      <c r="B259" s="16">
        <f>INDEX('vehicles specifications'!$B$3:$CK$86,MATCH(B232,'vehicles specifications'!$A$3:$A$86,0),MATCH(G259,'vehicles specifications'!$B$2:$CK$2,0))*INDEX('ei names mapping'!$B$137:$BK$220,MATCH(B232,'ei names mapping'!$A$137:$A$220,0),MATCH(G259,'ei names mapping'!$B$136:$BK$136,0))</f>
        <v>1.2899999999999999E-3</v>
      </c>
      <c r="C259" s="12" t="str">
        <f>INDEX('ei names mapping'!$B$38:$R$67,MATCH(B229,'ei names mapping'!$A$4:$A$33,0),MATCH(G259,'ei names mapping'!$B$3:$R$3,0))</f>
        <v>CH</v>
      </c>
      <c r="D259" s="12" t="str">
        <f>INDEX('ei names mapping'!$B$104:$BK$133,MATCH(B229,'ei names mapping'!$A$4:$A$33,0),MATCH(G259,'ei names mapping'!$B$3:$BK$3,0))</f>
        <v>meter-year</v>
      </c>
      <c r="E259" s="12"/>
      <c r="F259" s="12" t="s">
        <v>91</v>
      </c>
      <c r="G259" s="21" t="s">
        <v>117</v>
      </c>
      <c r="H259" s="12" t="str">
        <f>INDEX('ei names mapping'!$B$71:$BK$100,MATCH(B229,'ei names mapping'!$A$4:$A$33,0),MATCH(G259,'ei names mapping'!$B$3:$BK$3,0))</f>
        <v>road maintenance</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7.6956017212818861E-2</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3.8720008660537791E-7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3.6529704169004323E-6</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5.0143885394914575E-5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7.0250030559411121E-4</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1.7908530498183775E-6</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1.7908530498183775E-6</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9.5536088059378408E-5</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4.4771326245459437E-6</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s="21" customFormat="1"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2.9458178549122205E-5</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s="21" customFormat="1"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2.077179256668873E-6</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s="21" customFormat="1"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4.232496917977328E-7</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s="21" customFormat="1"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3.4120436692617235E-6</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s="21" customFormat="1"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1.3999797497925008E-6</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s="21" customFormat="1"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1.0483569289143844E-6</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s="21" customFormat="1"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7.4231484407602367E-7</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s="21" customFormat="1"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4.8185349527741892E-7</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s="21" customFormat="1"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4.7534196155745371E-6</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s="21" customFormat="1"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2.4874058810266758E-6</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s="21" customFormat="1"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7.162687091961634E-8</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s="21" customFormat="1"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7.1496640245217014E-6</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s="21" customFormat="1"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3.5357628099410601E-6</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s="21" customFormat="1"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1.471606620712117E-6</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s="21" customFormat="1"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1.1069607323940704E-6</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s="21" customFormat="1"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4.8836502899738398E-7</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s="21" customFormat="1"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1.4325374183923268E-7</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s="21" customFormat="1"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3.972035569178724E-7</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s="21" customFormat="1"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3.25576685998256E-8</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s="21" customFormat="1"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1.2371914067933729E-7</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s="21" customFormat="1"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6.5766490571647714E-7</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s="21" customFormat="1"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3.5707591986747951E-8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s="21" customFormat="1"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3.0782406885127543E-10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s="21" customFormat="1"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2.052160459008503E-10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s="21" customFormat="1"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2.2163332957291832E-6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s="21" customFormat="1"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4.3095369639178564E-8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s="21" customFormat="1"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1.3339042983555271E-8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s="21" customFormat="1"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1.6417283672068027E-8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s="21" customFormat="1"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3.2834567344136045E-11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s="21" customFormat="1"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8.9268979966869878E-9</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s="21" customFormat="1"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1.1081666478645916E-8</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-7.3669999999999991E-6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-8.3499999999999997E-6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Motorbike, gasoline, 4-11kW, EURO-4, 2016</v>
      </c>
    </row>
    <row r="305" spans="1:2" x14ac:dyDescent="0.3">
      <c r="A305" t="s">
        <v>73</v>
      </c>
      <c r="B305" t="s">
        <v>37</v>
      </c>
    </row>
    <row r="306" spans="1:2" x14ac:dyDescent="0.3">
      <c r="A306" t="s">
        <v>87</v>
      </c>
      <c r="B306" t="s">
        <v>713</v>
      </c>
    </row>
    <row r="307" spans="1:2" x14ac:dyDescent="0.3">
      <c r="A307" t="s">
        <v>88</v>
      </c>
      <c r="B307" s="12"/>
    </row>
    <row r="308" spans="1:2" x14ac:dyDescent="0.3">
      <c r="A308" t="s">
        <v>89</v>
      </c>
      <c r="B308" s="12">
        <v>2016</v>
      </c>
    </row>
    <row r="309" spans="1:2" x14ac:dyDescent="0.3">
      <c r="A309" t="s">
        <v>131</v>
      </c>
      <c r="B309" s="12" t="str">
        <f>B306&amp;" - "&amp;B308&amp;" - "&amp;B305</f>
        <v>Motorbike, gasoline, 4-11kW, EURO-4 - 2016 - CH</v>
      </c>
    </row>
    <row r="310" spans="1:2" x14ac:dyDescent="0.3">
      <c r="A310" t="s">
        <v>74</v>
      </c>
      <c r="B310" s="12" t="str">
        <f>"transport, "&amp;B306</f>
        <v>transport, Motorbike, gasoline, 4-11kW, EURO-4</v>
      </c>
    </row>
    <row r="311" spans="1:2" x14ac:dyDescent="0.3">
      <c r="A311" t="s">
        <v>75</v>
      </c>
      <c r="B311" t="s">
        <v>76</v>
      </c>
    </row>
    <row r="312" spans="1:2" x14ac:dyDescent="0.3">
      <c r="A312" t="s">
        <v>77</v>
      </c>
      <c r="B312" t="s">
        <v>172</v>
      </c>
    </row>
    <row r="313" spans="1:2" x14ac:dyDescent="0.3">
      <c r="A313" t="s">
        <v>79</v>
      </c>
      <c r="B313" t="s">
        <v>90</v>
      </c>
    </row>
    <row r="314" spans="1:2" x14ac:dyDescent="0.3">
      <c r="A314" t="s">
        <v>132</v>
      </c>
      <c r="B314">
        <f>INDEX('vehicles specifications'!$B$3:$CK$86,MATCH(B309,'vehicles specifications'!$A$3:$A$86,0),MATCH("Lifetime [km]",'vehicles specifications'!$B$2:$CK$2,0))</f>
        <v>39800</v>
      </c>
    </row>
    <row r="315" spans="1:2" x14ac:dyDescent="0.3">
      <c r="A315" t="s">
        <v>133</v>
      </c>
      <c r="B315">
        <f>INDEX('vehicles specifications'!$B$3:$CK$86,MATCH(B309,'vehicles specifications'!$A$3:$A$86,0),MATCH("Passengers [unit]",'vehicles specifications'!$B$2:$CK$2,0))</f>
        <v>1.1000000000000001</v>
      </c>
    </row>
    <row r="316" spans="1:2" x14ac:dyDescent="0.3">
      <c r="A316" t="s">
        <v>134</v>
      </c>
      <c r="B316">
        <f>INDEX('vehicles specifications'!$B$3:$CK$86,MATCH(B309,'vehicles specifications'!$A$3:$A$86,0),MATCH("Servicing [unit]",'vehicles specifications'!$B$2:$CK$2,0))</f>
        <v>1</v>
      </c>
    </row>
    <row r="317" spans="1:2" x14ac:dyDescent="0.3">
      <c r="A317" t="s">
        <v>135</v>
      </c>
      <c r="B317">
        <f>INDEX('vehicles specifications'!$B$3:$CK$86,MATCH(B309,'vehicles specifications'!$A$3:$A$86,0),MATCH("Energy battery replacement [unit]",'vehicles specifications'!$B$2:$CK$2,0))</f>
        <v>0</v>
      </c>
    </row>
    <row r="318" spans="1:2" x14ac:dyDescent="0.3">
      <c r="A318" t="s">
        <v>136</v>
      </c>
      <c r="B318">
        <f>INDEX('vehicles specifications'!$B$3:$CK$86,MATCH(B309,'vehicles specifications'!$A$3:$A$86,0),MATCH("Annual kilometers [km]",'vehicles specifications'!$B$2:$CK$2,0))</f>
        <v>2758</v>
      </c>
    </row>
    <row r="319" spans="1:2" x14ac:dyDescent="0.3">
      <c r="A319" t="s">
        <v>137</v>
      </c>
      <c r="B319" s="2">
        <f>INDEX('vehicles specifications'!$B$3:$CK$86,MATCH(B309,'vehicles specifications'!$A$3:$A$86,0),MATCH("Curb mass [kg]",'vehicles specifications'!$B$2:$CK$2,0))</f>
        <v>120.308682371765</v>
      </c>
    </row>
    <row r="320" spans="1:2" x14ac:dyDescent="0.3">
      <c r="A320" t="s">
        <v>138</v>
      </c>
      <c r="B320">
        <f>INDEX('vehicles specifications'!$B$3:$CK$86,MATCH(B309,'vehicles specifications'!$A$3:$A$86,0),MATCH("Power [kW]",'vehicles specifications'!$B$2:$CK$2,0))</f>
        <v>9</v>
      </c>
    </row>
    <row r="321" spans="1:8" x14ac:dyDescent="0.3">
      <c r="A321" t="s">
        <v>139</v>
      </c>
      <c r="B321">
        <f>INDEX('vehicles specifications'!$B$3:$CK$86,MATCH(B309,'vehicles specifications'!$A$3:$A$86,0),MATCH("Energy battery mass [kg]",'vehicles specifications'!$B$2:$CK$2,0))</f>
        <v>0</v>
      </c>
    </row>
    <row r="322" spans="1:8" x14ac:dyDescent="0.3">
      <c r="A322" t="s">
        <v>140</v>
      </c>
      <c r="B322">
        <f>INDEX('vehicles specifications'!$B$3:$CK$86,MATCH(B309,'vehicles specifications'!$A$3:$A$86,0),MATCH("Electric energy available [kWh]",'vehicles specifications'!$B$2:$CK$2,0))</f>
        <v>0</v>
      </c>
    </row>
    <row r="323" spans="1:8" x14ac:dyDescent="0.3">
      <c r="A323" t="s">
        <v>143</v>
      </c>
      <c r="B323" s="2">
        <f>INDEX('vehicles specifications'!$B$3:$CK$86,MATCH(B309,'vehicles specifications'!$A$3:$A$86,0),MATCH("Oxydation energy stored [kWh]",'vehicles specifications'!$B$2:$CK$2,0))</f>
        <v>79.5</v>
      </c>
    </row>
    <row r="324" spans="1:8" x14ac:dyDescent="0.3">
      <c r="A324" t="s">
        <v>145</v>
      </c>
      <c r="B324">
        <f>INDEX('vehicles specifications'!$B$3:$CK$86,MATCH(B309,'vehicles specifications'!$A$3:$A$86,0),MATCH("Fuel mass [kg]",'vehicles specifications'!$B$2:$CK$2,0))</f>
        <v>6.75</v>
      </c>
    </row>
    <row r="325" spans="1:8" x14ac:dyDescent="0.3">
      <c r="A325" t="s">
        <v>141</v>
      </c>
      <c r="B325" s="2">
        <f>INDEX('vehicles specifications'!$B$3:$CK$86,MATCH(B309,'vehicles specifications'!$A$3:$A$86,0),MATCH("Range [km]",'vehicles specifications'!$B$2:$CK$2,0))</f>
        <v>281.71481302164813</v>
      </c>
    </row>
    <row r="326" spans="1:8" x14ac:dyDescent="0.3">
      <c r="A326" t="s">
        <v>142</v>
      </c>
      <c r="B326" t="str">
        <f>INDEX('vehicles specifications'!$B$3:$CK$86,MATCH(B309,'vehicles specifications'!$A$3:$A$86,0),MATCH("Emission standard",'vehicles specifications'!$B$2:$CK$2,0))</f>
        <v>EURO-4</v>
      </c>
    </row>
    <row r="327" spans="1:8" x14ac:dyDescent="0.3">
      <c r="A327" t="s">
        <v>144</v>
      </c>
      <c r="B327" s="6">
        <f>INDEX('vehicles specifications'!$B$3:$CK$86,MATCH(B309,'vehicles specifications'!$A$3:$A$86,0),MATCH("Lightweighting rate [%]",'vehicles specifications'!$B$2:$CK$2,0))</f>
        <v>-0.02</v>
      </c>
    </row>
    <row r="328" spans="1:8" x14ac:dyDescent="0.3">
      <c r="A328"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9 kW. Lifetime: 39800 km. Annual kilometers: 2758 km. Number of passengers: 1.1. Curb mass: 120.3 kg. Lightweighting of glider: -2%. Emission standard: EURO-4. Service visits throughout lifetime: 1. Range: 282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t="s">
        <v>81</v>
      </c>
      <c r="B330" t="s">
        <v>82</v>
      </c>
      <c r="C330" t="s">
        <v>73</v>
      </c>
      <c r="D330" t="s">
        <v>77</v>
      </c>
      <c r="E330" t="s">
        <v>83</v>
      </c>
      <c r="F330" t="s">
        <v>75</v>
      </c>
      <c r="G330" t="s">
        <v>84</v>
      </c>
      <c r="H330" t="s">
        <v>74</v>
      </c>
    </row>
    <row r="331" spans="1:8" x14ac:dyDescent="0.3">
      <c r="A331" s="12" t="str">
        <f>B304</f>
        <v>transport, Motorbike, gasoline, 4-11kW, EURO-4, 2016</v>
      </c>
      <c r="B331" s="12">
        <v>1</v>
      </c>
      <c r="C331" s="12" t="str">
        <f>B305</f>
        <v>CH</v>
      </c>
      <c r="D331" s="12" t="s">
        <v>172</v>
      </c>
      <c r="E331" s="12"/>
      <c r="F331" s="12" t="s">
        <v>85</v>
      </c>
      <c r="G331" s="12" t="s">
        <v>86</v>
      </c>
      <c r="H331" s="12" t="str">
        <f>B310</f>
        <v>transport, Motorbike, gasoline, 4-11kW, EURO-4</v>
      </c>
    </row>
    <row r="332" spans="1:8" x14ac:dyDescent="0.3">
      <c r="A332" s="12" t="str">
        <f>RIGHT(A331,LEN(A331)-11)</f>
        <v>Motorbike, gasoline, 4-11kW, EURO-4, 2016</v>
      </c>
      <c r="B332" s="12">
        <f>1/B314</f>
        <v>2.5125628140703518E-5</v>
      </c>
      <c r="C332" s="12" t="str">
        <f>B305</f>
        <v>CH</v>
      </c>
      <c r="D332" s="12" t="s">
        <v>77</v>
      </c>
      <c r="E332" s="12"/>
      <c r="F332" s="12" t="s">
        <v>91</v>
      </c>
      <c r="G332" s="12"/>
      <c r="H332" s="12" t="str">
        <f>RIGHT(H331,LEN(H331)-11)</f>
        <v>Motorbike, gasoline, 4-11kW, EURO-4</v>
      </c>
    </row>
    <row r="333" spans="1:8"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1.091767624336378E-4</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maintenance, motor scooter</v>
      </c>
      <c r="B334" s="16">
        <f>INDEX('vehicles specifications'!$B$3:$CK$86,MATCH(B309,'vehicles specifications'!$A$3:$A$86,0),MATCH(G334,'vehicles specifications'!$B$2:$CK$2,0))*INDEX('ei names mapping'!$B$137:$BK$220,MATCH(B309,'ei names mapping'!$A$137:$A$220,0),MATCH(G334,'ei names mapping'!$B$136:$BK$136,0))</f>
        <v>2.5125628140703518E-5</v>
      </c>
      <c r="C334" s="12" t="str">
        <f>INDEX('ei names mapping'!$B$38:$BK$67,MATCH(B306,'ei names mapping'!$A$4:$A$33,0),MATCH(G334,'ei names mapping'!$B$3:$BK$3,0))</f>
        <v>CH</v>
      </c>
      <c r="D334" s="12" t="str">
        <f>INDEX('ei names mapping'!$B$104:$BK$133,MATCH(B306,'ei names mapping'!$A$4:$A$33,0),MATCH(G334,'ei names mapping'!$B$3:$BK$3,0))</f>
        <v>unit</v>
      </c>
      <c r="F334" s="12" t="s">
        <v>91</v>
      </c>
      <c r="G334" s="12" t="s">
        <v>123</v>
      </c>
      <c r="H334" s="12" t="str">
        <f>INDEX('ei names mapping'!$B$71:$BK$100,MATCH(B306,'ei names mapping'!$A$4:$A$33,0),MATCH(G334,'ei names mapping'!$B$3:$BK$3,0))</f>
        <v>maintenance, motor scooter</v>
      </c>
    </row>
    <row r="335" spans="1:8" x14ac:dyDescent="0.3">
      <c r="A335" s="12" t="str">
        <f>INDEX('ei names mapping'!$B$4:$R$33,MATCH(B306,'ei names mapping'!$A$4:$A$33,0),MATCH(G335,'ei names mapping'!$B$3:$R$3,0))</f>
        <v>market for petrol, low-sulfur</v>
      </c>
      <c r="B335" s="16">
        <f>INDEX('vehicles specifications'!$B$3:$CK$86,MATCH(B309,'vehicles specifications'!$A$3:$A$86,0),MATCH(G335,'vehicles specifications'!$B$2:$CK$2,0))*INDEX('ei names mapping'!$B$137:$BK$220,MATCH(B309,'ei names mapping'!$A$137:$A$220,0),MATCH(G335,'ei names mapping'!$B$136:$BK$136,0))</f>
        <v>2.3960401398847645E-2</v>
      </c>
      <c r="C335" s="12" t="str">
        <f>INDEX('ei names mapping'!$B$38:$BK$67,MATCH(B306,'ei names mapping'!$A$4:$A$33,0),MATCH(G335,'ei names mapping'!$B$3:$BK$3,0))</f>
        <v>CH</v>
      </c>
      <c r="D335" s="12" t="str">
        <f>INDEX('ei names mapping'!$B$104:$BK$133,MATCH(B306,'ei names mapping'!$A$4:$A$33,0),MATCH(G335,'ei names mapping'!$B$3:$BK$3,0))</f>
        <v>kilogram</v>
      </c>
      <c r="F335" s="12" t="s">
        <v>91</v>
      </c>
      <c r="G335" s="12" t="s">
        <v>27</v>
      </c>
      <c r="H335" s="12" t="str">
        <f>INDEX('ei names mapping'!$B$71:$BK$100,MATCH(B306,'ei names mapping'!$A$4:$A$33,0),MATCH(G335,'ei names mapping'!$B$3:$BK$3,0))</f>
        <v>petrol, low-sulfur</v>
      </c>
    </row>
    <row r="336" spans="1:8" s="21" customFormat="1" x14ac:dyDescent="0.3">
      <c r="A336" s="12" t="str">
        <f>INDEX('ei names mapping'!$B$4:$R$33,MATCH(B306,'ei names mapping'!$A$4:$A$33,0),MATCH(G336,'ei names mapping'!$B$3:$R$3,0))</f>
        <v>road maintenance</v>
      </c>
      <c r="B336" s="16">
        <f>INDEX('vehicles specifications'!$B$3:$CK$86,MATCH(B309,'vehicles specifications'!$A$3:$A$86,0),MATCH(G336,'vehicles specifications'!$B$2:$CK$2,0))*INDEX('ei names mapping'!$B$137:$BK$220,MATCH(B309,'ei names mapping'!$A$137:$A$220,0),MATCH(G336,'ei names mapping'!$B$136:$BK$136,0))</f>
        <v>1.2899999999999999E-3</v>
      </c>
      <c r="C336" s="12" t="str">
        <f>INDEX('ei names mapping'!$B$38:$R$67,MATCH(B306,'ei names mapping'!$A$4:$A$33,0),MATCH(G336,'ei names mapping'!$B$3:$R$3,0))</f>
        <v>CH</v>
      </c>
      <c r="D336" s="12" t="str">
        <f>INDEX('ei names mapping'!$B$104:$BK$133,MATCH(B306,'ei names mapping'!$A$4:$A$33,0),MATCH(G336,'ei names mapping'!$B$3:$BK$3,0))</f>
        <v>meter-year</v>
      </c>
      <c r="E336" s="12"/>
      <c r="F336" s="12" t="s">
        <v>91</v>
      </c>
      <c r="G336" s="21" t="s">
        <v>117</v>
      </c>
      <c r="H336" s="12" t="str">
        <f>INDEX('ei names mapping'!$B$71:$BK$100,MATCH(B306,'ei names mapping'!$A$4:$A$33,0),MATCH(G336,'ei names mapping'!$B$3:$BK$3,0))</f>
        <v>road maintenance</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7.6194076448335521E-2</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3.8336642238156231E-7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5.1657452836225586E-6</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5.6307019006388424E-5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8.2177593124772407E-4</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2.0109649645138723E-6</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2.0109649645138723E-6</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2.7297678240826657E-5</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5.0274124112846799E-6</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s="21" customFormat="1"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4.1657453944934862E-5</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s="21" customFormat="1"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2.9373845730402788E-6</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s="21" customFormat="1"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5.9852663713986867E-7</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s="21" customFormat="1"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4.8250455055583258E-6</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s="21" customFormat="1"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1.9797419536164887E-6</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s="21" customFormat="1"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1.4825044396849054E-6</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s="21" customFormat="1"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1.0497236405222313E-6</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s="21" customFormat="1"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6.8139955612846592E-7</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s="21" customFormat="1"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6.7219145401862166E-6</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s="21" customFormat="1"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3.5174950059604585E-6</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s="21" customFormat="1"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1.0128912320828547E-7</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s="21" customFormat="1"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1.0110496116608857E-5</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s="21" customFormat="1"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4.9999994456453646E-6</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s="21" customFormat="1"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2.0810310768247739E-6</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s="21" customFormat="1"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1.5653773586735031E-6</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s="21" customFormat="1"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6.9060765823831001E-7</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s="21" customFormat="1"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2.0257824641657093E-7</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s="21" customFormat="1"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5.616942287004922E-7</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s="21" customFormat="1"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s="21" customFormat="1"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1.7495394008703853E-7</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s="21" customFormat="1"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9.3001831309425754E-7</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s="21" customFormat="1"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3.5354051472027678E-8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s="21" customFormat="1"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3.0477630579334204E-10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s="21" customFormat="1"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2.0318420386222802E-10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s="21" customFormat="1"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2.1943894017120626E-6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s="21" customFormat="1"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4.2668682811067883E-8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s="21" customFormat="1"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1.3206973251044821E-8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s="21" customFormat="1"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1.6254736308978247E-8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s="21" customFormat="1"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3.2509472617956481E-11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s="21" customFormat="1"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8.8385128680069196E-9</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s="21" customFormat="1"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1.0971947008560314E-8</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-7.3669999999999991E-6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-8.3499999999999997E-6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Motorbike, gasoline, 4-11kW, EURO-5, 2020</v>
      </c>
    </row>
    <row r="382" spans="1:8" x14ac:dyDescent="0.3">
      <c r="A382" t="s">
        <v>73</v>
      </c>
      <c r="B382" t="s">
        <v>37</v>
      </c>
    </row>
    <row r="383" spans="1:8" x14ac:dyDescent="0.3">
      <c r="A383" t="s">
        <v>87</v>
      </c>
      <c r="B383" t="s">
        <v>714</v>
      </c>
    </row>
    <row r="384" spans="1:8" x14ac:dyDescent="0.3">
      <c r="A384" t="s">
        <v>88</v>
      </c>
      <c r="B384" s="12"/>
    </row>
    <row r="385" spans="1:2" x14ac:dyDescent="0.3">
      <c r="A385" t="s">
        <v>89</v>
      </c>
      <c r="B385" s="12">
        <v>2020</v>
      </c>
    </row>
    <row r="386" spans="1:2" x14ac:dyDescent="0.3">
      <c r="A386" t="s">
        <v>131</v>
      </c>
      <c r="B386" s="12" t="str">
        <f>B383&amp;" - "&amp;B385&amp;" - "&amp;B382</f>
        <v>Motorbike, gasoline, 4-11kW, EURO-5 - 2020 - CH</v>
      </c>
    </row>
    <row r="387" spans="1:2" x14ac:dyDescent="0.3">
      <c r="A387" t="s">
        <v>74</v>
      </c>
      <c r="B387" s="12" t="str">
        <f>"transport, "&amp;B383</f>
        <v>transport, Motorbike, gasoline, 4-11kW, EURO-5</v>
      </c>
    </row>
    <row r="388" spans="1:2" x14ac:dyDescent="0.3">
      <c r="A388" t="s">
        <v>75</v>
      </c>
      <c r="B388" t="s">
        <v>76</v>
      </c>
    </row>
    <row r="389" spans="1:2" x14ac:dyDescent="0.3">
      <c r="A389" t="s">
        <v>77</v>
      </c>
      <c r="B389" t="s">
        <v>172</v>
      </c>
    </row>
    <row r="390" spans="1:2" x14ac:dyDescent="0.3">
      <c r="A390" t="s">
        <v>79</v>
      </c>
      <c r="B390" t="s">
        <v>90</v>
      </c>
    </row>
    <row r="391" spans="1:2" x14ac:dyDescent="0.3">
      <c r="A391" t="s">
        <v>132</v>
      </c>
      <c r="B391">
        <f>INDEX('vehicles specifications'!$B$3:$CK$86,MATCH(B386,'vehicles specifications'!$A$3:$A$86,0),MATCH("Lifetime [km]",'vehicles specifications'!$B$2:$CK$2,0))</f>
        <v>39800</v>
      </c>
    </row>
    <row r="392" spans="1:2" x14ac:dyDescent="0.3">
      <c r="A392" t="s">
        <v>133</v>
      </c>
      <c r="B392">
        <f>INDEX('vehicles specifications'!$B$3:$CK$86,MATCH(B386,'vehicles specifications'!$A$3:$A$86,0),MATCH("Passengers [unit]",'vehicles specifications'!$B$2:$CK$2,0))</f>
        <v>1.1000000000000001</v>
      </c>
    </row>
    <row r="393" spans="1:2" x14ac:dyDescent="0.3">
      <c r="A393" t="s">
        <v>134</v>
      </c>
      <c r="B393">
        <f>INDEX('vehicles specifications'!$B$3:$CK$86,MATCH(B386,'vehicles specifications'!$A$3:$A$86,0),MATCH("Servicing [unit]",'vehicles specifications'!$B$2:$CK$2,0))</f>
        <v>1</v>
      </c>
    </row>
    <row r="394" spans="1:2" x14ac:dyDescent="0.3">
      <c r="A394" t="s">
        <v>135</v>
      </c>
      <c r="B394">
        <f>INDEX('vehicles specifications'!$B$3:$CK$86,MATCH(B386,'vehicles specifications'!$A$3:$A$86,0),MATCH("Energy battery replacement [unit]",'vehicles specifications'!$B$2:$CK$2,0))</f>
        <v>0</v>
      </c>
    </row>
    <row r="395" spans="1:2" x14ac:dyDescent="0.3">
      <c r="A395" t="s">
        <v>136</v>
      </c>
      <c r="B395">
        <f>INDEX('vehicles specifications'!$B$3:$CK$86,MATCH(B386,'vehicles specifications'!$A$3:$A$86,0),MATCH("Annual kilometers [km]",'vehicles specifications'!$B$2:$CK$2,0))</f>
        <v>2758</v>
      </c>
    </row>
    <row r="396" spans="1:2" x14ac:dyDescent="0.3">
      <c r="A396" t="s">
        <v>137</v>
      </c>
      <c r="B396" s="2">
        <f>INDEX('vehicles specifications'!$B$3:$CK$86,MATCH(B386,'vehicles specifications'!$A$3:$A$86,0),MATCH("Curb mass [kg]",'vehicles specifications'!$B$2:$CK$2,0))</f>
        <v>119.00000583255843</v>
      </c>
    </row>
    <row r="397" spans="1:2" x14ac:dyDescent="0.3">
      <c r="A397" t="s">
        <v>138</v>
      </c>
      <c r="B397">
        <f>INDEX('vehicles specifications'!$B$3:$CK$86,MATCH(B386,'vehicles specifications'!$A$3:$A$86,0),MATCH("Power [kW]",'vehicles specifications'!$B$2:$CK$2,0))</f>
        <v>9</v>
      </c>
    </row>
    <row r="398" spans="1:2" x14ac:dyDescent="0.3">
      <c r="A398" t="s">
        <v>139</v>
      </c>
      <c r="B398">
        <f>INDEX('vehicles specifications'!$B$3:$CK$86,MATCH(B386,'vehicles specifications'!$A$3:$A$86,0),MATCH("Energy battery mass [kg]",'vehicles specifications'!$B$2:$CK$2,0))</f>
        <v>0</v>
      </c>
    </row>
    <row r="399" spans="1:2" x14ac:dyDescent="0.3">
      <c r="A399" t="s">
        <v>140</v>
      </c>
      <c r="B399">
        <f>INDEX('vehicles specifications'!$B$3:$CK$86,MATCH(B386,'vehicles specifications'!$A$3:$A$86,0),MATCH("Electric energy available [kWh]",'vehicles specifications'!$B$2:$CK$2,0))</f>
        <v>0</v>
      </c>
    </row>
    <row r="400" spans="1:2" x14ac:dyDescent="0.3">
      <c r="A400" t="s">
        <v>143</v>
      </c>
      <c r="B400" s="2">
        <f>INDEX('vehicles specifications'!$B$3:$CK$86,MATCH(B386,'vehicles specifications'!$A$3:$A$86,0),MATCH("Oxydation energy stored [kWh]",'vehicles specifications'!$B$2:$CK$2,0))</f>
        <v>79.5</v>
      </c>
    </row>
    <row r="401" spans="1:8" x14ac:dyDescent="0.3">
      <c r="A401" t="s">
        <v>145</v>
      </c>
      <c r="B401">
        <f>INDEX('vehicles specifications'!$B$3:$CK$86,MATCH(B386,'vehicles specifications'!$A$3:$A$86,0),MATCH("Fuel mass [kg]",'vehicles specifications'!$B$2:$CK$2,0))</f>
        <v>6.75</v>
      </c>
    </row>
    <row r="402" spans="1:8" x14ac:dyDescent="0.3">
      <c r="A402" t="s">
        <v>141</v>
      </c>
      <c r="B402" s="2">
        <f>INDEX('vehicles specifications'!$B$3:$CK$86,MATCH(B386,'vehicles specifications'!$A$3:$A$86,0),MATCH("Range [km]",'vehicles specifications'!$B$2:$CK$2,0))</f>
        <v>284.56041719358399</v>
      </c>
    </row>
    <row r="403" spans="1:8" x14ac:dyDescent="0.3">
      <c r="A403" t="s">
        <v>142</v>
      </c>
      <c r="B403" t="str">
        <f>INDEX('vehicles specifications'!$B$3:$CK$86,MATCH(B386,'vehicles specifications'!$A$3:$A$86,0),MATCH("Emission standard",'vehicles specifications'!$B$2:$CK$2,0))</f>
        <v>EURO-5</v>
      </c>
    </row>
    <row r="404" spans="1:8" x14ac:dyDescent="0.3">
      <c r="A404" t="s">
        <v>144</v>
      </c>
      <c r="B404" s="6">
        <f>INDEX('vehicles specifications'!$B$3:$CK$86,MATCH(B386,'vehicles specifications'!$A$3:$A$86,0),MATCH("Lightweighting rate [%]",'vehicles specifications'!$B$2:$CK$2,0))</f>
        <v>0</v>
      </c>
    </row>
    <row r="405" spans="1:8" x14ac:dyDescent="0.3">
      <c r="A405"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9 kW. Lifetime: 39800 km. Annual kilometers: 2758 km. Number of passengers: 1.1. Curb mass: 119 kg. Lightweighting of glider: 0%. Emission standard: EURO-5. Service visits throughout lifetime: 1. Range: 285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t="s">
        <v>81</v>
      </c>
      <c r="B407" t="s">
        <v>82</v>
      </c>
      <c r="C407" t="s">
        <v>73</v>
      </c>
      <c r="D407" t="s">
        <v>77</v>
      </c>
      <c r="E407" t="s">
        <v>83</v>
      </c>
      <c r="F407" t="s">
        <v>75</v>
      </c>
      <c r="G407" t="s">
        <v>84</v>
      </c>
      <c r="H407" t="s">
        <v>74</v>
      </c>
    </row>
    <row r="408" spans="1:8" x14ac:dyDescent="0.3">
      <c r="A408" s="12" t="str">
        <f>B381</f>
        <v>transport, Motorbike, gasoline, 4-11kW, EURO-5, 2020</v>
      </c>
      <c r="B408" s="12">
        <v>1</v>
      </c>
      <c r="C408" s="12" t="str">
        <f>B382</f>
        <v>CH</v>
      </c>
      <c r="D408" s="12" t="s">
        <v>172</v>
      </c>
      <c r="E408" s="12"/>
      <c r="F408" s="12" t="s">
        <v>85</v>
      </c>
      <c r="G408" s="12" t="s">
        <v>86</v>
      </c>
      <c r="H408" s="12" t="str">
        <f>B387</f>
        <v>transport, Motorbike, gasoline, 4-11kW, EURO-5</v>
      </c>
    </row>
    <row r="409" spans="1:8" x14ac:dyDescent="0.3">
      <c r="A409" s="12" t="str">
        <f>RIGHT(A408,LEN(A408)-11)</f>
        <v>Motorbike, gasoline, 4-11kW, EURO-5, 2020</v>
      </c>
      <c r="B409" s="12">
        <f>1/B391</f>
        <v>2.5125628140703518E-5</v>
      </c>
      <c r="C409" s="12" t="str">
        <f>B382</f>
        <v>CH</v>
      </c>
      <c r="D409" s="12" t="s">
        <v>77</v>
      </c>
      <c r="E409" s="12"/>
      <c r="F409" s="12" t="s">
        <v>91</v>
      </c>
      <c r="G409" s="12"/>
      <c r="H409" s="12" t="str">
        <f>RIGHT(H408,LEN(H408)-11)</f>
        <v>Motorbike, gasoline, 4-11kW, EURO-5</v>
      </c>
    </row>
    <row r="410" spans="1:8"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1.0847400313208387E-4</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maintenance, motor scooter</v>
      </c>
      <c r="B411" s="16">
        <f>INDEX('vehicles specifications'!$B$3:$CK$86,MATCH(B386,'vehicles specifications'!$A$3:$A$86,0),MATCH(G411,'vehicles specifications'!$B$2:$CK$2,0))*INDEX('ei names mapping'!$B$137:$BK$220,MATCH(B386,'ei names mapping'!$A$137:$A$220,0),MATCH(G411,'ei names mapping'!$B$136:$BK$136,0))</f>
        <v>2.5125628140703518E-5</v>
      </c>
      <c r="C411" s="12" t="str">
        <f>INDEX('ei names mapping'!$B$38:$BK$67,MATCH(B383,'ei names mapping'!$A$4:$A$33,0),MATCH(G411,'ei names mapping'!$B$3:$BK$3,0))</f>
        <v>CH</v>
      </c>
      <c r="D411" s="12" t="str">
        <f>INDEX('ei names mapping'!$B$104:$BK$133,MATCH(B383,'ei names mapping'!$A$4:$A$33,0),MATCH(G411,'ei names mapping'!$B$3:$BK$3,0))</f>
        <v>unit</v>
      </c>
      <c r="F411" s="12" t="s">
        <v>91</v>
      </c>
      <c r="G411" s="12" t="s">
        <v>123</v>
      </c>
      <c r="H411" s="12" t="str">
        <f>INDEX('ei names mapping'!$B$71:$BK$100,MATCH(B383,'ei names mapping'!$A$4:$A$33,0),MATCH(G411,'ei names mapping'!$B$3:$BK$3,0))</f>
        <v>maintenance, motor scooter</v>
      </c>
    </row>
    <row r="412" spans="1:8" x14ac:dyDescent="0.3">
      <c r="A412" s="12" t="str">
        <f>INDEX('ei names mapping'!$B$4:$R$33,MATCH(B383,'ei names mapping'!$A$4:$A$33,0),MATCH(G412,'ei names mapping'!$B$3:$R$3,0))</f>
        <v>market for petrol, low-sulfur</v>
      </c>
      <c r="B412" s="16">
        <f>INDEX('vehicles specifications'!$B$3:$CK$86,MATCH(B386,'vehicles specifications'!$A$3:$A$86,0),MATCH(G412,'vehicles specifications'!$B$2:$CK$2,0))*INDEX('ei names mapping'!$B$137:$BK$220,MATCH(B386,'ei names mapping'!$A$137:$A$220,0),MATCH(G412,'ei names mapping'!$B$136:$BK$136,0))</f>
        <v>2.3720797384859171E-2</v>
      </c>
      <c r="C412" s="12" t="str">
        <f>INDEX('ei names mapping'!$B$38:$BK$67,MATCH(B383,'ei names mapping'!$A$4:$A$33,0),MATCH(G412,'ei names mapping'!$B$3:$BK$3,0))</f>
        <v>CH</v>
      </c>
      <c r="D412" s="12" t="str">
        <f>INDEX('ei names mapping'!$B$104:$BK$133,MATCH(B383,'ei names mapping'!$A$4:$A$33,0),MATCH(G412,'ei names mapping'!$B$3:$BK$3,0))</f>
        <v>kilogram</v>
      </c>
      <c r="F412" s="12" t="s">
        <v>91</v>
      </c>
      <c r="G412" s="12" t="s">
        <v>27</v>
      </c>
      <c r="H412" s="12" t="str">
        <f>INDEX('ei names mapping'!$B$71:$BK$100,MATCH(B383,'ei names mapping'!$A$4:$A$33,0),MATCH(G412,'ei names mapping'!$B$3:$BK$3,0))</f>
        <v>petrol, low-sulfur</v>
      </c>
    </row>
    <row r="413" spans="1:8" s="21" customFormat="1" x14ac:dyDescent="0.3">
      <c r="A413" s="12" t="str">
        <f>INDEX('ei names mapping'!$B$4:$R$33,MATCH(B383,'ei names mapping'!$A$4:$A$33,0),MATCH(G413,'ei names mapping'!$B$3:$R$3,0))</f>
        <v>road maintenance</v>
      </c>
      <c r="B413" s="16">
        <f>INDEX('vehicles specifications'!$B$3:$CK$86,MATCH(B386,'vehicles specifications'!$A$3:$A$86,0),MATCH(G413,'vehicles specifications'!$B$2:$CK$2,0))*INDEX('ei names mapping'!$B$137:$BK$220,MATCH(B386,'ei names mapping'!$A$137:$A$220,0),MATCH(G413,'ei names mapping'!$B$136:$BK$136,0))</f>
        <v>1.2899999999999999E-3</v>
      </c>
      <c r="C413" s="12" t="str">
        <f>INDEX('ei names mapping'!$B$38:$R$67,MATCH(B383,'ei names mapping'!$A$4:$A$33,0),MATCH(G413,'ei names mapping'!$B$3:$R$3,0))</f>
        <v>CH</v>
      </c>
      <c r="D413" s="12" t="str">
        <f>INDEX('ei names mapping'!$B$104:$BK$133,MATCH(B383,'ei names mapping'!$A$4:$A$33,0),MATCH(G413,'ei names mapping'!$B$3:$BK$3,0))</f>
        <v>meter-year</v>
      </c>
      <c r="E413" s="12"/>
      <c r="F413" s="12" t="s">
        <v>91</v>
      </c>
      <c r="G413" s="21" t="s">
        <v>117</v>
      </c>
      <c r="H413" s="12" t="str">
        <f>INDEX('ei names mapping'!$B$71:$BK$100,MATCH(B383,'ei names mapping'!$A$4:$A$33,0),MATCH(G413,'ei names mapping'!$B$3:$BK$3,0))</f>
        <v>road maintenance</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7.5432135683852153E-2</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3.7953275815774666E-7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3.0028551502939905E-6</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5.5743948816324545E-5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7.1242322292383402E-4</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1.9908553148687333E-6</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1.9908553148687333E-6</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1.8315516128898121E-5</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4.9771382871718332E-6</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s="21" customFormat="1"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2.4215537789536568E-5</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s="21" customFormat="1"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1.7075058697750144E-6</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s="21" customFormat="1"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3.4792439352782425E-7</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s="21" customFormat="1"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2.804805880131999E-6</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s="21" customFormat="1"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1.1508268401304956E-6</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s="21" customFormat="1"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8.6178195935353402E-7</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s="21" customFormat="1"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6.1020585941803032E-7</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s="21" customFormat="1"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3.960985403239846E-7</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s="21" customFormat="1"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3.9074585734663338E-6</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s="21" customFormat="1"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2.0447248973481361E-6</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s="21" customFormat="1"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5.8879512750862572E-8</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s="21" customFormat="1"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5.877245909131555E-6</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s="21" customFormat="1"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2.9065068567016706E-6</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s="21" customFormat="1"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1.2097063528813583E-6</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s="21" customFormat="1"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9.0995610614969421E-7</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s="21" customFormat="1"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4.0145122330133565E-7</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s="21" customFormat="1"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1.1775902550172514E-7</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s="21" customFormat="1"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3.2651366161841968E-7</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s="21" customFormat="1"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s="21" customFormat="1"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1.017009765696717E-7</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s="21" customFormat="1"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5.4062098071246539E-7</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s="21" customFormat="1"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3.5000510957307399E-8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s="21" customFormat="1"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3.0172854273540859E-10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s="21" customFormat="1"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2.0115236182360576E-10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s="21" customFormat="1"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2.172445507694942E-6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s="21" customFormat="1"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4.2241995982957202E-8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s="21" customFormat="1"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1.3074903518534373E-8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s="21" customFormat="1"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1.6092188945888465E-8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s="21" customFormat="1"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3.2184377891776916E-11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s="21" customFormat="1"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8.7501277393268496E-9</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s="21" customFormat="1"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1.0862227538474711E-8</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-7.3669999999999991E-6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-8.3499999999999997E-6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Motorbike, gasoline, 4-11kW, EURO-5, 2030</v>
      </c>
    </row>
    <row r="459" spans="1:8" x14ac:dyDescent="0.3">
      <c r="A459" t="s">
        <v>73</v>
      </c>
      <c r="B459" t="s">
        <v>37</v>
      </c>
    </row>
    <row r="460" spans="1:8" x14ac:dyDescent="0.3">
      <c r="A460" t="s">
        <v>87</v>
      </c>
      <c r="B460" t="s">
        <v>714</v>
      </c>
    </row>
    <row r="461" spans="1:8" x14ac:dyDescent="0.3">
      <c r="A461" t="s">
        <v>88</v>
      </c>
      <c r="B461" s="12"/>
    </row>
    <row r="462" spans="1:8" x14ac:dyDescent="0.3">
      <c r="A462" t="s">
        <v>89</v>
      </c>
      <c r="B462" s="12">
        <v>2030</v>
      </c>
    </row>
    <row r="463" spans="1:8" x14ac:dyDescent="0.3">
      <c r="A463" t="s">
        <v>131</v>
      </c>
      <c r="B463" s="12" t="str">
        <f>B460&amp;" - "&amp;B462&amp;" - "&amp;B459</f>
        <v>Motorbike, gasoline, 4-11kW, EURO-5 - 2030 - CH</v>
      </c>
    </row>
    <row r="464" spans="1:8" x14ac:dyDescent="0.3">
      <c r="A464" t="s">
        <v>74</v>
      </c>
      <c r="B464" s="12" t="str">
        <f>"transport, "&amp;B460</f>
        <v>transport, Motorbike, gasoline, 4-11kW, EURO-5</v>
      </c>
    </row>
    <row r="465" spans="1:2" x14ac:dyDescent="0.3">
      <c r="A465" t="s">
        <v>75</v>
      </c>
      <c r="B465" t="s">
        <v>76</v>
      </c>
    </row>
    <row r="466" spans="1:2" x14ac:dyDescent="0.3">
      <c r="A466" t="s">
        <v>77</v>
      </c>
      <c r="B466" t="s">
        <v>172</v>
      </c>
    </row>
    <row r="467" spans="1:2" x14ac:dyDescent="0.3">
      <c r="A467" t="s">
        <v>79</v>
      </c>
      <c r="B467" t="s">
        <v>90</v>
      </c>
    </row>
    <row r="468" spans="1:2" x14ac:dyDescent="0.3">
      <c r="A468" t="s">
        <v>132</v>
      </c>
      <c r="B468">
        <f>INDEX('vehicles specifications'!$B$3:$CK$86,MATCH(B463,'vehicles specifications'!$A$3:$A$86,0),MATCH("Lifetime [km]",'vehicles specifications'!$B$2:$CK$2,0))</f>
        <v>39800</v>
      </c>
    </row>
    <row r="469" spans="1:2" x14ac:dyDescent="0.3">
      <c r="A469" t="s">
        <v>133</v>
      </c>
      <c r="B469">
        <f>INDEX('vehicles specifications'!$B$3:$CK$86,MATCH(B463,'vehicles specifications'!$A$3:$A$86,0),MATCH("Passengers [unit]",'vehicles specifications'!$B$2:$CK$2,0))</f>
        <v>1.1000000000000001</v>
      </c>
    </row>
    <row r="470" spans="1:2" x14ac:dyDescent="0.3">
      <c r="A470" t="s">
        <v>134</v>
      </c>
      <c r="B470">
        <f>INDEX('vehicles specifications'!$B$3:$CK$86,MATCH(B463,'vehicles specifications'!$A$3:$A$86,0),MATCH("Servicing [unit]",'vehicles specifications'!$B$2:$CK$2,0))</f>
        <v>1</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2758</v>
      </c>
    </row>
    <row r="473" spans="1:2" x14ac:dyDescent="0.3">
      <c r="A473" t="s">
        <v>137</v>
      </c>
      <c r="B473" s="2">
        <f>INDEX('vehicles specifications'!$B$3:$CK$86,MATCH(B463,'vehicles specifications'!$A$3:$A$86,0),MATCH("Curb mass [kg]",'vehicles specifications'!$B$2:$CK$2,0))</f>
        <v>117.03699102374857</v>
      </c>
    </row>
    <row r="474" spans="1:2" x14ac:dyDescent="0.3">
      <c r="A474" t="s">
        <v>138</v>
      </c>
      <c r="B474">
        <f>INDEX('vehicles specifications'!$B$3:$CK$86,MATCH(B463,'vehicles specifications'!$A$3:$A$86,0),MATCH("Power [kW]",'vehicles specifications'!$B$2:$CK$2,0))</f>
        <v>9</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s="2">
        <f>INDEX('vehicles specifications'!$B$3:$CK$86,MATCH(B463,'vehicles specifications'!$A$3:$A$86,0),MATCH("Oxydation energy stored [kWh]",'vehicles specifications'!$B$2:$CK$2,0))</f>
        <v>79.5</v>
      </c>
    </row>
    <row r="478" spans="1:2" x14ac:dyDescent="0.3">
      <c r="A478" t="s">
        <v>145</v>
      </c>
      <c r="B478">
        <f>INDEX('vehicles specifications'!$B$3:$CK$86,MATCH(B463,'vehicles specifications'!$A$3:$A$86,0),MATCH("Fuel mass [kg]",'vehicles specifications'!$B$2:$CK$2,0))</f>
        <v>6.75</v>
      </c>
    </row>
    <row r="479" spans="1:2" x14ac:dyDescent="0.3">
      <c r="A479" t="s">
        <v>141</v>
      </c>
      <c r="B479" s="2">
        <f>INDEX('vehicles specifications'!$B$3:$CK$86,MATCH(B463,'vehicles specifications'!$A$3:$A$86,0),MATCH("Range [km]",'vehicles specifications'!$B$2:$CK$2,0))</f>
        <v>287.43476484200397</v>
      </c>
    </row>
    <row r="480" spans="1:2" x14ac:dyDescent="0.3">
      <c r="A480" t="s">
        <v>142</v>
      </c>
      <c r="B480" t="str">
        <f>INDEX('vehicles specifications'!$B$3:$CK$86,MATCH(B463,'vehicles specifications'!$A$3:$A$86,0),MATCH("Emission standard",'vehicles specifications'!$B$2:$CK$2,0))</f>
        <v>EURO-5</v>
      </c>
    </row>
    <row r="481" spans="1:8" x14ac:dyDescent="0.3">
      <c r="A481" t="s">
        <v>144</v>
      </c>
      <c r="B481" s="6">
        <f>INDEX('vehicles specifications'!$B$3:$CK$86,MATCH(B463,'vehicles specifications'!$A$3:$A$86,0),MATCH("Lightweighting rate [%]",'vehicles specifications'!$B$2:$CK$2,0))</f>
        <v>0.03</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9 kW. Lifetime: 39800 km. Annual kilometers: 2758 km. Number of passengers: 1.1. Curb mass: 117 kg. Lightweighting of glider: 3%. Emission standard: EURO-5. Service visits throughout lifetime: 1. Range: 287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Motorbike, gasoline, 4-11kW, EURO-5, 2030</v>
      </c>
      <c r="B485" s="12">
        <v>1</v>
      </c>
      <c r="C485" s="12" t="str">
        <f>B459</f>
        <v>CH</v>
      </c>
      <c r="D485" s="12" t="s">
        <v>172</v>
      </c>
      <c r="E485" s="12"/>
      <c r="F485" s="12" t="s">
        <v>85</v>
      </c>
      <c r="G485" s="12" t="s">
        <v>86</v>
      </c>
      <c r="H485" s="12" t="str">
        <f>B464</f>
        <v>transport, Motorbike, gasoline, 4-11kW, EURO-5</v>
      </c>
    </row>
    <row r="486" spans="1:8" x14ac:dyDescent="0.3">
      <c r="A486" s="12" t="str">
        <f>RIGHT(A485,LEN(A485)-11)</f>
        <v>Motorbike, gasoline, 4-11kW, EURO-5, 2030</v>
      </c>
      <c r="B486" s="12">
        <f>1/B468</f>
        <v>2.5125628140703518E-5</v>
      </c>
      <c r="C486" s="12" t="str">
        <f>B459</f>
        <v>CH</v>
      </c>
      <c r="D486" s="12" t="s">
        <v>77</v>
      </c>
      <c r="E486" s="12"/>
      <c r="F486" s="12" t="s">
        <v>91</v>
      </c>
      <c r="G486" s="12"/>
      <c r="H486" s="12" t="str">
        <f>RIGHT(H485,LEN(H485)-11)</f>
        <v>Motorbike, gasoline, 4-11kW, EURO-5</v>
      </c>
    </row>
    <row r="487" spans="1:8"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1.0741986417975298E-4</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maintenance, motor scooter</v>
      </c>
      <c r="B488" s="16">
        <f>INDEX('vehicles specifications'!$B$3:$CK$86,MATCH(B463,'vehicles specifications'!$A$3:$A$86,0),MATCH(G488,'vehicles specifications'!$B$2:$CK$2,0))*INDEX('ei names mapping'!$B$137:$BK$220,MATCH(B463,'ei names mapping'!$A$137:$A$220,0),MATCH(G488,'ei names mapping'!$B$136:$BK$136,0))</f>
        <v>2.5125628140703518E-5</v>
      </c>
      <c r="C488" s="12" t="str">
        <f>INDEX('ei names mapping'!$B$38:$BK$67,MATCH(B460,'ei names mapping'!$A$4:$A$33,0),MATCH(G488,'ei names mapping'!$B$3:$BK$3,0))</f>
        <v>CH</v>
      </c>
      <c r="D488" s="12" t="str">
        <f>INDEX('ei names mapping'!$B$104:$BK$133,MATCH(B460,'ei names mapping'!$A$4:$A$33,0),MATCH(G488,'ei names mapping'!$B$3:$BK$3,0))</f>
        <v>unit</v>
      </c>
      <c r="F488" s="12" t="s">
        <v>91</v>
      </c>
      <c r="G488" s="12" t="s">
        <v>123</v>
      </c>
      <c r="H488" s="12" t="str">
        <f>INDEX('ei names mapping'!$B$71:$BK$100,MATCH(B460,'ei names mapping'!$A$4:$A$33,0),MATCH(G488,'ei names mapping'!$B$3:$BK$3,0))</f>
        <v>maintenance, motor scooter</v>
      </c>
    </row>
    <row r="489" spans="1:8" x14ac:dyDescent="0.3">
      <c r="A489" s="12" t="str">
        <f>INDEX('ei names mapping'!$B$4:$R$33,MATCH(B460,'ei names mapping'!$A$4:$A$33,0),MATCH(G489,'ei names mapping'!$B$3:$R$3,0))</f>
        <v>market for petrol, low-sulfur</v>
      </c>
      <c r="B489" s="16">
        <f>INDEX('vehicles specifications'!$B$3:$CK$86,MATCH(B463,'vehicles specifications'!$A$3:$A$86,0),MATCH(G489,'vehicles specifications'!$B$2:$CK$2,0))*INDEX('ei names mapping'!$B$137:$BK$220,MATCH(B463,'ei names mapping'!$A$137:$A$220,0),MATCH(G489,'ei names mapping'!$B$136:$BK$136,0))</f>
        <v>2.3483589411010575E-2</v>
      </c>
      <c r="C489" s="12" t="str">
        <f>INDEX('ei names mapping'!$B$38:$BK$67,MATCH(B460,'ei names mapping'!$A$4:$A$33,0),MATCH(G489,'ei names mapping'!$B$3:$BK$3,0))</f>
        <v>CH</v>
      </c>
      <c r="D489" s="12" t="str">
        <f>INDEX('ei names mapping'!$B$104:$BK$133,MATCH(B460,'ei names mapping'!$A$4:$A$33,0),MATCH(G489,'ei names mapping'!$B$3:$BK$3,0))</f>
        <v>kilogram</v>
      </c>
      <c r="F489" s="12" t="s">
        <v>91</v>
      </c>
      <c r="G489" s="12" t="s">
        <v>27</v>
      </c>
      <c r="H489" s="12" t="str">
        <f>INDEX('ei names mapping'!$B$71:$BK$100,MATCH(B460,'ei names mapping'!$A$4:$A$33,0),MATCH(G489,'ei names mapping'!$B$3:$BK$3,0))</f>
        <v>petrol, low-sulfur</v>
      </c>
    </row>
    <row r="490" spans="1:8" s="21" customFormat="1" x14ac:dyDescent="0.3">
      <c r="A490" s="12" t="str">
        <f>INDEX('ei names mapping'!$B$4:$R$33,MATCH(B460,'ei names mapping'!$A$4:$A$33,0),MATCH(G490,'ei names mapping'!$B$3:$R$3,0))</f>
        <v>road maintenance</v>
      </c>
      <c r="B490" s="16">
        <f>INDEX('vehicles specifications'!$B$3:$CK$86,MATCH(B463,'vehicles specifications'!$A$3:$A$86,0),MATCH(G490,'vehicles specifications'!$B$2:$CK$2,0))*INDEX('ei names mapping'!$B$137:$BK$220,MATCH(B463,'ei names mapping'!$A$137:$A$220,0),MATCH(G490,'ei names mapping'!$B$136:$BK$136,0))</f>
        <v>1.2899999999999999E-3</v>
      </c>
      <c r="C490" s="12" t="str">
        <f>INDEX('ei names mapping'!$B$38:$R$67,MATCH(B460,'ei names mapping'!$A$4:$A$33,0),MATCH(G490,'ei names mapping'!$B$3:$R$3,0))</f>
        <v>CH</v>
      </c>
      <c r="D490" s="12" t="str">
        <f>INDEX('ei names mapping'!$B$104:$BK$133,MATCH(B460,'ei names mapping'!$A$4:$A$33,0),MATCH(G490,'ei names mapping'!$B$3:$BK$3,0))</f>
        <v>meter-year</v>
      </c>
      <c r="E490" s="12"/>
      <c r="F490" s="12" t="s">
        <v>91</v>
      </c>
      <c r="G490" s="21" t="s">
        <v>117</v>
      </c>
      <c r="H490" s="12" t="str">
        <f>INDEX('ei names mapping'!$B$71:$BK$100,MATCH(B460,'ei names mapping'!$A$4:$A$33,0),MATCH(G490,'ei names mapping'!$B$3:$BK$3,0))</f>
        <v>road maintenance</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7.4677814327013634E-2</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3.7573743057616917E-7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2.9728265987910503E-6</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5.5186509328161295E-5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7.0529899069459573E-4</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1.9709467617200459E-6</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1.9709467617200459E-6</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1.8132360967609141E-5</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4.9273669043001146E-6</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s="21" customFormat="1"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2.3973382411641201E-5</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s="21" customFormat="1"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1.690430811077264E-6</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s="21" customFormat="1"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3.44445149592546E-7</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s="21" customFormat="1"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2.7767578213306791E-6</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s="21" customFormat="1"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1.1393185717291907E-6</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s="21" customFormat="1"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8.5316413975999859E-7</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s="21" customFormat="1"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6.0410380082384996E-7</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s="21" customFormat="1"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3.921375549207447E-7</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s="21" customFormat="1"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3.868383987731671E-6</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s="21" customFormat="1"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2.0242776483746546E-6</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s="21" customFormat="1"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5.8290717623353947E-8</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s="21" customFormat="1"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5.8184734500402395E-6</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s="21" customFormat="1"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2.8774417881346538E-6</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s="21" customFormat="1"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1.1976092893525445E-6</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s="21" customFormat="1"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9.0085654508819725E-7</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s="21" customFormat="1"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3.9743671106832228E-7</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s="21" customFormat="1"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1.1658143524670789E-7</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s="21" customFormat="1"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3.2324852500223546E-7</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s="21" customFormat="1"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s="21" customFormat="1"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1.0068396680397498E-7</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s="21" customFormat="1"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5.3521477090534066E-7</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s="21" customFormat="1"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3.4650505847734325E-8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s="21" customFormat="1"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2.9871125730805451E-10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s="21" customFormat="1"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1.9914083820536969E-10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s="21" customFormat="1"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2.1507210526179924E-6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s="21" customFormat="1"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4.181957602312763E-8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s="21" customFormat="1"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1.2944154483349029E-8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s="21" customFormat="1"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1.5931267056429578E-8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s="21" customFormat="1"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3.1862534112859149E-11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s="21" customFormat="1"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8.6626264619335813E-9</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s="21" customFormat="1"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1.0753605263089963E-8</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-7.3669999999999991E-6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-8.3499999999999997E-6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Motorbike, gasoline, 4-11kW, EURO-5, 2040</v>
      </c>
    </row>
    <row r="536" spans="1:8" x14ac:dyDescent="0.3">
      <c r="A536" t="s">
        <v>73</v>
      </c>
      <c r="B536" t="s">
        <v>37</v>
      </c>
    </row>
    <row r="537" spans="1:8" x14ac:dyDescent="0.3">
      <c r="A537" t="s">
        <v>87</v>
      </c>
      <c r="B537" t="s">
        <v>714</v>
      </c>
    </row>
    <row r="538" spans="1:8" x14ac:dyDescent="0.3">
      <c r="A538" t="s">
        <v>88</v>
      </c>
      <c r="B538" s="12"/>
    </row>
    <row r="539" spans="1:8" x14ac:dyDescent="0.3">
      <c r="A539" t="s">
        <v>89</v>
      </c>
      <c r="B539" s="12">
        <v>2040</v>
      </c>
    </row>
    <row r="540" spans="1:8" x14ac:dyDescent="0.3">
      <c r="A540" t="s">
        <v>131</v>
      </c>
      <c r="B540" s="12" t="str">
        <f>B537&amp;" - "&amp;B539&amp;" - "&amp;B536</f>
        <v>Motorbike, gasoline, 4-11kW, EURO-5 - 2040 - CH</v>
      </c>
    </row>
    <row r="541" spans="1:8" x14ac:dyDescent="0.3">
      <c r="A541" t="s">
        <v>74</v>
      </c>
      <c r="B541" s="12" t="str">
        <f>"transport, "&amp;B537</f>
        <v>transport, Motorbike, gasoline, 4-11kW, EURO-5</v>
      </c>
    </row>
    <row r="542" spans="1:8" x14ac:dyDescent="0.3">
      <c r="A542" t="s">
        <v>75</v>
      </c>
      <c r="B542" t="s">
        <v>76</v>
      </c>
    </row>
    <row r="543" spans="1:8" x14ac:dyDescent="0.3">
      <c r="A543" t="s">
        <v>77</v>
      </c>
      <c r="B543" t="s">
        <v>172</v>
      </c>
    </row>
    <row r="544" spans="1:8" x14ac:dyDescent="0.3">
      <c r="A544" t="s">
        <v>79</v>
      </c>
      <c r="B544" t="s">
        <v>90</v>
      </c>
    </row>
    <row r="545" spans="1:2" x14ac:dyDescent="0.3">
      <c r="A545" t="s">
        <v>132</v>
      </c>
      <c r="B545">
        <f>INDEX('vehicles specifications'!$B$3:$CK$86,MATCH(B540,'vehicles specifications'!$A$3:$A$86,0),MATCH("Lifetime [km]",'vehicles specifications'!$B$2:$CK$2,0))</f>
        <v>39800</v>
      </c>
    </row>
    <row r="546" spans="1:2" x14ac:dyDescent="0.3">
      <c r="A546" t="s">
        <v>133</v>
      </c>
      <c r="B546">
        <f>INDEX('vehicles specifications'!$B$3:$CK$86,MATCH(B540,'vehicles specifications'!$A$3:$A$86,0),MATCH("Passengers [unit]",'vehicles specifications'!$B$2:$CK$2,0))</f>
        <v>1.1000000000000001</v>
      </c>
    </row>
    <row r="547" spans="1:2" x14ac:dyDescent="0.3">
      <c r="A547" t="s">
        <v>134</v>
      </c>
      <c r="B547">
        <f>INDEX('vehicles specifications'!$B$3:$CK$86,MATCH(B540,'vehicles specifications'!$A$3:$A$86,0),MATCH("Servicing [unit]",'vehicles specifications'!$B$2:$CK$2,0))</f>
        <v>1</v>
      </c>
    </row>
    <row r="548" spans="1:2" x14ac:dyDescent="0.3">
      <c r="A548" t="s">
        <v>135</v>
      </c>
      <c r="B548">
        <f>INDEX('vehicles specifications'!$B$3:$CK$86,MATCH(B540,'vehicles specifications'!$A$3:$A$86,0),MATCH("Energy battery replacement [unit]",'vehicles specifications'!$B$2:$CK$2,0))</f>
        <v>0</v>
      </c>
    </row>
    <row r="549" spans="1:2" x14ac:dyDescent="0.3">
      <c r="A549" t="s">
        <v>136</v>
      </c>
      <c r="B549">
        <f>INDEX('vehicles specifications'!$B$3:$CK$86,MATCH(B540,'vehicles specifications'!$A$3:$A$86,0),MATCH("Annual kilometers [km]",'vehicles specifications'!$B$2:$CK$2,0))</f>
        <v>2758</v>
      </c>
    </row>
    <row r="550" spans="1:2" x14ac:dyDescent="0.3">
      <c r="A550" t="s">
        <v>137</v>
      </c>
      <c r="B550" s="2">
        <f>INDEX('vehicles specifications'!$B$3:$CK$86,MATCH(B540,'vehicles specifications'!$A$3:$A$86,0),MATCH("Curb mass [kg]",'vehicles specifications'!$B$2:$CK$2,0))</f>
        <v>115.728314484542</v>
      </c>
    </row>
    <row r="551" spans="1:2" x14ac:dyDescent="0.3">
      <c r="A551" t="s">
        <v>138</v>
      </c>
      <c r="B551">
        <f>INDEX('vehicles specifications'!$B$3:$CK$86,MATCH(B540,'vehicles specifications'!$A$3:$A$86,0),MATCH("Power [kW]",'vehicles specifications'!$B$2:$CK$2,0))</f>
        <v>9</v>
      </c>
    </row>
    <row r="552" spans="1:2" x14ac:dyDescent="0.3">
      <c r="A552" t="s">
        <v>139</v>
      </c>
      <c r="B552">
        <f>INDEX('vehicles specifications'!$B$3:$CK$86,MATCH(B540,'vehicles specifications'!$A$3:$A$86,0),MATCH("Energy battery mass [kg]",'vehicles specifications'!$B$2:$CK$2,0))</f>
        <v>0</v>
      </c>
    </row>
    <row r="553" spans="1:2" x14ac:dyDescent="0.3">
      <c r="A553" t="s">
        <v>140</v>
      </c>
      <c r="B553">
        <f>INDEX('vehicles specifications'!$B$3:$CK$86,MATCH(B540,'vehicles specifications'!$A$3:$A$86,0),MATCH("Electric energy available [kWh]",'vehicles specifications'!$B$2:$CK$2,0))</f>
        <v>0</v>
      </c>
    </row>
    <row r="554" spans="1:2" x14ac:dyDescent="0.3">
      <c r="A554" t="s">
        <v>143</v>
      </c>
      <c r="B554" s="2">
        <f>INDEX('vehicles specifications'!$B$3:$CK$86,MATCH(B540,'vehicles specifications'!$A$3:$A$86,0),MATCH("Oxydation energy stored [kWh]",'vehicles specifications'!$B$2:$CK$2,0))</f>
        <v>79.5</v>
      </c>
    </row>
    <row r="555" spans="1:2" x14ac:dyDescent="0.3">
      <c r="A555" t="s">
        <v>145</v>
      </c>
      <c r="B555">
        <f>INDEX('vehicles specifications'!$B$3:$CK$86,MATCH(B540,'vehicles specifications'!$A$3:$A$86,0),MATCH("Fuel mass [kg]",'vehicles specifications'!$B$2:$CK$2,0))</f>
        <v>6.75</v>
      </c>
    </row>
    <row r="556" spans="1:2" x14ac:dyDescent="0.3">
      <c r="A556" t="s">
        <v>141</v>
      </c>
      <c r="B556" s="2">
        <f>INDEX('vehicles specifications'!$B$3:$CK$86,MATCH(B540,'vehicles specifications'!$A$3:$A$86,0),MATCH("Range [km]",'vehicles specifications'!$B$2:$CK$2,0))</f>
        <v>290.33814630505458</v>
      </c>
    </row>
    <row r="557" spans="1:2" x14ac:dyDescent="0.3">
      <c r="A557" t="s">
        <v>142</v>
      </c>
      <c r="B557" t="str">
        <f>INDEX('vehicles specifications'!$B$3:$CK$86,MATCH(B540,'vehicles specifications'!$A$3:$A$86,0),MATCH("Emission standard",'vehicles specifications'!$B$2:$CK$2,0))</f>
        <v>EURO-5</v>
      </c>
    </row>
    <row r="558" spans="1:2" x14ac:dyDescent="0.3">
      <c r="A558" t="s">
        <v>144</v>
      </c>
      <c r="B558" s="6">
        <f>INDEX('vehicles specifications'!$B$3:$CK$86,MATCH(B540,'vehicles specifications'!$A$3:$A$86,0),MATCH("Lightweighting rate [%]",'vehicles specifications'!$B$2:$CK$2,0))</f>
        <v>0.05</v>
      </c>
    </row>
    <row r="559" spans="1:2" x14ac:dyDescent="0.3">
      <c r="A559"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9 kW. Lifetime: 39800 km. Annual kilometers: 2758 km. Number of passengers: 1.1. Curb mass: 115.7 kg. Lightweighting of glider: 5%. Emission standard: EURO-5. Service visits throughout lifetime: 1. Range: 290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t="s">
        <v>81</v>
      </c>
      <c r="B561" t="s">
        <v>82</v>
      </c>
      <c r="C561" t="s">
        <v>73</v>
      </c>
      <c r="D561" t="s">
        <v>77</v>
      </c>
      <c r="E561" t="s">
        <v>83</v>
      </c>
      <c r="F561" t="s">
        <v>75</v>
      </c>
      <c r="G561" t="s">
        <v>84</v>
      </c>
      <c r="H561" t="s">
        <v>74</v>
      </c>
    </row>
    <row r="562" spans="1:8" x14ac:dyDescent="0.3">
      <c r="A562" s="12" t="str">
        <f>B535</f>
        <v>transport, Motorbike, gasoline, 4-11kW, EURO-5, 2040</v>
      </c>
      <c r="B562" s="12">
        <v>1</v>
      </c>
      <c r="C562" s="12" t="str">
        <f>B536</f>
        <v>CH</v>
      </c>
      <c r="D562" s="12" t="s">
        <v>172</v>
      </c>
      <c r="E562" s="12"/>
      <c r="F562" s="12" t="s">
        <v>85</v>
      </c>
      <c r="G562" s="12" t="s">
        <v>86</v>
      </c>
      <c r="H562" s="12" t="str">
        <f>B541</f>
        <v>transport, Motorbike, gasoline, 4-11kW, EURO-5</v>
      </c>
    </row>
    <row r="563" spans="1:8" x14ac:dyDescent="0.3">
      <c r="A563" s="12" t="str">
        <f>RIGHT(A562,LEN(A562)-11)</f>
        <v>Motorbike, gasoline, 4-11kW, EURO-5, 2040</v>
      </c>
      <c r="B563" s="12">
        <f>1/B545</f>
        <v>2.5125628140703518E-5</v>
      </c>
      <c r="C563" s="12" t="str">
        <f>B536</f>
        <v>CH</v>
      </c>
      <c r="D563" s="12" t="s">
        <v>77</v>
      </c>
      <c r="E563" s="12"/>
      <c r="F563" s="12" t="s">
        <v>91</v>
      </c>
      <c r="G563" s="12"/>
      <c r="H563" s="12" t="str">
        <f>RIGHT(H562,LEN(H562)-11)</f>
        <v>Motorbike, gasoline, 4-11kW, EURO-5</v>
      </c>
    </row>
    <row r="564" spans="1:8"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1.0671710487819906E-4</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maintenance, motor scooter</v>
      </c>
      <c r="B565" s="16">
        <f>INDEX('vehicles specifications'!$B$3:$CK$86,MATCH(B540,'vehicles specifications'!$A$3:$A$86,0),MATCH(G565,'vehicles specifications'!$B$2:$CK$2,0))*INDEX('ei names mapping'!$B$137:$BK$220,MATCH(B540,'ei names mapping'!$A$137:$A$220,0),MATCH(G565,'ei names mapping'!$B$136:$BK$136,0))</f>
        <v>2.5125628140703518E-5</v>
      </c>
      <c r="C565" s="12" t="str">
        <f>INDEX('ei names mapping'!$B$38:$BK$67,MATCH(B537,'ei names mapping'!$A$4:$A$33,0),MATCH(G565,'ei names mapping'!$B$3:$BK$3,0))</f>
        <v>CH</v>
      </c>
      <c r="D565" s="12" t="str">
        <f>INDEX('ei names mapping'!$B$104:$BK$133,MATCH(B537,'ei names mapping'!$A$4:$A$33,0),MATCH(G565,'ei names mapping'!$B$3:$BK$3,0))</f>
        <v>unit</v>
      </c>
      <c r="F565" s="12" t="s">
        <v>91</v>
      </c>
      <c r="G565" s="12" t="s">
        <v>123</v>
      </c>
      <c r="H565" s="12" t="str">
        <f>INDEX('ei names mapping'!$B$71:$BK$100,MATCH(B537,'ei names mapping'!$A$4:$A$33,0),MATCH(G565,'ei names mapping'!$B$3:$BK$3,0))</f>
        <v>maintenance, motor scooter</v>
      </c>
    </row>
    <row r="566" spans="1:8" x14ac:dyDescent="0.3">
      <c r="A566" s="12" t="str">
        <f>INDEX('ei names mapping'!$B$4:$R$33,MATCH(B537,'ei names mapping'!$A$4:$A$33,0),MATCH(G566,'ei names mapping'!$B$3:$R$3,0))</f>
        <v>market for petrol, low-sulfur</v>
      </c>
      <c r="B566" s="16">
        <f>INDEX('vehicles specifications'!$B$3:$CK$86,MATCH(B540,'vehicles specifications'!$A$3:$A$86,0),MATCH(G566,'vehicles specifications'!$B$2:$CK$2,0))*INDEX('ei names mapping'!$B$137:$BK$220,MATCH(B540,'ei names mapping'!$A$137:$A$220,0),MATCH(G566,'ei names mapping'!$B$136:$BK$136,0))</f>
        <v>2.3248753516900471E-2</v>
      </c>
      <c r="C566" s="12" t="str">
        <f>INDEX('ei names mapping'!$B$38:$BK$67,MATCH(B537,'ei names mapping'!$A$4:$A$33,0),MATCH(G566,'ei names mapping'!$B$3:$BK$3,0))</f>
        <v>CH</v>
      </c>
      <c r="D566" s="12" t="str">
        <f>INDEX('ei names mapping'!$B$104:$BK$133,MATCH(B537,'ei names mapping'!$A$4:$A$33,0),MATCH(G566,'ei names mapping'!$B$3:$BK$3,0))</f>
        <v>kilogram</v>
      </c>
      <c r="F566" s="12" t="s">
        <v>91</v>
      </c>
      <c r="G566" s="12" t="s">
        <v>27</v>
      </c>
      <c r="H566" s="12" t="str">
        <f>INDEX('ei names mapping'!$B$71:$BK$100,MATCH(B537,'ei names mapping'!$A$4:$A$33,0),MATCH(G566,'ei names mapping'!$B$3:$BK$3,0))</f>
        <v>petrol, low-sulfur</v>
      </c>
    </row>
    <row r="567" spans="1:8" s="21" customFormat="1" x14ac:dyDescent="0.3">
      <c r="A567" s="12" t="str">
        <f>INDEX('ei names mapping'!$B$4:$R$33,MATCH(B537,'ei names mapping'!$A$4:$A$33,0),MATCH(G567,'ei names mapping'!$B$3:$R$3,0))</f>
        <v>road maintenance</v>
      </c>
      <c r="B567" s="16">
        <f>INDEX('vehicles specifications'!$B$3:$CK$86,MATCH(B540,'vehicles specifications'!$A$3:$A$86,0),MATCH(G567,'vehicles specifications'!$B$2:$CK$2,0))*INDEX('ei names mapping'!$B$137:$BK$220,MATCH(B540,'ei names mapping'!$A$137:$A$220,0),MATCH(G567,'ei names mapping'!$B$136:$BK$136,0))</f>
        <v>1.2899999999999999E-3</v>
      </c>
      <c r="C567" s="12" t="str">
        <f>INDEX('ei names mapping'!$B$38:$R$67,MATCH(B537,'ei names mapping'!$A$4:$A$33,0),MATCH(G567,'ei names mapping'!$B$3:$R$3,0))</f>
        <v>CH</v>
      </c>
      <c r="D567" s="12" t="str">
        <f>INDEX('ei names mapping'!$B$104:$BK$133,MATCH(B537,'ei names mapping'!$A$4:$A$33,0),MATCH(G567,'ei names mapping'!$B$3:$BK$3,0))</f>
        <v>meter-year</v>
      </c>
      <c r="E567" s="12"/>
      <c r="F567" s="12" t="s">
        <v>91</v>
      </c>
      <c r="G567" s="21" t="s">
        <v>117</v>
      </c>
      <c r="H567" s="12" t="str">
        <f>INDEX('ei names mapping'!$B$71:$BK$100,MATCH(B537,'ei names mapping'!$A$4:$A$33,0),MATCH(G567,'ei names mapping'!$B$3:$BK$3,0))</f>
        <v>road maintenance</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7.3931036183743498E-2</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3.719800562704075E-7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2.9430983328031398E-6</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5.4634644234879682E-5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6.982460007876497E-4</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1.9512372941028455E-6</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1.9512372941028455E-6</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1.795103735793305E-5</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4.8780932352571135E-6</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s="21" customFormat="1"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2.3733648587524791E-5</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s="21" customFormat="1"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1.6735265029664914E-6</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s="21" customFormat="1"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3.4100069809662051E-7</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s="21" customFormat="1"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2.7489902431173722E-6</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s="21" customFormat="1"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1.1279253860118987E-6</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s="21" customFormat="1"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8.4463249836239867E-7</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s="21" customFormat="1"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5.9806276281561148E-7</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s="21" customFormat="1"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3.8821617937153727E-7</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s="21" customFormat="1"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3.8297001478543544E-6</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s="21" customFormat="1"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2.0040348718909082E-6</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s="21" customFormat="1"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5.7707810447120405E-8</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s="21" customFormat="1"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5.7602887155398365E-6</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s="21" customFormat="1"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2.8486673702533073E-6</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s="21" customFormat="1"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1.1856331964590191E-6</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s="21" customFormat="1"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8.9184797963731528E-7</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s="21" customFormat="1"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3.9346234395763905E-7</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s="21" customFormat="1"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1.1541562089424081E-7</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s="21" customFormat="1"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3.2001603975221312E-7</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s="21" customFormat="1"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s="21" customFormat="1"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9.9677127135935233E-8</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s="21" customFormat="1"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5.2986262319628733E-7</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s="21" customFormat="1"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3.4304000789256983E-8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s="21" customFormat="1"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2.9572414473497396E-10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s="21" customFormat="1"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1.9714942982331598E-10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s="21" customFormat="1"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2.1292138420918128E-6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s="21" customFormat="1"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4.1401380262896352E-8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s="21" customFormat="1"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1.281471293851554E-8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s="21" customFormat="1"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1.5771954385865283E-8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s="21" customFormat="1"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3.1543908771730556E-11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s="21" customFormat="1"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8.5760001973142457E-9</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s="21" customFormat="1"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1.0646069210459064E-8</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-7.3669999999999991E-6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-8.3499999999999997E-6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Motorbike, gasoline, 4-11kW, EURO-5, 2050</v>
      </c>
    </row>
    <row r="613" spans="1:8" x14ac:dyDescent="0.3">
      <c r="A613" t="s">
        <v>73</v>
      </c>
      <c r="B613" t="s">
        <v>37</v>
      </c>
    </row>
    <row r="614" spans="1:8" x14ac:dyDescent="0.3">
      <c r="A614" t="s">
        <v>87</v>
      </c>
      <c r="B614" t="s">
        <v>714</v>
      </c>
    </row>
    <row r="615" spans="1:8" x14ac:dyDescent="0.3">
      <c r="A615" t="s">
        <v>88</v>
      </c>
      <c r="B615" s="12"/>
    </row>
    <row r="616" spans="1:8" x14ac:dyDescent="0.3">
      <c r="A616" t="s">
        <v>89</v>
      </c>
      <c r="B616" s="12">
        <v>2050</v>
      </c>
    </row>
    <row r="617" spans="1:8" x14ac:dyDescent="0.3">
      <c r="A617" t="s">
        <v>131</v>
      </c>
      <c r="B617" s="12" t="str">
        <f>B614&amp;" - "&amp;B616&amp;" - "&amp;B613</f>
        <v>Motorbike, gasoline, 4-11kW, EURO-5 - 2050 - CH</v>
      </c>
    </row>
    <row r="618" spans="1:8" x14ac:dyDescent="0.3">
      <c r="A618" t="s">
        <v>74</v>
      </c>
      <c r="B618" s="12" t="str">
        <f>"transport, "&amp;B614</f>
        <v>transport, Motorbike, gasoline, 4-11kW, EURO-5</v>
      </c>
    </row>
    <row r="619" spans="1:8" x14ac:dyDescent="0.3">
      <c r="A619" t="s">
        <v>75</v>
      </c>
      <c r="B619" t="s">
        <v>76</v>
      </c>
    </row>
    <row r="620" spans="1:8" x14ac:dyDescent="0.3">
      <c r="A620" t="s">
        <v>77</v>
      </c>
      <c r="B620" t="s">
        <v>172</v>
      </c>
    </row>
    <row r="621" spans="1:8" x14ac:dyDescent="0.3">
      <c r="A621" t="s">
        <v>79</v>
      </c>
      <c r="B621" t="s">
        <v>90</v>
      </c>
    </row>
    <row r="622" spans="1:8" x14ac:dyDescent="0.3">
      <c r="A622" t="s">
        <v>132</v>
      </c>
      <c r="B622">
        <f>INDEX('vehicles specifications'!$B$3:$CK$86,MATCH(B617,'vehicles specifications'!$A$3:$A$86,0),MATCH("Lifetime [km]",'vehicles specifications'!$B$2:$CK$2,0))</f>
        <v>39800</v>
      </c>
    </row>
    <row r="623" spans="1:8" x14ac:dyDescent="0.3">
      <c r="A623" t="s">
        <v>133</v>
      </c>
      <c r="B623">
        <f>INDEX('vehicles specifications'!$B$3:$CK$86,MATCH(B617,'vehicles specifications'!$A$3:$A$86,0),MATCH("Passengers [unit]",'vehicles specifications'!$B$2:$CK$2,0))</f>
        <v>1.1000000000000001</v>
      </c>
    </row>
    <row r="624" spans="1:8" x14ac:dyDescent="0.3">
      <c r="A624" t="s">
        <v>134</v>
      </c>
      <c r="B624">
        <f>INDEX('vehicles specifications'!$B$3:$CK$86,MATCH(B617,'vehicles specifications'!$A$3:$A$86,0),MATCH("Servicing [unit]",'vehicles specifications'!$B$2:$CK$2,0))</f>
        <v>1</v>
      </c>
    </row>
    <row r="625" spans="1:8" x14ac:dyDescent="0.3">
      <c r="A625" t="s">
        <v>135</v>
      </c>
      <c r="B625">
        <f>INDEX('vehicles specifications'!$B$3:$CK$86,MATCH(B617,'vehicles specifications'!$A$3:$A$86,0),MATCH("Energy battery replacement [unit]",'vehicles specifications'!$B$2:$CK$2,0))</f>
        <v>0</v>
      </c>
    </row>
    <row r="626" spans="1:8" x14ac:dyDescent="0.3">
      <c r="A626" t="s">
        <v>136</v>
      </c>
      <c r="B626">
        <f>INDEX('vehicles specifications'!$B$3:$CK$86,MATCH(B617,'vehicles specifications'!$A$3:$A$86,0),MATCH("Annual kilometers [km]",'vehicles specifications'!$B$2:$CK$2,0))</f>
        <v>2758</v>
      </c>
    </row>
    <row r="627" spans="1:8" x14ac:dyDescent="0.3">
      <c r="A627" t="s">
        <v>137</v>
      </c>
      <c r="B627" s="2">
        <f>INDEX('vehicles specifications'!$B$3:$CK$86,MATCH(B617,'vehicles specifications'!$A$3:$A$86,0),MATCH("Curb mass [kg]",'vehicles specifications'!$B$2:$CK$2,0))</f>
        <v>114.41963794533542</v>
      </c>
    </row>
    <row r="628" spans="1:8" x14ac:dyDescent="0.3">
      <c r="A628" t="s">
        <v>138</v>
      </c>
      <c r="B628">
        <f>INDEX('vehicles specifications'!$B$3:$CK$86,MATCH(B617,'vehicles specifications'!$A$3:$A$86,0),MATCH("Power [kW]",'vehicles specifications'!$B$2:$CK$2,0))</f>
        <v>9</v>
      </c>
    </row>
    <row r="629" spans="1:8" x14ac:dyDescent="0.3">
      <c r="A629" t="s">
        <v>139</v>
      </c>
      <c r="B629">
        <f>INDEX('vehicles specifications'!$B$3:$CK$86,MATCH(B617,'vehicles specifications'!$A$3:$A$86,0),MATCH("Energy battery mass [kg]",'vehicles specifications'!$B$2:$CK$2,0))</f>
        <v>0</v>
      </c>
    </row>
    <row r="630" spans="1:8" x14ac:dyDescent="0.3">
      <c r="A630" t="s">
        <v>140</v>
      </c>
      <c r="B630">
        <f>INDEX('vehicles specifications'!$B$3:$CK$86,MATCH(B617,'vehicles specifications'!$A$3:$A$86,0),MATCH("Electric energy available [kWh]",'vehicles specifications'!$B$2:$CK$2,0))</f>
        <v>0</v>
      </c>
    </row>
    <row r="631" spans="1:8" x14ac:dyDescent="0.3">
      <c r="A631" t="s">
        <v>143</v>
      </c>
      <c r="B631" s="2">
        <f>INDEX('vehicles specifications'!$B$3:$CK$86,MATCH(B617,'vehicles specifications'!$A$3:$A$86,0),MATCH("Oxydation energy stored [kWh]",'vehicles specifications'!$B$2:$CK$2,0))</f>
        <v>79.5</v>
      </c>
    </row>
    <row r="632" spans="1:8" x14ac:dyDescent="0.3">
      <c r="A632" t="s">
        <v>145</v>
      </c>
      <c r="B632">
        <f>INDEX('vehicles specifications'!$B$3:$CK$86,MATCH(B617,'vehicles specifications'!$A$3:$A$86,0),MATCH("Fuel mass [kg]",'vehicles specifications'!$B$2:$CK$2,0))</f>
        <v>6.75</v>
      </c>
    </row>
    <row r="633" spans="1:8" x14ac:dyDescent="0.3">
      <c r="A633" t="s">
        <v>141</v>
      </c>
      <c r="B633" s="2">
        <f>INDEX('vehicles specifications'!$B$3:$CK$86,MATCH(B617,'vehicles specifications'!$A$3:$A$86,0),MATCH("Range [km]",'vehicles specifications'!$B$2:$CK$2,0))</f>
        <v>293.27085485359044</v>
      </c>
    </row>
    <row r="634" spans="1:8" x14ac:dyDescent="0.3">
      <c r="A634" t="s">
        <v>142</v>
      </c>
      <c r="B634" t="str">
        <f>INDEX('vehicles specifications'!$B$3:$CK$86,MATCH(B617,'vehicles specifications'!$A$3:$A$86,0),MATCH("Emission standard",'vehicles specifications'!$B$2:$CK$2,0))</f>
        <v>EURO-5</v>
      </c>
    </row>
    <row r="635" spans="1:8" x14ac:dyDescent="0.3">
      <c r="A635" t="s">
        <v>144</v>
      </c>
      <c r="B635" s="6">
        <f>INDEX('vehicles specifications'!$B$3:$CK$86,MATCH(B617,'vehicles specifications'!$A$3:$A$86,0),MATCH("Lightweighting rate [%]",'vehicles specifications'!$B$2:$CK$2,0))</f>
        <v>7.0000000000000007E-2</v>
      </c>
    </row>
    <row r="636" spans="1:8" x14ac:dyDescent="0.3">
      <c r="A636"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9 kW. Lifetime: 39800 km. Annual kilometers: 2758 km. Number of passengers: 1.1. Curb mass: 114.4 kg. Lightweighting of glider: 7%. Emission standard: EURO-5. Service visits throughout lifetime: 1. Range: 293 km. Battery capacity: 0 kWh. Battery mass: 0 kg. Battery replacement throughout lifetime: 0. Fuel tank capacity: 79.5 kWh. Fuel mass: 6.8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t="s">
        <v>81</v>
      </c>
      <c r="B638" t="s">
        <v>82</v>
      </c>
      <c r="C638" t="s">
        <v>73</v>
      </c>
      <c r="D638" t="s">
        <v>77</v>
      </c>
      <c r="E638" t="s">
        <v>83</v>
      </c>
      <c r="F638" t="s">
        <v>75</v>
      </c>
      <c r="G638" t="s">
        <v>84</v>
      </c>
      <c r="H638" t="s">
        <v>74</v>
      </c>
    </row>
    <row r="639" spans="1:8" x14ac:dyDescent="0.3">
      <c r="A639" s="12" t="str">
        <f>B612</f>
        <v>transport, Motorbike, gasoline, 4-11kW, EURO-5, 2050</v>
      </c>
      <c r="B639" s="12">
        <v>1</v>
      </c>
      <c r="C639" s="12" t="str">
        <f>B613</f>
        <v>CH</v>
      </c>
      <c r="D639" s="12" t="s">
        <v>172</v>
      </c>
      <c r="E639" s="12"/>
      <c r="F639" s="12" t="s">
        <v>85</v>
      </c>
      <c r="G639" s="12" t="s">
        <v>86</v>
      </c>
      <c r="H639" s="12" t="str">
        <f>B618</f>
        <v>transport, Motorbike, gasoline, 4-11kW, EURO-5</v>
      </c>
    </row>
    <row r="640" spans="1:8" x14ac:dyDescent="0.3">
      <c r="A640" s="12" t="str">
        <f>RIGHT(A639,LEN(A639)-11)</f>
        <v>Motorbike, gasoline, 4-11kW, EURO-5, 2050</v>
      </c>
      <c r="B640" s="12">
        <f>1/B622</f>
        <v>2.5125628140703518E-5</v>
      </c>
      <c r="C640" s="12" t="str">
        <f>B613</f>
        <v>CH</v>
      </c>
      <c r="D640" s="12" t="s">
        <v>77</v>
      </c>
      <c r="E640" s="12"/>
      <c r="F640" s="12" t="s">
        <v>91</v>
      </c>
      <c r="G640" s="12"/>
      <c r="H640" s="12" t="str">
        <f>RIGHT(H639,LEN(H639)-11)</f>
        <v>Motorbike, gasoline, 4-11kW, EURO-5</v>
      </c>
    </row>
    <row r="641" spans="1:8"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1.0601434557664512E-4</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maintenance, motor scooter</v>
      </c>
      <c r="B642" s="16">
        <f>INDEX('vehicles specifications'!$B$3:$CK$86,MATCH(B617,'vehicles specifications'!$A$3:$A$86,0),MATCH(G642,'vehicles specifications'!$B$2:$CK$2,0))*INDEX('ei names mapping'!$B$137:$BK$220,MATCH(B617,'ei names mapping'!$A$137:$A$220,0),MATCH(G642,'ei names mapping'!$B$136:$BK$136,0))</f>
        <v>2.5125628140703518E-5</v>
      </c>
      <c r="C642" s="12" t="str">
        <f>INDEX('ei names mapping'!$B$38:$BK$67,MATCH(B614,'ei names mapping'!$A$4:$A$33,0),MATCH(G642,'ei names mapping'!$B$3:$BK$3,0))</f>
        <v>CH</v>
      </c>
      <c r="D642" s="12" t="str">
        <f>INDEX('ei names mapping'!$B$104:$BK$133,MATCH(B614,'ei names mapping'!$A$4:$A$33,0),MATCH(G642,'ei names mapping'!$B$3:$BK$3,0))</f>
        <v>unit</v>
      </c>
      <c r="F642" s="12" t="s">
        <v>91</v>
      </c>
      <c r="G642" s="12" t="s">
        <v>123</v>
      </c>
      <c r="H642" s="12" t="str">
        <f>INDEX('ei names mapping'!$B$71:$BK$100,MATCH(B614,'ei names mapping'!$A$4:$A$33,0),MATCH(G642,'ei names mapping'!$B$3:$BK$3,0))</f>
        <v>maintenance, motor scooter</v>
      </c>
    </row>
    <row r="643" spans="1:8" x14ac:dyDescent="0.3">
      <c r="A643" s="12" t="str">
        <f>INDEX('ei names mapping'!$B$4:$R$33,MATCH(B614,'ei names mapping'!$A$4:$A$33,0),MATCH(G643,'ei names mapping'!$B$3:$R$3,0))</f>
        <v>market for petrol, low-sulfur</v>
      </c>
      <c r="B643" s="16">
        <f>INDEX('vehicles specifications'!$B$3:$CK$86,MATCH(B617,'vehicles specifications'!$A$3:$A$86,0),MATCH(G643,'vehicles specifications'!$B$2:$CK$2,0))*INDEX('ei names mapping'!$B$137:$BK$220,MATCH(B617,'ei names mapping'!$A$137:$A$220,0),MATCH(G643,'ei names mapping'!$B$136:$BK$136,0))</f>
        <v>2.3016265981731468E-2</v>
      </c>
      <c r="C643" s="12" t="str">
        <f>INDEX('ei names mapping'!$B$38:$BK$67,MATCH(B614,'ei names mapping'!$A$4:$A$33,0),MATCH(G643,'ei names mapping'!$B$3:$BK$3,0))</f>
        <v>CH</v>
      </c>
      <c r="D643" s="12" t="str">
        <f>INDEX('ei names mapping'!$B$104:$BK$133,MATCH(B614,'ei names mapping'!$A$4:$A$33,0),MATCH(G643,'ei names mapping'!$B$3:$BK$3,0))</f>
        <v>kilogram</v>
      </c>
      <c r="F643" s="12" t="s">
        <v>91</v>
      </c>
      <c r="G643" s="12" t="s">
        <v>27</v>
      </c>
      <c r="H643" s="12" t="str">
        <f>INDEX('ei names mapping'!$B$71:$BK$100,MATCH(B614,'ei names mapping'!$A$4:$A$33,0),MATCH(G643,'ei names mapping'!$B$3:$BK$3,0))</f>
        <v>petrol, low-sulfur</v>
      </c>
    </row>
    <row r="644" spans="1:8" s="21" customFormat="1" x14ac:dyDescent="0.3">
      <c r="A644" s="12" t="str">
        <f>INDEX('ei names mapping'!$B$4:$R$33,MATCH(B614,'ei names mapping'!$A$4:$A$33,0),MATCH(G644,'ei names mapping'!$B$3:$R$3,0))</f>
        <v>road maintenance</v>
      </c>
      <c r="B644" s="16">
        <f>INDEX('vehicles specifications'!$B$3:$CK$86,MATCH(B617,'vehicles specifications'!$A$3:$A$86,0),MATCH(G644,'vehicles specifications'!$B$2:$CK$2,0))*INDEX('ei names mapping'!$B$137:$BK$220,MATCH(B617,'ei names mapping'!$A$137:$A$220,0),MATCH(G644,'ei names mapping'!$B$136:$BK$136,0))</f>
        <v>1.2899999999999999E-3</v>
      </c>
      <c r="C644" s="12" t="str">
        <f>INDEX('ei names mapping'!$B$38:$R$67,MATCH(B614,'ei names mapping'!$A$4:$A$33,0),MATCH(G644,'ei names mapping'!$B$3:$R$3,0))</f>
        <v>CH</v>
      </c>
      <c r="D644" s="12" t="str">
        <f>INDEX('ei names mapping'!$B$104:$BK$133,MATCH(B614,'ei names mapping'!$A$4:$A$33,0),MATCH(G644,'ei names mapping'!$B$3:$BK$3,0))</f>
        <v>meter-year</v>
      </c>
      <c r="E644" s="12"/>
      <c r="F644" s="12" t="s">
        <v>91</v>
      </c>
      <c r="G644" s="21" t="s">
        <v>117</v>
      </c>
      <c r="H644" s="12" t="str">
        <f>INDEX('ei names mapping'!$B$71:$BK$100,MATCH(B614,'ei names mapping'!$A$4:$A$33,0),MATCH(G644,'ei names mapping'!$B$3:$BK$3,0))</f>
        <v>road maintenance</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7.3191725821906056E-2</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3.682602557077034E-7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2.9136673494751086E-6</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5.4088297792530884E-5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6.912635407797733E-4</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1.9317249211618169E-6</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1.9317249211618169E-6</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1.7771526984353721E-5</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4.8293123029045427E-6</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s="21" customFormat="1"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2.3496312101649541E-5</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s="21" customFormat="1"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1.6567912379368265E-6</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s="21" customFormat="1"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3.3759069111565431E-7</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s="21" customFormat="1"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2.7215003406861984E-6</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s="21" customFormat="1"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1.1166461321517797E-6</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s="21" customFormat="1"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8.3618617337877467E-7</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s="21" customFormat="1"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5.9208213518745539E-7</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s="21" customFormat="1"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3.8433401757782191E-7</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s="21" customFormat="1"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3.7914031463758107E-6</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s="21" customFormat="1"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1.9839945231719991E-6</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s="21" customFormat="1"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5.7130732342649204E-8</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s="21" customFormat="1"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5.7026858283844389E-6</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s="21" customFormat="1"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2.8201806965507743E-6</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s="21" customFormat="1"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1.173776864494429E-6</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s="21" customFormat="1"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8.8292949984094216E-7</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s="21" customFormat="1"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3.8952772051806267E-7</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s="21" customFormat="1"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1.1426146468529841E-7</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s="21" customFormat="1"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3.16815879354691E-7</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s="21" customFormat="1"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s="21" customFormat="1"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9.8680355864575885E-8</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s="21" customFormat="1"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5.2456399696432443E-7</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s="21" customFormat="1"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3.3960960781364411E-8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s="21" customFormat="1"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2.9276690328762423E-10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s="21" customFormat="1"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1.9517793552508282E-10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s="21" customFormat="1"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2.1079217036708944E-6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s="21" customFormat="1"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4.0987366460267393E-8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s="21" customFormat="1"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1.2686565809130383E-8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s="21" customFormat="1"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1.5614234842006629E-8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s="21" customFormat="1"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3.1228469684013252E-11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s="21" customFormat="1"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8.4902401953411028E-9</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s="21" customFormat="1"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1.0539608518354472E-8</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-7.3669999999999991E-6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-8.3499999999999997E-6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topLeftCell="A325" workbookViewId="0">
      <selection activeCell="G36" sqref="G36"/>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gasoline, 11-35kW, EURO-3, 2006</v>
      </c>
    </row>
    <row r="2" spans="1:2" x14ac:dyDescent="0.3">
      <c r="A2" t="s">
        <v>73</v>
      </c>
      <c r="B2" t="s">
        <v>37</v>
      </c>
    </row>
    <row r="3" spans="1:2" x14ac:dyDescent="0.3">
      <c r="A3" t="s">
        <v>87</v>
      </c>
      <c r="B3" t="s">
        <v>694</v>
      </c>
    </row>
    <row r="4" spans="1:2" x14ac:dyDescent="0.3">
      <c r="A4" t="s">
        <v>88</v>
      </c>
      <c r="B4" s="12"/>
    </row>
    <row r="5" spans="1:2" x14ac:dyDescent="0.3">
      <c r="A5" t="s">
        <v>89</v>
      </c>
      <c r="B5" s="12">
        <v>2006</v>
      </c>
    </row>
    <row r="6" spans="1:2" x14ac:dyDescent="0.3">
      <c r="A6" t="s">
        <v>131</v>
      </c>
      <c r="B6" s="12" t="str">
        <f>B3&amp;" - "&amp;B5&amp;" - "&amp;B2</f>
        <v>Motorbike, gasoline, 11-35kW, EURO-3 - 2006 - CH</v>
      </c>
    </row>
    <row r="7" spans="1:2" x14ac:dyDescent="0.3">
      <c r="A7" t="s">
        <v>74</v>
      </c>
      <c r="B7" t="str">
        <f>B3</f>
        <v>Motorbike, gasoline, 11-35kW, EURO-3</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62100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1.242</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4592</v>
      </c>
    </row>
    <row r="16" spans="1:2" x14ac:dyDescent="0.3">
      <c r="A16" t="s">
        <v>137</v>
      </c>
      <c r="B16" s="2">
        <f>INDEX('vehicles specifications'!$B$3:$CK$86,MATCH(B6,'vehicles specifications'!$A$3:$A$86,0),MATCH("Curb mass [kg]",'vehicles specifications'!$B$2:$CK$2,0))</f>
        <v>159.98750000000001</v>
      </c>
    </row>
    <row r="17" spans="1:8" x14ac:dyDescent="0.3">
      <c r="A17" t="s">
        <v>138</v>
      </c>
      <c r="B17">
        <f>INDEX('vehicles specifications'!$B$3:$CK$86,MATCH(B6,'vehicles specifications'!$A$3:$A$86,0),MATCH("Power [kW]",'vehicles specifications'!$B$2:$CK$2,0))</f>
        <v>20</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s="2">
        <f>INDEX('vehicles specifications'!$B$3:$CK$86,MATCH(B6,'vehicles specifications'!$A$3:$A$86,0),MATCH("Oxydation energy stored [kWh]",'vehicles specifications'!$B$2:$CK$2,0))</f>
        <v>132.5</v>
      </c>
    </row>
    <row r="21" spans="1:8" x14ac:dyDescent="0.3">
      <c r="A21" t="s">
        <v>145</v>
      </c>
      <c r="B21">
        <f>INDEX('vehicles specifications'!$B$3:$CK$86,MATCH(B6,'vehicles specifications'!$A$3:$A$86,0),MATCH("Fuel mass [kg]",'vehicles specifications'!$B$2:$CK$2,0))</f>
        <v>11.25</v>
      </c>
    </row>
    <row r="22" spans="1:8" x14ac:dyDescent="0.3">
      <c r="A22" t="s">
        <v>141</v>
      </c>
      <c r="B22" s="2">
        <f>INDEX('vehicles specifications'!$B$3:$CK$86,MATCH(B6,'vehicles specifications'!$A$3:$A$86,0),MATCH("Range [km]",'vehicles specifications'!$B$2:$CK$2,0))</f>
        <v>320.51106557529852</v>
      </c>
    </row>
    <row r="23" spans="1:8" x14ac:dyDescent="0.3">
      <c r="A23" t="s">
        <v>142</v>
      </c>
      <c r="B23" t="str">
        <f>INDEX('vehicles specifications'!$B$3:$CK$86,MATCH(B6,'vehicles specifications'!$A$3:$A$86,0),MATCH("Emission standard",'vehicles specifications'!$B$2:$CK$2,0))</f>
        <v>EURO-3</v>
      </c>
    </row>
    <row r="24" spans="1:8" ht="15" customHeight="1" x14ac:dyDescent="0.3">
      <c r="A24" t="s">
        <v>144</v>
      </c>
      <c r="B24" s="6">
        <f>INDEX('vehicles specifications'!$B$3:$CK$86,MATCH(B6,'vehicles specifications'!$A$3:$A$86,0),MATCH("Lightweighting rate [%]",'vehicles specifications'!$B$2:$CK$2,0))</f>
        <v>-0.05</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20 kW. Lifetime: 62100 km. Annual kilometers: 4592 km. Number of passengers: 1.1. Curb mass: 160 kg. Lightweighting of glider: -5%. Emission standard: EURO-3. Service visits throughout lifetime: 1.2. Range: 321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Motorbike, gasoline, 11-35kW, EURO-3, 2006</v>
      </c>
      <c r="B31" s="12">
        <v>1</v>
      </c>
      <c r="C31" s="12" t="str">
        <f>B2</f>
        <v>CH</v>
      </c>
      <c r="D31" s="12" t="str">
        <f>B9</f>
        <v>unit</v>
      </c>
      <c r="E31" s="12"/>
      <c r="F31" s="12" t="s">
        <v>85</v>
      </c>
      <c r="G31" s="12" t="s">
        <v>86</v>
      </c>
      <c r="H31" s="12" t="str">
        <f>B3</f>
        <v>Motorbike, gasoline, 11-35kW,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0.9</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0.68888888888888888</v>
      </c>
      <c r="C33" s="12" t="str">
        <f>INDEX('ei names mapping'!$B$38:$R$67,MATCH(B3,'ei names mapping'!$A$4:$A$33,0),MATCH(G33,'ei names mapping'!$B$3:$R$3,0))</f>
        <v>RER</v>
      </c>
      <c r="D33" s="12" t="str">
        <f>INDEX('ei names mapping'!$B$104:$R$133,MATCH(B3,'ei names mapping'!$A$104:$A$133,0),MATCH(G33,'ei names mapping'!$B$3:$R$3,0))</f>
        <v>unit</v>
      </c>
      <c r="E33" s="12"/>
      <c r="F33" s="12" t="s">
        <v>91</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1.6875</v>
      </c>
      <c r="C34" s="12" t="str">
        <f>INDEX('ei names mapping'!$B$38:$R$67,MATCH(B3,'ei names mapping'!$A$4:$A$33,0),MATCH(G34,'ei names mapping'!$B$3:$R$3,0))</f>
        <v>RER</v>
      </c>
      <c r="D34" s="12" t="str">
        <f>INDEX('ei names mapping'!$B$104:$R$133,MATCH(B3,'ei names mapping'!$A$104:$A$133,0),MATCH(G34,'ei names mapping'!$B$3:$R$3,0))</f>
        <v>kilogram</v>
      </c>
      <c r="E34" s="12"/>
      <c r="F34" s="12" t="s">
        <v>91</v>
      </c>
      <c r="G34" t="s">
        <v>24</v>
      </c>
      <c r="H34" s="12" t="str">
        <f>INDEX('ei names mapping'!$B$71:$R$100,MATCH(B3,'ei names mapping'!$A$4:$A$33,0),MATCH(G34,'ei names mapping'!$B$3:$R$3,0))</f>
        <v>polyethylene, high density, granulate</v>
      </c>
    </row>
    <row r="35" spans="1:8" s="21" customFormat="1" x14ac:dyDescent="0.3">
      <c r="A35" s="22" t="s">
        <v>468</v>
      </c>
      <c r="B35" s="21">
        <f>(B16/1000)*B27</f>
        <v>159.98750000000001</v>
      </c>
      <c r="C35" s="21" t="s">
        <v>94</v>
      </c>
      <c r="D35" s="21" t="s">
        <v>243</v>
      </c>
      <c r="F35" s="21" t="s">
        <v>91</v>
      </c>
      <c r="H35" s="22" t="s">
        <v>469</v>
      </c>
    </row>
    <row r="36" spans="1:8" s="21" customFormat="1" x14ac:dyDescent="0.3">
      <c r="A36" s="22" t="s">
        <v>467</v>
      </c>
      <c r="B36" s="2">
        <f>(B16/1000)*B26</f>
        <v>2543.80125</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Motorbike, gasoline, 11-35kW, EURO-4, 2016</v>
      </c>
    </row>
    <row r="39" spans="1:8" x14ac:dyDescent="0.3">
      <c r="A39" t="s">
        <v>73</v>
      </c>
      <c r="B39" t="s">
        <v>37</v>
      </c>
    </row>
    <row r="40" spans="1:8" x14ac:dyDescent="0.3">
      <c r="A40" t="s">
        <v>87</v>
      </c>
      <c r="B40" t="s">
        <v>695</v>
      </c>
    </row>
    <row r="41" spans="1:8" x14ac:dyDescent="0.3">
      <c r="A41" t="s">
        <v>88</v>
      </c>
      <c r="B41" s="12"/>
    </row>
    <row r="42" spans="1:8" x14ac:dyDescent="0.3">
      <c r="A42" t="s">
        <v>89</v>
      </c>
      <c r="B42" s="12">
        <v>2016</v>
      </c>
    </row>
    <row r="43" spans="1:8" x14ac:dyDescent="0.3">
      <c r="A43" t="s">
        <v>131</v>
      </c>
      <c r="B43" s="12" t="str">
        <f>B40&amp;" - "&amp;B42&amp;" - "&amp;B39</f>
        <v>Motorbike, gasoline, 11-35kW, EURO-4 - 2016 - CH</v>
      </c>
    </row>
    <row r="44" spans="1:8" x14ac:dyDescent="0.3">
      <c r="A44" t="s">
        <v>74</v>
      </c>
      <c r="B44" t="str">
        <f>B40</f>
        <v>Motorbike, gasoline, 11-35kW, EURO-4</v>
      </c>
    </row>
    <row r="45" spans="1:8" x14ac:dyDescent="0.3">
      <c r="A45" t="s">
        <v>75</v>
      </c>
      <c r="B45" t="s">
        <v>76</v>
      </c>
    </row>
    <row r="46" spans="1:8" x14ac:dyDescent="0.3">
      <c r="A46" t="s">
        <v>77</v>
      </c>
      <c r="B46" t="s">
        <v>77</v>
      </c>
    </row>
    <row r="47" spans="1:8" x14ac:dyDescent="0.3">
      <c r="A47" t="s">
        <v>79</v>
      </c>
      <c r="B47" t="s">
        <v>90</v>
      </c>
    </row>
    <row r="48" spans="1:8" x14ac:dyDescent="0.3">
      <c r="A48" t="s">
        <v>132</v>
      </c>
      <c r="B48">
        <f>INDEX('vehicles specifications'!$B$3:$CK$86,MATCH(B43,'vehicles specifications'!$A$3:$A$86,0),MATCH("Lifetime [km]",'vehicles specifications'!$B$2:$CK$2,0))</f>
        <v>62100</v>
      </c>
    </row>
    <row r="49" spans="1:2" x14ac:dyDescent="0.3">
      <c r="A49" t="s">
        <v>133</v>
      </c>
      <c r="B49">
        <f>INDEX('vehicles specifications'!$B$3:$CK$86,MATCH(B43,'vehicles specifications'!$A$3:$A$86,0),MATCH("Passengers [unit]",'vehicles specifications'!$B$2:$CK$2,0))</f>
        <v>1.1000000000000001</v>
      </c>
    </row>
    <row r="50" spans="1:2" x14ac:dyDescent="0.3">
      <c r="A50" t="s">
        <v>134</v>
      </c>
      <c r="B50">
        <f>INDEX('vehicles specifications'!$B$3:$CK$86,MATCH(B43,'vehicles specifications'!$A$3:$A$86,0),MATCH("Servicing [unit]",'vehicles specifications'!$B$2:$CK$2,0))</f>
        <v>1.242</v>
      </c>
    </row>
    <row r="51" spans="1:2" x14ac:dyDescent="0.3">
      <c r="A51" t="s">
        <v>135</v>
      </c>
      <c r="B51">
        <f>INDEX('vehicles specifications'!$B$3:$CK$86,MATCH(B43,'vehicles specifications'!$A$3:$A$86,0),MATCH("Energy battery replacement [unit]",'vehicles specifications'!$B$2:$CK$2,0))</f>
        <v>0</v>
      </c>
    </row>
    <row r="52" spans="1:2" x14ac:dyDescent="0.3">
      <c r="A52" t="s">
        <v>136</v>
      </c>
      <c r="B52">
        <f>INDEX('vehicles specifications'!$B$3:$CK$86,MATCH(B43,'vehicles specifications'!$A$3:$A$86,0),MATCH("Annual kilometers [km]",'vehicles specifications'!$B$2:$CK$2,0))</f>
        <v>4592</v>
      </c>
    </row>
    <row r="53" spans="1:2" x14ac:dyDescent="0.3">
      <c r="A53" t="s">
        <v>137</v>
      </c>
      <c r="B53" s="2">
        <f>INDEX('vehicles specifications'!$B$3:$CK$86,MATCH(B43,'vehicles specifications'!$A$3:$A$86,0),MATCH("Curb mass [kg]",'vehicles specifications'!$B$2:$CK$2,0))</f>
        <v>157.5575</v>
      </c>
    </row>
    <row r="54" spans="1:2" x14ac:dyDescent="0.3">
      <c r="A54" t="s">
        <v>138</v>
      </c>
      <c r="B54">
        <f>INDEX('vehicles specifications'!$B$3:$CK$86,MATCH(B43,'vehicles specifications'!$A$3:$A$86,0),MATCH("Power [kW]",'vehicles specifications'!$B$2:$CK$2,0))</f>
        <v>20</v>
      </c>
    </row>
    <row r="55" spans="1:2" x14ac:dyDescent="0.3">
      <c r="A55" t="s">
        <v>139</v>
      </c>
      <c r="B55">
        <f>INDEX('vehicles specifications'!$B$3:$CK$86,MATCH(B43,'vehicles specifications'!$A$3:$A$86,0),MATCH("Energy battery mass [kg]",'vehicles specifications'!$B$2:$CK$2,0))</f>
        <v>0</v>
      </c>
    </row>
    <row r="56" spans="1:2" x14ac:dyDescent="0.3">
      <c r="A56" t="s">
        <v>140</v>
      </c>
      <c r="B56">
        <f>INDEX('vehicles specifications'!$B$3:$CK$86,MATCH(B43,'vehicles specifications'!$A$3:$A$86,0),MATCH("Electric energy available [kWh]",'vehicles specifications'!$B$2:$CK$2,0))</f>
        <v>0</v>
      </c>
    </row>
    <row r="57" spans="1:2" x14ac:dyDescent="0.3">
      <c r="A57" t="s">
        <v>143</v>
      </c>
      <c r="B57" s="2">
        <f>INDEX('vehicles specifications'!$B$3:$CK$86,MATCH(B43,'vehicles specifications'!$A$3:$A$86,0),MATCH("Oxydation energy stored [kWh]",'vehicles specifications'!$B$2:$CK$2,0))</f>
        <v>132.5</v>
      </c>
    </row>
    <row r="58" spans="1:2" x14ac:dyDescent="0.3">
      <c r="A58" t="s">
        <v>145</v>
      </c>
      <c r="B58">
        <f>INDEX('vehicles specifications'!$B$3:$CK$86,MATCH(B43,'vehicles specifications'!$A$3:$A$86,0),MATCH("Fuel mass [kg]",'vehicles specifications'!$B$2:$CK$2,0))</f>
        <v>11.25</v>
      </c>
    </row>
    <row r="59" spans="1:2" x14ac:dyDescent="0.3">
      <c r="A59" t="s">
        <v>141</v>
      </c>
      <c r="B59" s="2">
        <f>INDEX('vehicles specifications'!$B$3:$CK$86,MATCH(B43,'vehicles specifications'!$A$3:$A$86,0),MATCH("Range [km]",'vehicles specifications'!$B$2:$CK$2,0))</f>
        <v>323.71617623105146</v>
      </c>
    </row>
    <row r="60" spans="1:2" x14ac:dyDescent="0.3">
      <c r="A60" t="s">
        <v>142</v>
      </c>
      <c r="B60" t="str">
        <f>INDEX('vehicles specifications'!$B$3:$CK$86,MATCH(B43,'vehicles specifications'!$A$3:$A$86,0),MATCH("Emission standard",'vehicles specifications'!$B$2:$CK$2,0))</f>
        <v>EURO-4</v>
      </c>
    </row>
    <row r="61" spans="1:2" x14ac:dyDescent="0.3">
      <c r="A61" t="s">
        <v>144</v>
      </c>
      <c r="B61" s="6">
        <f>INDEX('vehicles specifications'!$B$3:$CK$86,MATCH(B43,'vehicles specifications'!$A$3:$A$86,0),MATCH("Lightweighting rate [%]",'vehicles specifications'!$B$2:$CK$2,0))</f>
        <v>-0.02</v>
      </c>
    </row>
    <row r="62" spans="1:2" s="21" customFormat="1" x14ac:dyDescent="0.3">
      <c r="A62" s="21" t="s">
        <v>513</v>
      </c>
      <c r="B62" s="6" t="s">
        <v>514</v>
      </c>
    </row>
    <row r="63" spans="1:2" s="21" customFormat="1" x14ac:dyDescent="0.3">
      <c r="A63" s="21" t="s">
        <v>515</v>
      </c>
      <c r="B63" s="2">
        <v>15900</v>
      </c>
    </row>
    <row r="64" spans="1:2" s="21" customFormat="1" x14ac:dyDescent="0.3">
      <c r="A64" s="21" t="s">
        <v>516</v>
      </c>
      <c r="B64" s="2">
        <v>1000</v>
      </c>
    </row>
    <row r="65" spans="1:8" s="21" customFormat="1"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20 kW. Lifetime: 62100 km. Annual kilometers: 4592 km. Number of passengers: 1.1. Curb mass: 157.6 kg. Lightweighting of glider: -2%. Emission standard: EURO-4. Service visits throughout lifetime: 1.2. Range: 324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t="s">
        <v>81</v>
      </c>
      <c r="B67" t="s">
        <v>82</v>
      </c>
      <c r="C67" t="s">
        <v>73</v>
      </c>
      <c r="D67" t="s">
        <v>77</v>
      </c>
      <c r="E67" t="s">
        <v>83</v>
      </c>
      <c r="F67" t="s">
        <v>75</v>
      </c>
      <c r="G67" t="s">
        <v>84</v>
      </c>
      <c r="H67" t="s">
        <v>74</v>
      </c>
    </row>
    <row r="68" spans="1:8" x14ac:dyDescent="0.3">
      <c r="A68" s="12" t="str">
        <f>B38</f>
        <v>Motorbike, gasoline, 11-35kW, EURO-4, 2016</v>
      </c>
      <c r="B68" s="12">
        <v>1</v>
      </c>
      <c r="C68" s="12" t="str">
        <f>B39</f>
        <v>CH</v>
      </c>
      <c r="D68" s="12" t="str">
        <f>B46</f>
        <v>unit</v>
      </c>
      <c r="E68" s="12"/>
      <c r="F68" s="12" t="s">
        <v>85</v>
      </c>
      <c r="G68" s="12" t="s">
        <v>86</v>
      </c>
      <c r="H68" s="12" t="str">
        <f>B40</f>
        <v>Motorbike, gasoline, 11-35kW,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0.9</v>
      </c>
      <c r="C69" s="12" t="str">
        <f>INDEX('ei names mapping'!$B$38:$R$67,MATCH(B40,'ei names mapping'!$A$4:$A$33,0),MATCH(G69,'ei names mapping'!$B$3:$R$3,0))</f>
        <v>RER</v>
      </c>
      <c r="D69" s="12" t="str">
        <f>INDEX('ei names mapping'!$B$104:$R$133,MATCH(B40,'ei names mapping'!$A$104:$A$133,0),MATCH(G69,'ei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0.68888888888888888</v>
      </c>
      <c r="C70" s="12" t="str">
        <f>INDEX('ei names mapping'!$B$38:$R$67,MATCH(B40,'ei names mapping'!$A$4:$A$33,0),MATCH(G70,'ei names mapping'!$B$3:$R$3,0))</f>
        <v>RER</v>
      </c>
      <c r="D70" s="12" t="str">
        <f>INDEX('ei names mapping'!$B$104:$R$133,MATCH(B40,'ei names mapping'!$A$104:$A$133,0),MATCH(G70,'ei names mapping'!$B$3:$R$3,0))</f>
        <v>unit</v>
      </c>
      <c r="E70" s="12"/>
      <c r="F70" s="12" t="s">
        <v>91</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1.6875</v>
      </c>
      <c r="C71" s="12" t="str">
        <f>INDEX('ei names mapping'!$B$38:$R$67,MATCH(B40,'ei names mapping'!$A$4:$A$33,0),MATCH(G71,'ei names mapping'!$B$3:$R$3,0))</f>
        <v>RER</v>
      </c>
      <c r="D71" s="12" t="str">
        <f>INDEX('ei names mapping'!$B$104:$R$133,MATCH(B40,'ei names mapping'!$A$104:$A$133,0),MATCH(G71,'ei names mapping'!$B$3:$R$3,0))</f>
        <v>kilogram</v>
      </c>
      <c r="E71" s="12"/>
      <c r="F71" s="12" t="s">
        <v>91</v>
      </c>
      <c r="G71" t="s">
        <v>24</v>
      </c>
      <c r="H71" s="12" t="str">
        <f>INDEX('ei names mapping'!$B$71:$R$100,MATCH(B40,'ei names mapping'!$A$4:$A$33,0),MATCH(G71,'ei names mapping'!$B$3:$R$3,0))</f>
        <v>polyethylene, high density, granulate</v>
      </c>
    </row>
    <row r="72" spans="1:8" s="21" customFormat="1" x14ac:dyDescent="0.3">
      <c r="A72" s="22" t="s">
        <v>468</v>
      </c>
      <c r="B72" s="21">
        <f>(B53/1000)*B64</f>
        <v>157.5575</v>
      </c>
      <c r="C72" s="21" t="s">
        <v>94</v>
      </c>
      <c r="D72" s="21" t="s">
        <v>243</v>
      </c>
      <c r="F72" s="21" t="s">
        <v>91</v>
      </c>
      <c r="H72" s="22" t="s">
        <v>469</v>
      </c>
    </row>
    <row r="73" spans="1:8" s="21" customFormat="1" x14ac:dyDescent="0.3">
      <c r="A73" s="22" t="s">
        <v>467</v>
      </c>
      <c r="B73" s="2">
        <f>(B53/1000)*B63</f>
        <v>2505.1642500000003</v>
      </c>
      <c r="C73" s="21" t="s">
        <v>98</v>
      </c>
      <c r="D73" s="21" t="s">
        <v>243</v>
      </c>
      <c r="F73" s="21" t="s">
        <v>91</v>
      </c>
      <c r="H73" s="22" t="s">
        <v>467</v>
      </c>
    </row>
    <row r="75" spans="1:8" ht="15.6" x14ac:dyDescent="0.3">
      <c r="A75" s="11" t="s">
        <v>72</v>
      </c>
      <c r="B75" s="9" t="str">
        <f>B77&amp;", "&amp;B79</f>
        <v>Motorbike, gasoline, 11-35kW, EURO-5, 2020</v>
      </c>
    </row>
    <row r="76" spans="1:8" x14ac:dyDescent="0.3">
      <c r="A76" t="s">
        <v>73</v>
      </c>
      <c r="B76" t="s">
        <v>37</v>
      </c>
    </row>
    <row r="77" spans="1:8" x14ac:dyDescent="0.3">
      <c r="A77" t="s">
        <v>87</v>
      </c>
      <c r="B77" t="s">
        <v>696</v>
      </c>
    </row>
    <row r="78" spans="1:8" x14ac:dyDescent="0.3">
      <c r="A78" t="s">
        <v>88</v>
      </c>
      <c r="B78" s="12"/>
    </row>
    <row r="79" spans="1:8" x14ac:dyDescent="0.3">
      <c r="A79" t="s">
        <v>89</v>
      </c>
      <c r="B79" s="12">
        <v>2020</v>
      </c>
    </row>
    <row r="80" spans="1:8" x14ac:dyDescent="0.3">
      <c r="A80" t="s">
        <v>131</v>
      </c>
      <c r="B80" s="12" t="str">
        <f>B77&amp;" - "&amp;B79&amp;" - "&amp;B76</f>
        <v>Motorbike, gasoline, 11-35kW, EURO-5 - 2020 - CH</v>
      </c>
    </row>
    <row r="81" spans="1:2" x14ac:dyDescent="0.3">
      <c r="A81" t="s">
        <v>74</v>
      </c>
      <c r="B81" t="str">
        <f>B77</f>
        <v>Motorbike, gasoline, 11-35kW, EURO-5</v>
      </c>
    </row>
    <row r="82" spans="1:2" x14ac:dyDescent="0.3">
      <c r="A82" t="s">
        <v>75</v>
      </c>
      <c r="B82" t="s">
        <v>76</v>
      </c>
    </row>
    <row r="83" spans="1:2" x14ac:dyDescent="0.3">
      <c r="A83" t="s">
        <v>77</v>
      </c>
      <c r="B83" t="s">
        <v>77</v>
      </c>
    </row>
    <row r="84" spans="1:2" x14ac:dyDescent="0.3">
      <c r="A84" t="s">
        <v>79</v>
      </c>
      <c r="B84" t="s">
        <v>90</v>
      </c>
    </row>
    <row r="85" spans="1:2" x14ac:dyDescent="0.3">
      <c r="A85" t="s">
        <v>132</v>
      </c>
      <c r="B85">
        <f>INDEX('vehicles specifications'!$B$3:$CK$86,MATCH(B80,'vehicles specifications'!$A$3:$A$86,0),MATCH("Lifetime [km]",'vehicles specifications'!$B$2:$CK$2,0))</f>
        <v>62100</v>
      </c>
    </row>
    <row r="86" spans="1:2" x14ac:dyDescent="0.3">
      <c r="A86" t="s">
        <v>133</v>
      </c>
      <c r="B86">
        <f>INDEX('vehicles specifications'!$B$3:$CK$86,MATCH(B80,'vehicles specifications'!$A$3:$A$86,0),MATCH("Passengers [unit]",'vehicles specifications'!$B$2:$CK$2,0))</f>
        <v>1.1000000000000001</v>
      </c>
    </row>
    <row r="87" spans="1:2" x14ac:dyDescent="0.3">
      <c r="A87" t="s">
        <v>134</v>
      </c>
      <c r="B87">
        <f>INDEX('vehicles specifications'!$B$3:$CK$86,MATCH(B80,'vehicles specifications'!$A$3:$A$86,0),MATCH("Servicing [unit]",'vehicles specifications'!$B$2:$CK$2,0))</f>
        <v>1.242</v>
      </c>
    </row>
    <row r="88" spans="1:2" x14ac:dyDescent="0.3">
      <c r="A88" t="s">
        <v>135</v>
      </c>
      <c r="B88">
        <f>INDEX('vehicles specifications'!$B$3:$CK$86,MATCH(B80,'vehicles specifications'!$A$3:$A$86,0),MATCH("Energy battery replacement [unit]",'vehicles specifications'!$B$2:$CK$2,0))</f>
        <v>0</v>
      </c>
    </row>
    <row r="89" spans="1:2" x14ac:dyDescent="0.3">
      <c r="A89" t="s">
        <v>136</v>
      </c>
      <c r="B89">
        <f>INDEX('vehicles specifications'!$B$3:$CK$86,MATCH(B80,'vehicles specifications'!$A$3:$A$86,0),MATCH("Annual kilometers [km]",'vehicles specifications'!$B$2:$CK$2,0))</f>
        <v>4592</v>
      </c>
    </row>
    <row r="90" spans="1:2" x14ac:dyDescent="0.3">
      <c r="A90" t="s">
        <v>137</v>
      </c>
      <c r="B90" s="2">
        <f>INDEX('vehicles specifications'!$B$3:$CK$86,MATCH(B80,'vehicles specifications'!$A$3:$A$86,0),MATCH("Curb mass [kg]",'vehicles specifications'!$B$2:$CK$2,0))</f>
        <v>155.9375</v>
      </c>
    </row>
    <row r="91" spans="1:2" x14ac:dyDescent="0.3">
      <c r="A91" t="s">
        <v>138</v>
      </c>
      <c r="B91">
        <f>INDEX('vehicles specifications'!$B$3:$CK$86,MATCH(B80,'vehicles specifications'!$A$3:$A$86,0),MATCH("Power [kW]",'vehicles specifications'!$B$2:$CK$2,0))</f>
        <v>20</v>
      </c>
    </row>
    <row r="92" spans="1:2" x14ac:dyDescent="0.3">
      <c r="A92" t="s">
        <v>139</v>
      </c>
      <c r="B92">
        <f>INDEX('vehicles specifications'!$B$3:$CK$86,MATCH(B80,'vehicles specifications'!$A$3:$A$86,0),MATCH("Energy battery mass [kg]",'vehicles specifications'!$B$2:$CK$2,0))</f>
        <v>0</v>
      </c>
    </row>
    <row r="93" spans="1:2" x14ac:dyDescent="0.3">
      <c r="A93" t="s">
        <v>140</v>
      </c>
      <c r="B93">
        <f>INDEX('vehicles specifications'!$B$3:$CK$86,MATCH(B80,'vehicles specifications'!$A$3:$A$86,0),MATCH("Electric energy available [kWh]",'vehicles specifications'!$B$2:$CK$2,0))</f>
        <v>0</v>
      </c>
    </row>
    <row r="94" spans="1:2" x14ac:dyDescent="0.3">
      <c r="A94" t="s">
        <v>143</v>
      </c>
      <c r="B94" s="2">
        <f>INDEX('vehicles specifications'!$B$3:$CK$86,MATCH(B80,'vehicles specifications'!$A$3:$A$86,0),MATCH("Oxydation energy stored [kWh]",'vehicles specifications'!$B$2:$CK$2,0))</f>
        <v>132.5</v>
      </c>
    </row>
    <row r="95" spans="1:2" x14ac:dyDescent="0.3">
      <c r="A95" t="s">
        <v>145</v>
      </c>
      <c r="B95">
        <f>INDEX('vehicles specifications'!$B$3:$CK$86,MATCH(B80,'vehicles specifications'!$A$3:$A$86,0),MATCH("Fuel mass [kg]",'vehicles specifications'!$B$2:$CK$2,0))</f>
        <v>11.25</v>
      </c>
    </row>
    <row r="96" spans="1:2" x14ac:dyDescent="0.3">
      <c r="A96" t="s">
        <v>141</v>
      </c>
      <c r="B96" s="2">
        <f>INDEX('vehicles specifications'!$B$3:$CK$86,MATCH(B80,'vehicles specifications'!$A$3:$A$86,0),MATCH("Range [km]",'vehicles specifications'!$B$2:$CK$2,0))</f>
        <v>326.98603659702172</v>
      </c>
    </row>
    <row r="97" spans="1:8" x14ac:dyDescent="0.3">
      <c r="A97" t="s">
        <v>142</v>
      </c>
      <c r="B97" t="str">
        <f>INDEX('vehicles specifications'!$B$3:$CK$86,MATCH(B80,'vehicles specifications'!$A$3:$A$86,0),MATCH("Emission standard",'vehicles specifications'!$B$2:$CK$2,0))</f>
        <v>EURO-5</v>
      </c>
    </row>
    <row r="98" spans="1:8" x14ac:dyDescent="0.3">
      <c r="A98" t="s">
        <v>144</v>
      </c>
      <c r="B98" s="6">
        <f>INDEX('vehicles specifications'!$B$3:$CK$86,MATCH(B80,'vehicles specifications'!$A$3:$A$86,0),MATCH("Lightweighting rate [%]",'vehicles specifications'!$B$2:$CK$2,0))</f>
        <v>0</v>
      </c>
    </row>
    <row r="99" spans="1:8" s="21" customFormat="1" x14ac:dyDescent="0.3">
      <c r="A99" s="21" t="s">
        <v>513</v>
      </c>
      <c r="B99" s="6" t="s">
        <v>514</v>
      </c>
    </row>
    <row r="100" spans="1:8" s="21" customFormat="1" x14ac:dyDescent="0.3">
      <c r="A100" s="21" t="s">
        <v>515</v>
      </c>
      <c r="B100" s="2">
        <v>15900</v>
      </c>
    </row>
    <row r="101" spans="1:8" s="21" customFormat="1" x14ac:dyDescent="0.3">
      <c r="A101" s="21" t="s">
        <v>516</v>
      </c>
      <c r="B101" s="2">
        <v>1000</v>
      </c>
    </row>
    <row r="102" spans="1:8" s="21" customFormat="1"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20 kW. Lifetime: 62100 km. Annual kilometers: 4592 km. Number of passengers: 1.1. Curb mass: 155.9 kg. Lightweighting of glider: 0%. Emission standard: EURO-5. Service visits throughout lifetime: 1.2. Range: 327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t="s">
        <v>81</v>
      </c>
      <c r="B104" t="s">
        <v>82</v>
      </c>
      <c r="C104" t="s">
        <v>73</v>
      </c>
      <c r="D104" t="s">
        <v>77</v>
      </c>
      <c r="E104" t="s">
        <v>83</v>
      </c>
      <c r="F104" t="s">
        <v>75</v>
      </c>
      <c r="G104" t="s">
        <v>84</v>
      </c>
      <c r="H104" t="s">
        <v>74</v>
      </c>
    </row>
    <row r="105" spans="1:8" x14ac:dyDescent="0.3">
      <c r="A105" s="12" t="str">
        <f>B75</f>
        <v>Motorbike, gasoline, 11-35kW, EURO-5, 2020</v>
      </c>
      <c r="B105" s="12">
        <v>1</v>
      </c>
      <c r="C105" s="12" t="str">
        <f>B76</f>
        <v>CH</v>
      </c>
      <c r="D105" s="12" t="str">
        <f>B83</f>
        <v>unit</v>
      </c>
      <c r="E105" s="12"/>
      <c r="F105" s="12" t="s">
        <v>85</v>
      </c>
      <c r="G105" s="12" t="s">
        <v>86</v>
      </c>
      <c r="H105" s="12" t="str">
        <f>B77</f>
        <v>Motorbike, gasoline, 11-35kW,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0.9</v>
      </c>
      <c r="C106" s="12" t="str">
        <f>INDEX('ei names mapping'!$B$38:$R$67,MATCH(B77,'ei names mapping'!$A$4:$A$33,0),MATCH(G106,'ei names mapping'!$B$3:$R$3,0))</f>
        <v>RER</v>
      </c>
      <c r="D106" s="12" t="str">
        <f>INDEX('ei names mapping'!$B$104:$R$133,MATCH(B77,'ei names mapping'!$A$104:$A$133,0),MATCH(G106,'ei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0.68888888888888888</v>
      </c>
      <c r="C107" s="12" t="str">
        <f>INDEX('ei names mapping'!$B$38:$R$67,MATCH(B77,'ei names mapping'!$A$4:$A$33,0),MATCH(G107,'ei names mapping'!$B$3:$R$3,0))</f>
        <v>RER</v>
      </c>
      <c r="D107" s="12" t="str">
        <f>INDEX('ei names mapping'!$B$104:$R$133,MATCH(B77,'ei names mapping'!$A$104:$A$133,0),MATCH(G107,'ei names mapping'!$B$3:$R$3,0))</f>
        <v>unit</v>
      </c>
      <c r="E107" s="12"/>
      <c r="F107" s="12" t="s">
        <v>91</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mapping'!$A$104:$A$133,0),MATCH(G108,'ei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1.6875</v>
      </c>
      <c r="C109" s="12" t="str">
        <f>INDEX('ei names mapping'!$B$38:$R$67,MATCH(B77,'ei names mapping'!$A$4:$A$33,0),MATCH(G109,'ei names mapping'!$B$3:$R$3,0))</f>
        <v>RER</v>
      </c>
      <c r="D109" s="12" t="str">
        <f>INDEX('ei names mapping'!$B$104:$R$133,MATCH(B77,'ei names mapping'!$A$104:$A$133,0),MATCH(G109,'ei names mapping'!$B$3:$R$3,0))</f>
        <v>kilogram</v>
      </c>
      <c r="E109" s="12"/>
      <c r="F109" s="12" t="s">
        <v>91</v>
      </c>
      <c r="G109" t="s">
        <v>24</v>
      </c>
      <c r="H109" s="12" t="str">
        <f>INDEX('ei names mapping'!$B$71:$R$100,MATCH(B77,'ei names mapping'!$A$4:$A$33,0),MATCH(G109,'ei names mapping'!$B$3:$R$3,0))</f>
        <v>polyethylene, high density, granulate</v>
      </c>
    </row>
    <row r="110" spans="1:8" s="21" customFormat="1" x14ac:dyDescent="0.3">
      <c r="A110" s="22" t="s">
        <v>468</v>
      </c>
      <c r="B110" s="21">
        <f>(B90/1000)*B101</f>
        <v>155.9375</v>
      </c>
      <c r="C110" s="21" t="s">
        <v>94</v>
      </c>
      <c r="D110" s="21" t="s">
        <v>243</v>
      </c>
      <c r="F110" s="21" t="s">
        <v>91</v>
      </c>
      <c r="H110" s="22" t="s">
        <v>469</v>
      </c>
    </row>
    <row r="111" spans="1:8" s="21" customFormat="1" x14ac:dyDescent="0.3">
      <c r="A111" s="22" t="s">
        <v>467</v>
      </c>
      <c r="B111" s="2">
        <f>(B90/1000)*B100</f>
        <v>2479.40625</v>
      </c>
      <c r="C111" s="21" t="s">
        <v>98</v>
      </c>
      <c r="D111" s="21" t="s">
        <v>243</v>
      </c>
      <c r="F111" s="21" t="s">
        <v>91</v>
      </c>
      <c r="H111" s="22" t="s">
        <v>467</v>
      </c>
    </row>
    <row r="113" spans="1:2" ht="15.6" x14ac:dyDescent="0.3">
      <c r="A113" s="11" t="s">
        <v>72</v>
      </c>
      <c r="B113" s="9" t="str">
        <f>B115&amp;", "&amp;B117</f>
        <v>Motorbike, gasoline, 11-35kW, EURO-5, 2030</v>
      </c>
    </row>
    <row r="114" spans="1:2" x14ac:dyDescent="0.3">
      <c r="A114" t="s">
        <v>73</v>
      </c>
      <c r="B114" t="s">
        <v>37</v>
      </c>
    </row>
    <row r="115" spans="1:2" x14ac:dyDescent="0.3">
      <c r="A115" t="s">
        <v>87</v>
      </c>
      <c r="B115" t="s">
        <v>696</v>
      </c>
    </row>
    <row r="116" spans="1:2" x14ac:dyDescent="0.3">
      <c r="A116" t="s">
        <v>88</v>
      </c>
      <c r="B116" s="12"/>
    </row>
    <row r="117" spans="1:2" x14ac:dyDescent="0.3">
      <c r="A117" t="s">
        <v>89</v>
      </c>
      <c r="B117" s="12">
        <v>2030</v>
      </c>
    </row>
    <row r="118" spans="1:2" x14ac:dyDescent="0.3">
      <c r="A118" t="s">
        <v>131</v>
      </c>
      <c r="B118" s="12" t="str">
        <f>B115&amp;" - "&amp;B117&amp;" - "&amp;B114</f>
        <v>Motorbike, gasoline, 11-35kW, EURO-5 - 2030 - CH</v>
      </c>
    </row>
    <row r="119" spans="1:2" x14ac:dyDescent="0.3">
      <c r="A119" t="s">
        <v>74</v>
      </c>
      <c r="B119" t="str">
        <f>B115</f>
        <v>Motorbike, gasoline, 11-35kW, EURO-5</v>
      </c>
    </row>
    <row r="120" spans="1:2" x14ac:dyDescent="0.3">
      <c r="A120" t="s">
        <v>75</v>
      </c>
      <c r="B120" t="s">
        <v>76</v>
      </c>
    </row>
    <row r="121" spans="1:2" x14ac:dyDescent="0.3">
      <c r="A121" t="s">
        <v>77</v>
      </c>
      <c r="B121" t="s">
        <v>77</v>
      </c>
    </row>
    <row r="122" spans="1:2" x14ac:dyDescent="0.3">
      <c r="A122" t="s">
        <v>79</v>
      </c>
      <c r="B122" t="s">
        <v>90</v>
      </c>
    </row>
    <row r="123" spans="1:2" x14ac:dyDescent="0.3">
      <c r="A123" t="s">
        <v>132</v>
      </c>
      <c r="B123">
        <f>INDEX('vehicles specifications'!$B$3:$CK$86,MATCH(B118,'vehicles specifications'!$A$3:$A$86,0),MATCH("Lifetime [km]",'vehicles specifications'!$B$2:$CK$2,0))</f>
        <v>62100</v>
      </c>
    </row>
    <row r="124" spans="1:2" x14ac:dyDescent="0.3">
      <c r="A124" t="s">
        <v>133</v>
      </c>
      <c r="B124">
        <f>INDEX('vehicles specifications'!$B$3:$CK$86,MATCH(B118,'vehicles specifications'!$A$3:$A$86,0),MATCH("Passengers [unit]",'vehicles specifications'!$B$2:$CK$2,0))</f>
        <v>1.1000000000000001</v>
      </c>
    </row>
    <row r="125" spans="1:2" x14ac:dyDescent="0.3">
      <c r="A125" t="s">
        <v>134</v>
      </c>
      <c r="B125">
        <f>INDEX('vehicles specifications'!$B$3:$CK$86,MATCH(B118,'vehicles specifications'!$A$3:$A$86,0),MATCH("Servicing [unit]",'vehicles specifications'!$B$2:$CK$2,0))</f>
        <v>1.242</v>
      </c>
    </row>
    <row r="126" spans="1:2" x14ac:dyDescent="0.3">
      <c r="A126" t="s">
        <v>135</v>
      </c>
      <c r="B126">
        <f>INDEX('vehicles specifications'!$B$3:$CK$86,MATCH(B118,'vehicles specifications'!$A$3:$A$86,0),MATCH("Energy battery replacement [unit]",'vehicles specifications'!$B$2:$CK$2,0))</f>
        <v>0</v>
      </c>
    </row>
    <row r="127" spans="1:2" x14ac:dyDescent="0.3">
      <c r="A127" t="s">
        <v>136</v>
      </c>
      <c r="B127">
        <f>INDEX('vehicles specifications'!$B$3:$CK$86,MATCH(B118,'vehicles specifications'!$A$3:$A$86,0),MATCH("Annual kilometers [km]",'vehicles specifications'!$B$2:$CK$2,0))</f>
        <v>4592</v>
      </c>
    </row>
    <row r="128" spans="1:2" x14ac:dyDescent="0.3">
      <c r="A128" t="s">
        <v>137</v>
      </c>
      <c r="B128" s="2">
        <f>INDEX('vehicles specifications'!$B$3:$CK$86,MATCH(B118,'vehicles specifications'!$A$3:$A$86,0),MATCH("Curb mass [kg]",'vehicles specifications'!$B$2:$CK$2,0))</f>
        <v>153.50749999999999</v>
      </c>
    </row>
    <row r="129" spans="1:8" x14ac:dyDescent="0.3">
      <c r="A129" t="s">
        <v>138</v>
      </c>
      <c r="B129">
        <f>INDEX('vehicles specifications'!$B$3:$CK$86,MATCH(B118,'vehicles specifications'!$A$3:$A$86,0),MATCH("Power [kW]",'vehicles specifications'!$B$2:$CK$2,0))</f>
        <v>20</v>
      </c>
    </row>
    <row r="130" spans="1:8" x14ac:dyDescent="0.3">
      <c r="A130" t="s">
        <v>139</v>
      </c>
      <c r="B130">
        <f>INDEX('vehicles specifications'!$B$3:$CK$86,MATCH(B118,'vehicles specifications'!$A$3:$A$86,0),MATCH("Energy battery mass [kg]",'vehicles specifications'!$B$2:$CK$2,0))</f>
        <v>0</v>
      </c>
    </row>
    <row r="131" spans="1:8" x14ac:dyDescent="0.3">
      <c r="A131" t="s">
        <v>140</v>
      </c>
      <c r="B131">
        <f>INDEX('vehicles specifications'!$B$3:$CK$86,MATCH(B118,'vehicles specifications'!$A$3:$A$86,0),MATCH("Electric energy available [kWh]",'vehicles specifications'!$B$2:$CK$2,0))</f>
        <v>0</v>
      </c>
    </row>
    <row r="132" spans="1:8" x14ac:dyDescent="0.3">
      <c r="A132" t="s">
        <v>143</v>
      </c>
      <c r="B132" s="2">
        <f>INDEX('vehicles specifications'!$B$3:$CK$86,MATCH(B118,'vehicles specifications'!$A$3:$A$86,0),MATCH("Oxydation energy stored [kWh]",'vehicles specifications'!$B$2:$CK$2,0))</f>
        <v>132.5</v>
      </c>
    </row>
    <row r="133" spans="1:8" x14ac:dyDescent="0.3">
      <c r="A133" t="s">
        <v>145</v>
      </c>
      <c r="B133">
        <f>INDEX('vehicles specifications'!$B$3:$CK$86,MATCH(B118,'vehicles specifications'!$A$3:$A$86,0),MATCH("Fuel mass [kg]",'vehicles specifications'!$B$2:$CK$2,0))</f>
        <v>11.25</v>
      </c>
    </row>
    <row r="134" spans="1:8" x14ac:dyDescent="0.3">
      <c r="A134" t="s">
        <v>141</v>
      </c>
      <c r="B134" s="2">
        <f>INDEX('vehicles specifications'!$B$3:$CK$86,MATCH(B118,'vehicles specifications'!$A$3:$A$86,0),MATCH("Range [km]",'vehicles specifications'!$B$2:$CK$2,0))</f>
        <v>330.28892585557753</v>
      </c>
    </row>
    <row r="135" spans="1:8" x14ac:dyDescent="0.3">
      <c r="A135" t="s">
        <v>142</v>
      </c>
      <c r="B135" t="str">
        <f>INDEX('vehicles specifications'!$B$3:$CK$86,MATCH(B118,'vehicles specifications'!$A$3:$A$86,0),MATCH("Emission standard",'vehicles specifications'!$B$2:$CK$2,0))</f>
        <v>EURO-5</v>
      </c>
    </row>
    <row r="136" spans="1:8" x14ac:dyDescent="0.3">
      <c r="A136" t="s">
        <v>144</v>
      </c>
      <c r="B136" s="6">
        <f>INDEX('vehicles specifications'!$B$3:$CK$86,MATCH(B118,'vehicles specifications'!$A$3:$A$86,0),MATCH("Lightweighting rate [%]",'vehicles specifications'!$B$2:$CK$2,0))</f>
        <v>0.03</v>
      </c>
    </row>
    <row r="137" spans="1:8" s="21" customFormat="1" x14ac:dyDescent="0.3">
      <c r="A137" s="21" t="s">
        <v>513</v>
      </c>
      <c r="B137" s="6" t="s">
        <v>514</v>
      </c>
    </row>
    <row r="138" spans="1:8" s="21" customFormat="1" x14ac:dyDescent="0.3">
      <c r="A138" s="21" t="s">
        <v>515</v>
      </c>
      <c r="B138" s="2">
        <v>15900</v>
      </c>
    </row>
    <row r="139" spans="1:8" s="21" customFormat="1" x14ac:dyDescent="0.3">
      <c r="A139" s="21" t="s">
        <v>516</v>
      </c>
      <c r="B139" s="2">
        <v>1000</v>
      </c>
    </row>
    <row r="140" spans="1:8" s="21" customFormat="1"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20 kW. Lifetime: 62100 km. Annual kilometers: 4592 km. Number of passengers: 1.1. Curb mass: 153.5 kg. Lightweighting of glider: 3%. Emission standard: EURO-5. Service visits throughout lifetime: 1.2. Range: 330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t="s">
        <v>81</v>
      </c>
      <c r="B142" t="s">
        <v>82</v>
      </c>
      <c r="C142" t="s">
        <v>73</v>
      </c>
      <c r="D142" t="s">
        <v>77</v>
      </c>
      <c r="E142" t="s">
        <v>83</v>
      </c>
      <c r="F142" t="s">
        <v>75</v>
      </c>
      <c r="G142" t="s">
        <v>84</v>
      </c>
      <c r="H142" t="s">
        <v>74</v>
      </c>
    </row>
    <row r="143" spans="1:8" x14ac:dyDescent="0.3">
      <c r="A143" s="12" t="str">
        <f>B113</f>
        <v>Motorbike, gasoline, 11-35kW, EURO-5, 2030</v>
      </c>
      <c r="B143" s="12">
        <v>1</v>
      </c>
      <c r="C143" s="12" t="str">
        <f>B114</f>
        <v>CH</v>
      </c>
      <c r="D143" s="12" t="str">
        <f>B121</f>
        <v>unit</v>
      </c>
      <c r="E143" s="12"/>
      <c r="F143" s="12" t="s">
        <v>85</v>
      </c>
      <c r="G143" s="12" t="s">
        <v>86</v>
      </c>
      <c r="H143" s="12" t="str">
        <f>B115</f>
        <v>Motorbike, gasoline, 11-35kW,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0.9</v>
      </c>
      <c r="C144" s="12" t="str">
        <f>INDEX('ei names mapping'!$B$38:$R$67,MATCH(B115,'ei names mapping'!$A$4:$A$33,0),MATCH(G144,'ei names mapping'!$B$3:$R$3,0))</f>
        <v>RER</v>
      </c>
      <c r="D144" s="12" t="str">
        <f>INDEX('ei names mapping'!$B$104:$R$133,MATCH(B115,'ei names mapping'!$A$104:$A$133,0),MATCH(G144,'ei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0.68888888888888888</v>
      </c>
      <c r="C145" s="12" t="str">
        <f>INDEX('ei names mapping'!$B$38:$R$67,MATCH(B115,'ei names mapping'!$A$4:$A$33,0),MATCH(G145,'ei names mapping'!$B$3:$R$3,0))</f>
        <v>RER</v>
      </c>
      <c r="D145" s="12" t="str">
        <f>INDEX('ei names mapping'!$B$104:$R$133,MATCH(B115,'ei names mapping'!$A$104:$A$133,0),MATCH(G145,'ei names mapping'!$B$3:$R$3,0))</f>
        <v>unit</v>
      </c>
      <c r="E145" s="12"/>
      <c r="F145" s="12" t="s">
        <v>91</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2.4299999999999997</v>
      </c>
      <c r="C146" s="12" t="str">
        <f>INDEX('ei names mapping'!$B$38:$R$67,MATCH(B115,'ei names mapping'!$A$4:$A$33,0),MATCH(G146,'ei names mapping'!$B$3:$R$3,0))</f>
        <v>GLO</v>
      </c>
      <c r="D146" s="12" t="str">
        <f>INDEX('ei names mapping'!$B$104:$R$133,MATCH(B115,'ei names mapping'!$A$104:$A$133,0),MATCH(G146,'ei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1.6875</v>
      </c>
      <c r="C147" s="12" t="str">
        <f>INDEX('ei names mapping'!$B$38:$R$67,MATCH(B115,'ei names mapping'!$A$4:$A$33,0),MATCH(G147,'ei names mapping'!$B$3:$R$3,0))</f>
        <v>RER</v>
      </c>
      <c r="D147" s="12" t="str">
        <f>INDEX('ei names mapping'!$B$104:$R$133,MATCH(B115,'ei names mapping'!$A$104:$A$133,0),MATCH(G147,'ei names mapping'!$B$3:$R$3,0))</f>
        <v>kilogram</v>
      </c>
      <c r="E147" s="12"/>
      <c r="F147" s="12" t="s">
        <v>91</v>
      </c>
      <c r="G147" t="s">
        <v>24</v>
      </c>
      <c r="H147" s="12" t="str">
        <f>INDEX('ei names mapping'!$B$71:$R$100,MATCH(B115,'ei names mapping'!$A$4:$A$33,0),MATCH(G147,'ei names mapping'!$B$3:$R$3,0))</f>
        <v>polyethylene, high density, granulate</v>
      </c>
    </row>
    <row r="148" spans="1:8" s="21" customFormat="1" x14ac:dyDescent="0.3">
      <c r="A148" s="22" t="s">
        <v>468</v>
      </c>
      <c r="B148" s="21">
        <f>(B128/1000)*B139</f>
        <v>153.50749999999999</v>
      </c>
      <c r="C148" s="21" t="s">
        <v>94</v>
      </c>
      <c r="D148" s="21" t="s">
        <v>243</v>
      </c>
      <c r="F148" s="21" t="s">
        <v>91</v>
      </c>
      <c r="H148" s="22" t="s">
        <v>469</v>
      </c>
    </row>
    <row r="149" spans="1:8" s="21" customFormat="1" x14ac:dyDescent="0.3">
      <c r="A149" s="22" t="s">
        <v>467</v>
      </c>
      <c r="B149" s="2">
        <f>(B128/1000)*B138</f>
        <v>2440.7692499999998</v>
      </c>
      <c r="C149" s="21" t="s">
        <v>98</v>
      </c>
      <c r="D149" s="21" t="s">
        <v>243</v>
      </c>
      <c r="F149" s="21" t="s">
        <v>91</v>
      </c>
      <c r="H149" s="22" t="s">
        <v>467</v>
      </c>
    </row>
    <row r="151" spans="1:8" ht="15.6" x14ac:dyDescent="0.3">
      <c r="A151" s="11" t="s">
        <v>72</v>
      </c>
      <c r="B151" s="9" t="str">
        <f>B153&amp;", "&amp;B155</f>
        <v>Motorbike, gasoline, 11-35kW, EURO-5, 2040</v>
      </c>
    </row>
    <row r="152" spans="1:8" x14ac:dyDescent="0.3">
      <c r="A152" t="s">
        <v>73</v>
      </c>
      <c r="B152" t="s">
        <v>37</v>
      </c>
    </row>
    <row r="153" spans="1:8" x14ac:dyDescent="0.3">
      <c r="A153" t="s">
        <v>87</v>
      </c>
      <c r="B153" t="s">
        <v>696</v>
      </c>
    </row>
    <row r="154" spans="1:8" x14ac:dyDescent="0.3">
      <c r="A154" t="s">
        <v>88</v>
      </c>
      <c r="B154" s="12"/>
    </row>
    <row r="155" spans="1:8" x14ac:dyDescent="0.3">
      <c r="A155" t="s">
        <v>89</v>
      </c>
      <c r="B155" s="12">
        <v>2040</v>
      </c>
    </row>
    <row r="156" spans="1:8" x14ac:dyDescent="0.3">
      <c r="A156" t="s">
        <v>131</v>
      </c>
      <c r="B156" s="12" t="str">
        <f>B153&amp;" - "&amp;B155&amp;" - "&amp;B152</f>
        <v>Motorbike, gasoline, 11-35kW, EURO-5 - 2040 - CH</v>
      </c>
    </row>
    <row r="157" spans="1:8" x14ac:dyDescent="0.3">
      <c r="A157" t="s">
        <v>74</v>
      </c>
      <c r="B157" t="str">
        <f>B153</f>
        <v>Motorbike, gasoline, 11-35kW, EURO-5</v>
      </c>
    </row>
    <row r="158" spans="1:8" x14ac:dyDescent="0.3">
      <c r="A158" t="s">
        <v>75</v>
      </c>
      <c r="B158" t="s">
        <v>76</v>
      </c>
    </row>
    <row r="159" spans="1:8" x14ac:dyDescent="0.3">
      <c r="A159" t="s">
        <v>77</v>
      </c>
      <c r="B159" t="s">
        <v>77</v>
      </c>
    </row>
    <row r="160" spans="1:8" x14ac:dyDescent="0.3">
      <c r="A160" t="s">
        <v>79</v>
      </c>
      <c r="B160" t="s">
        <v>90</v>
      </c>
    </row>
    <row r="161" spans="1:2" x14ac:dyDescent="0.3">
      <c r="A161" t="s">
        <v>132</v>
      </c>
      <c r="B161">
        <f>INDEX('vehicles specifications'!$B$3:$CK$86,MATCH(B156,'vehicles specifications'!$A$3:$A$86,0),MATCH("Lifetime [km]",'vehicles specifications'!$B$2:$CK$2,0))</f>
        <v>62100</v>
      </c>
    </row>
    <row r="162" spans="1:2" x14ac:dyDescent="0.3">
      <c r="A162" t="s">
        <v>133</v>
      </c>
      <c r="B162">
        <f>INDEX('vehicles specifications'!$B$3:$CK$86,MATCH(B156,'vehicles specifications'!$A$3:$A$86,0),MATCH("Passengers [unit]",'vehicles specifications'!$B$2:$CK$2,0))</f>
        <v>1.1000000000000001</v>
      </c>
    </row>
    <row r="163" spans="1:2" x14ac:dyDescent="0.3">
      <c r="A163" t="s">
        <v>134</v>
      </c>
      <c r="B163">
        <f>INDEX('vehicles specifications'!$B$3:$CK$86,MATCH(B156,'vehicles specifications'!$A$3:$A$86,0),MATCH("Servicing [unit]",'vehicles specifications'!$B$2:$CK$2,0))</f>
        <v>1.242</v>
      </c>
    </row>
    <row r="164" spans="1:2" x14ac:dyDescent="0.3">
      <c r="A164" t="s">
        <v>135</v>
      </c>
      <c r="B164">
        <f>INDEX('vehicles specifications'!$B$3:$CK$86,MATCH(B156,'vehicles specifications'!$A$3:$A$86,0),MATCH("Energy battery replacement [unit]",'vehicles specifications'!$B$2:$CK$2,0))</f>
        <v>0</v>
      </c>
    </row>
    <row r="165" spans="1:2" x14ac:dyDescent="0.3">
      <c r="A165" t="s">
        <v>136</v>
      </c>
      <c r="B165">
        <f>INDEX('vehicles specifications'!$B$3:$CK$86,MATCH(B156,'vehicles specifications'!$A$3:$A$86,0),MATCH("Annual kilometers [km]",'vehicles specifications'!$B$2:$CK$2,0))</f>
        <v>4592</v>
      </c>
    </row>
    <row r="166" spans="1:2" x14ac:dyDescent="0.3">
      <c r="A166" t="s">
        <v>137</v>
      </c>
      <c r="B166" s="2">
        <f>INDEX('vehicles specifications'!$B$3:$CK$86,MATCH(B156,'vehicles specifications'!$A$3:$A$86,0),MATCH("Curb mass [kg]",'vehicles specifications'!$B$2:$CK$2,0))</f>
        <v>151.88749999999999</v>
      </c>
    </row>
    <row r="167" spans="1:2" x14ac:dyDescent="0.3">
      <c r="A167" t="s">
        <v>138</v>
      </c>
      <c r="B167">
        <f>INDEX('vehicles specifications'!$B$3:$CK$86,MATCH(B156,'vehicles specifications'!$A$3:$A$86,0),MATCH("Power [kW]",'vehicles specifications'!$B$2:$CK$2,0))</f>
        <v>20</v>
      </c>
    </row>
    <row r="168" spans="1:2" x14ac:dyDescent="0.3">
      <c r="A168" t="s">
        <v>139</v>
      </c>
      <c r="B168">
        <f>INDEX('vehicles specifications'!$B$3:$CK$86,MATCH(B156,'vehicles specifications'!$A$3:$A$86,0),MATCH("Energy battery mass [kg]",'vehicles specifications'!$B$2:$CK$2,0))</f>
        <v>0</v>
      </c>
    </row>
    <row r="169" spans="1:2" x14ac:dyDescent="0.3">
      <c r="A169" t="s">
        <v>140</v>
      </c>
      <c r="B169">
        <f>INDEX('vehicles specifications'!$B$3:$CK$86,MATCH(B156,'vehicles specifications'!$A$3:$A$86,0),MATCH("Electric energy available [kWh]",'vehicles specifications'!$B$2:$CK$2,0))</f>
        <v>0</v>
      </c>
    </row>
    <row r="170" spans="1:2" x14ac:dyDescent="0.3">
      <c r="A170" t="s">
        <v>143</v>
      </c>
      <c r="B170" s="2">
        <f>INDEX('vehicles specifications'!$B$3:$CK$86,MATCH(B156,'vehicles specifications'!$A$3:$A$86,0),MATCH("Oxydation energy stored [kWh]",'vehicles specifications'!$B$2:$CK$2,0))</f>
        <v>132.5</v>
      </c>
    </row>
    <row r="171" spans="1:2" x14ac:dyDescent="0.3">
      <c r="A171" t="s">
        <v>145</v>
      </c>
      <c r="B171">
        <f>INDEX('vehicles specifications'!$B$3:$CK$86,MATCH(B156,'vehicles specifications'!$A$3:$A$86,0),MATCH("Fuel mass [kg]",'vehicles specifications'!$B$2:$CK$2,0))</f>
        <v>11.25</v>
      </c>
    </row>
    <row r="172" spans="1:2" x14ac:dyDescent="0.3">
      <c r="A172" t="s">
        <v>141</v>
      </c>
      <c r="B172" s="2">
        <f>INDEX('vehicles specifications'!$B$3:$CK$86,MATCH(B156,'vehicles specifications'!$A$3:$A$86,0),MATCH("Range [km]",'vehicles specifications'!$B$2:$CK$2,0))</f>
        <v>333.62517763189646</v>
      </c>
    </row>
    <row r="173" spans="1:2" x14ac:dyDescent="0.3">
      <c r="A173" t="s">
        <v>142</v>
      </c>
      <c r="B173" t="str">
        <f>INDEX('vehicles specifications'!$B$3:$CK$86,MATCH(B156,'vehicles specifications'!$A$3:$A$86,0),MATCH("Emission standard",'vehicles specifications'!$B$2:$CK$2,0))</f>
        <v>EURO-5</v>
      </c>
    </row>
    <row r="174" spans="1:2" x14ac:dyDescent="0.3">
      <c r="A174" t="s">
        <v>144</v>
      </c>
      <c r="B174" s="6">
        <f>INDEX('vehicles specifications'!$B$3:$CK$86,MATCH(B156,'vehicles specifications'!$A$3:$A$86,0),MATCH("Lightweighting rate [%]",'vehicles specifications'!$B$2:$CK$2,0))</f>
        <v>0.05</v>
      </c>
    </row>
    <row r="175" spans="1:2" s="21" customFormat="1" x14ac:dyDescent="0.3">
      <c r="A175" s="21" t="s">
        <v>513</v>
      </c>
      <c r="B175" s="6" t="s">
        <v>514</v>
      </c>
    </row>
    <row r="176" spans="1:2" s="21" customFormat="1" x14ac:dyDescent="0.3">
      <c r="A176" s="21" t="s">
        <v>515</v>
      </c>
      <c r="B176" s="2">
        <v>15900</v>
      </c>
    </row>
    <row r="177" spans="1:8" s="21" customFormat="1" x14ac:dyDescent="0.3">
      <c r="A177" s="21" t="s">
        <v>516</v>
      </c>
      <c r="B177" s="2">
        <v>1000</v>
      </c>
    </row>
    <row r="178" spans="1:8" s="21" customFormat="1"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20 kW. Lifetime: 62100 km. Annual kilometers: 4592 km. Number of passengers: 1.1. Curb mass: 151.9 kg. Lightweighting of glider: 5%. Emission standard: EURO-5. Service visits throughout lifetime: 1.2. Range: 334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t="s">
        <v>81</v>
      </c>
      <c r="B180" t="s">
        <v>82</v>
      </c>
      <c r="C180" t="s">
        <v>73</v>
      </c>
      <c r="D180" t="s">
        <v>77</v>
      </c>
      <c r="E180" t="s">
        <v>83</v>
      </c>
      <c r="F180" t="s">
        <v>75</v>
      </c>
      <c r="G180" t="s">
        <v>84</v>
      </c>
      <c r="H180" t="s">
        <v>74</v>
      </c>
    </row>
    <row r="181" spans="1:8" x14ac:dyDescent="0.3">
      <c r="A181" s="12" t="str">
        <f>B151</f>
        <v>Motorbike, gasoline, 11-35kW, EURO-5, 2040</v>
      </c>
      <c r="B181" s="12">
        <v>1</v>
      </c>
      <c r="C181" s="12" t="str">
        <f>B152</f>
        <v>CH</v>
      </c>
      <c r="D181" s="12" t="str">
        <f>B159</f>
        <v>unit</v>
      </c>
      <c r="E181" s="12"/>
      <c r="F181" s="12" t="s">
        <v>85</v>
      </c>
      <c r="G181" s="12" t="s">
        <v>86</v>
      </c>
      <c r="H181" s="12" t="str">
        <f>B153</f>
        <v>Motorbike, gasoline, 11-35kW,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0.9</v>
      </c>
      <c r="C182" s="12" t="str">
        <f>INDEX('ei names mapping'!$B$38:$R$67,MATCH(B153,'ei names mapping'!$A$4:$A$33,0),MATCH(G182,'ei names mapping'!$B$3:$R$3,0))</f>
        <v>RER</v>
      </c>
      <c r="D182" s="12" t="str">
        <f>INDEX('ei names mapping'!$B$104:$R$133,MATCH(B153,'ei names mapping'!$A$104:$A$133,0),MATCH(G182,'ei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0.68888888888888888</v>
      </c>
      <c r="C183" s="12" t="str">
        <f>INDEX('ei names mapping'!$B$38:$R$67,MATCH(B153,'ei names mapping'!$A$4:$A$33,0),MATCH(G183,'ei names mapping'!$B$3:$R$3,0))</f>
        <v>RER</v>
      </c>
      <c r="D183" s="12" t="str">
        <f>INDEX('ei names mapping'!$B$104:$R$133,MATCH(B153,'ei names mapping'!$A$104:$A$133,0),MATCH(G183,'ei names mapping'!$B$3:$R$3,0))</f>
        <v>unit</v>
      </c>
      <c r="E183" s="12"/>
      <c r="F183" s="12" t="s">
        <v>91</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4.05</v>
      </c>
      <c r="C184" s="12" t="str">
        <f>INDEX('ei names mapping'!$B$38:$R$67,MATCH(B153,'ei names mapping'!$A$4:$A$33,0),MATCH(G184,'ei names mapping'!$B$3:$R$3,0))</f>
        <v>GLO</v>
      </c>
      <c r="D184" s="12" t="str">
        <f>INDEX('ei names mapping'!$B$104:$R$133,MATCH(B153,'ei names mapping'!$A$104:$A$133,0),MATCH(G184,'ei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1.6875</v>
      </c>
      <c r="C185" s="12" t="str">
        <f>INDEX('ei names mapping'!$B$38:$R$67,MATCH(B153,'ei names mapping'!$A$4:$A$33,0),MATCH(G185,'ei names mapping'!$B$3:$R$3,0))</f>
        <v>RER</v>
      </c>
      <c r="D185" s="12" t="str">
        <f>INDEX('ei names mapping'!$B$104:$R$133,MATCH(B153,'ei names mapping'!$A$104:$A$133,0),MATCH(G185,'ei names mapping'!$B$3:$R$3,0))</f>
        <v>kilogram</v>
      </c>
      <c r="E185" s="12"/>
      <c r="F185" s="12" t="s">
        <v>91</v>
      </c>
      <c r="G185" t="s">
        <v>24</v>
      </c>
      <c r="H185" s="12" t="str">
        <f>INDEX('ei names mapping'!$B$71:$R$100,MATCH(B153,'ei names mapping'!$A$4:$A$33,0),MATCH(G185,'ei names mapping'!$B$3:$R$3,0))</f>
        <v>polyethylene, high density, granulate</v>
      </c>
    </row>
    <row r="186" spans="1:8" s="21" customFormat="1" x14ac:dyDescent="0.3">
      <c r="A186" s="22" t="s">
        <v>468</v>
      </c>
      <c r="B186" s="21">
        <f>(B166/1000)*B177</f>
        <v>151.88749999999999</v>
      </c>
      <c r="C186" s="21" t="s">
        <v>94</v>
      </c>
      <c r="D186" s="21" t="s">
        <v>243</v>
      </c>
      <c r="F186" s="21" t="s">
        <v>91</v>
      </c>
      <c r="H186" s="22" t="s">
        <v>469</v>
      </c>
    </row>
    <row r="187" spans="1:8" s="21" customFormat="1" x14ac:dyDescent="0.3">
      <c r="A187" s="22" t="s">
        <v>467</v>
      </c>
      <c r="B187" s="2">
        <f>(B166/1000)*B176</f>
        <v>2415.0112499999996</v>
      </c>
      <c r="C187" s="21" t="s">
        <v>98</v>
      </c>
      <c r="D187" s="21" t="s">
        <v>243</v>
      </c>
      <c r="F187" s="21" t="s">
        <v>91</v>
      </c>
      <c r="H187" s="22" t="s">
        <v>467</v>
      </c>
    </row>
    <row r="189" spans="1:8" ht="15.6" x14ac:dyDescent="0.3">
      <c r="A189" s="11" t="s">
        <v>72</v>
      </c>
      <c r="B189" s="9" t="str">
        <f>B191&amp;", "&amp;B193</f>
        <v>Motorbike, gasoline, 11-35kW, EURO-5, 2050</v>
      </c>
    </row>
    <row r="190" spans="1:8" x14ac:dyDescent="0.3">
      <c r="A190" t="s">
        <v>73</v>
      </c>
      <c r="B190" t="s">
        <v>37</v>
      </c>
    </row>
    <row r="191" spans="1:8" x14ac:dyDescent="0.3">
      <c r="A191" t="s">
        <v>87</v>
      </c>
      <c r="B191" t="s">
        <v>696</v>
      </c>
    </row>
    <row r="192" spans="1:8" x14ac:dyDescent="0.3">
      <c r="A192" t="s">
        <v>88</v>
      </c>
      <c r="B192" s="12"/>
    </row>
    <row r="193" spans="1:2" x14ac:dyDescent="0.3">
      <c r="A193" t="s">
        <v>89</v>
      </c>
      <c r="B193" s="12">
        <v>2050</v>
      </c>
    </row>
    <row r="194" spans="1:2" x14ac:dyDescent="0.3">
      <c r="A194" t="s">
        <v>131</v>
      </c>
      <c r="B194" s="12" t="str">
        <f>B191&amp;" - "&amp;B193&amp;" - "&amp;B190</f>
        <v>Motorbike, gasoline, 11-35kW, EURO-5 - 2050 - CH</v>
      </c>
    </row>
    <row r="195" spans="1:2" x14ac:dyDescent="0.3">
      <c r="A195" t="s">
        <v>74</v>
      </c>
      <c r="B195" t="str">
        <f>B191</f>
        <v>Motorbike, gasoline, 11-35kW, EURO-5</v>
      </c>
    </row>
    <row r="196" spans="1:2" x14ac:dyDescent="0.3">
      <c r="A196" t="s">
        <v>75</v>
      </c>
      <c r="B196" t="s">
        <v>76</v>
      </c>
    </row>
    <row r="197" spans="1:2" x14ac:dyDescent="0.3">
      <c r="A197" t="s">
        <v>77</v>
      </c>
      <c r="B197" t="s">
        <v>77</v>
      </c>
    </row>
    <row r="198" spans="1:2" x14ac:dyDescent="0.3">
      <c r="A198" t="s">
        <v>79</v>
      </c>
      <c r="B198" t="s">
        <v>90</v>
      </c>
    </row>
    <row r="199" spans="1:2" x14ac:dyDescent="0.3">
      <c r="A199" t="s">
        <v>132</v>
      </c>
      <c r="B199">
        <f>INDEX('vehicles specifications'!$B$3:$CK$86,MATCH(B194,'vehicles specifications'!$A$3:$A$86,0),MATCH("Lifetime [km]",'vehicles specifications'!$B$2:$CK$2,0))</f>
        <v>62100</v>
      </c>
    </row>
    <row r="200" spans="1:2" x14ac:dyDescent="0.3">
      <c r="A200" t="s">
        <v>133</v>
      </c>
      <c r="B200">
        <f>INDEX('vehicles specifications'!$B$3:$CK$86,MATCH(B194,'vehicles specifications'!$A$3:$A$86,0),MATCH("Passengers [unit]",'vehicles specifications'!$B$2:$CK$2,0))</f>
        <v>1.1000000000000001</v>
      </c>
    </row>
    <row r="201" spans="1:2" x14ac:dyDescent="0.3">
      <c r="A201" t="s">
        <v>134</v>
      </c>
      <c r="B201">
        <f>INDEX('vehicles specifications'!$B$3:$CK$86,MATCH(B194,'vehicles specifications'!$A$3:$A$86,0),MATCH("Servicing [unit]",'vehicles specifications'!$B$2:$CK$2,0))</f>
        <v>1.242</v>
      </c>
    </row>
    <row r="202" spans="1:2" x14ac:dyDescent="0.3">
      <c r="A202" t="s">
        <v>135</v>
      </c>
      <c r="B202">
        <f>INDEX('vehicles specifications'!$B$3:$CK$86,MATCH(B194,'vehicles specifications'!$A$3:$A$86,0),MATCH("Energy battery replacement [unit]",'vehicles specifications'!$B$2:$CK$2,0))</f>
        <v>0</v>
      </c>
    </row>
    <row r="203" spans="1:2" x14ac:dyDescent="0.3">
      <c r="A203" t="s">
        <v>136</v>
      </c>
      <c r="B203">
        <f>INDEX('vehicles specifications'!$B$3:$CK$86,MATCH(B194,'vehicles specifications'!$A$3:$A$86,0),MATCH("Annual kilometers [km]",'vehicles specifications'!$B$2:$CK$2,0))</f>
        <v>4592</v>
      </c>
    </row>
    <row r="204" spans="1:2" x14ac:dyDescent="0.3">
      <c r="A204" t="s">
        <v>137</v>
      </c>
      <c r="B204" s="2">
        <f>INDEX('vehicles specifications'!$B$3:$CK$86,MATCH(B194,'vehicles specifications'!$A$3:$A$86,0),MATCH("Curb mass [kg]",'vehicles specifications'!$B$2:$CK$2,0))</f>
        <v>150.26749999999998</v>
      </c>
    </row>
    <row r="205" spans="1:2" x14ac:dyDescent="0.3">
      <c r="A205" t="s">
        <v>138</v>
      </c>
      <c r="B205">
        <f>INDEX('vehicles specifications'!$B$3:$CK$86,MATCH(B194,'vehicles specifications'!$A$3:$A$86,0),MATCH("Power [kW]",'vehicles specifications'!$B$2:$CK$2,0))</f>
        <v>20</v>
      </c>
    </row>
    <row r="206" spans="1:2" x14ac:dyDescent="0.3">
      <c r="A206" t="s">
        <v>139</v>
      </c>
      <c r="B206">
        <f>INDEX('vehicles specifications'!$B$3:$CK$86,MATCH(B194,'vehicles specifications'!$A$3:$A$86,0),MATCH("Energy battery mass [kg]",'vehicles specifications'!$B$2:$CK$2,0))</f>
        <v>0</v>
      </c>
    </row>
    <row r="207" spans="1:2" x14ac:dyDescent="0.3">
      <c r="A207" t="s">
        <v>140</v>
      </c>
      <c r="B207">
        <f>INDEX('vehicles specifications'!$B$3:$CK$86,MATCH(B194,'vehicles specifications'!$A$3:$A$86,0),MATCH("Electric energy available [kWh]",'vehicles specifications'!$B$2:$CK$2,0))</f>
        <v>0</v>
      </c>
    </row>
    <row r="208" spans="1:2" x14ac:dyDescent="0.3">
      <c r="A208" t="s">
        <v>143</v>
      </c>
      <c r="B208" s="2">
        <f>INDEX('vehicles specifications'!$B$3:$CK$86,MATCH(B194,'vehicles specifications'!$A$3:$A$86,0),MATCH("Oxydation energy stored [kWh]",'vehicles specifications'!$B$2:$CK$2,0))</f>
        <v>132.5</v>
      </c>
    </row>
    <row r="209" spans="1:8" x14ac:dyDescent="0.3">
      <c r="A209" t="s">
        <v>145</v>
      </c>
      <c r="B209">
        <f>INDEX('vehicles specifications'!$B$3:$CK$86,MATCH(B194,'vehicles specifications'!$A$3:$A$86,0),MATCH("Fuel mass [kg]",'vehicles specifications'!$B$2:$CK$2,0))</f>
        <v>11.25</v>
      </c>
    </row>
    <row r="210" spans="1:8" x14ac:dyDescent="0.3">
      <c r="A210" t="s">
        <v>141</v>
      </c>
      <c r="B210" s="2">
        <f>INDEX('vehicles specifications'!$B$3:$CK$86,MATCH(B194,'vehicles specifications'!$A$3:$A$86,0),MATCH("Range [km]",'vehicles specifications'!$B$2:$CK$2,0))</f>
        <v>336.99512892110755</v>
      </c>
    </row>
    <row r="211" spans="1:8" x14ac:dyDescent="0.3">
      <c r="A211" t="s">
        <v>142</v>
      </c>
      <c r="B211" t="str">
        <f>INDEX('vehicles specifications'!$B$3:$CK$86,MATCH(B194,'vehicles specifications'!$A$3:$A$86,0),MATCH("Emission standard",'vehicles specifications'!$B$2:$CK$2,0))</f>
        <v>EURO-5</v>
      </c>
    </row>
    <row r="212" spans="1:8" x14ac:dyDescent="0.3">
      <c r="A212" t="s">
        <v>144</v>
      </c>
      <c r="B212" s="6">
        <f>INDEX('vehicles specifications'!$B$3:$CK$86,MATCH(B194,'vehicles specifications'!$A$3:$A$86,0),MATCH("Lightweighting rate [%]",'vehicles specifications'!$B$2:$CK$2,0))</f>
        <v>7.0000000000000007E-2</v>
      </c>
    </row>
    <row r="213" spans="1:8" s="21" customFormat="1" x14ac:dyDescent="0.3">
      <c r="A213" s="21" t="s">
        <v>513</v>
      </c>
      <c r="B213" s="6" t="s">
        <v>514</v>
      </c>
    </row>
    <row r="214" spans="1:8" s="21" customFormat="1" x14ac:dyDescent="0.3">
      <c r="A214" s="21" t="s">
        <v>515</v>
      </c>
      <c r="B214" s="2">
        <v>15900</v>
      </c>
    </row>
    <row r="215" spans="1:8" s="21" customFormat="1" x14ac:dyDescent="0.3">
      <c r="A215" s="21" t="s">
        <v>516</v>
      </c>
      <c r="B215" s="2">
        <v>1000</v>
      </c>
    </row>
    <row r="216" spans="1:8" s="21" customFormat="1"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20 kW. Lifetime: 62100 km. Annual kilometers: 4592 km. Number of passengers: 1.1. Curb mass: 150.3 kg. Lightweighting of glider: 7%. Emission standard: EURO-5. Service visits throughout lifetime: 1.2. Range: 337 km. Battery capacity: 0 kWh. Battery mass: 0 kg. Battery replacement throughout lifetime: 0. Fuel tank capacity: 132.5 kWh. Fuel mass: 11.3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t="s">
        <v>81</v>
      </c>
      <c r="B218" t="s">
        <v>82</v>
      </c>
      <c r="C218" t="s">
        <v>73</v>
      </c>
      <c r="D218" t="s">
        <v>77</v>
      </c>
      <c r="E218" t="s">
        <v>83</v>
      </c>
      <c r="F218" t="s">
        <v>75</v>
      </c>
      <c r="G218" t="s">
        <v>84</v>
      </c>
      <c r="H218" t="s">
        <v>74</v>
      </c>
    </row>
    <row r="219" spans="1:8" x14ac:dyDescent="0.3">
      <c r="A219" s="12" t="str">
        <f>B189</f>
        <v>Motorbike, gasoline, 11-35kW, EURO-5, 2050</v>
      </c>
      <c r="B219" s="12">
        <v>1</v>
      </c>
      <c r="C219" s="12" t="str">
        <f>B190</f>
        <v>CH</v>
      </c>
      <c r="D219" s="12" t="str">
        <f>B197</f>
        <v>unit</v>
      </c>
      <c r="E219" s="12"/>
      <c r="F219" s="12" t="s">
        <v>85</v>
      </c>
      <c r="G219" s="12" t="s">
        <v>86</v>
      </c>
      <c r="H219" s="12" t="str">
        <f>B191</f>
        <v>Motorbike, gasoline, 11-35kW,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0.9</v>
      </c>
      <c r="C220" s="12" t="str">
        <f>INDEX('ei names mapping'!$B$38:$R$67,MATCH(B191,'ei names mapping'!$A$4:$A$33,0),MATCH(G220,'ei names mapping'!$B$3:$R$3,0))</f>
        <v>RER</v>
      </c>
      <c r="D220" s="12" t="str">
        <f>INDEX('ei names mapping'!$B$104:$R$133,MATCH(B191,'ei names mapping'!$A$104:$A$133,0),MATCH(G220,'ei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0.68888888888888888</v>
      </c>
      <c r="C221" s="12" t="str">
        <f>INDEX('ei names mapping'!$B$38:$R$67,MATCH(B191,'ei names mapping'!$A$4:$A$33,0),MATCH(G221,'ei names mapping'!$B$3:$R$3,0))</f>
        <v>RER</v>
      </c>
      <c r="D221" s="12" t="str">
        <f>INDEX('ei names mapping'!$B$104:$R$133,MATCH(B191,'ei names mapping'!$A$104:$A$133,0),MATCH(G221,'ei names mapping'!$B$3:$R$3,0))</f>
        <v>unit</v>
      </c>
      <c r="E221" s="12"/>
      <c r="F221" s="12" t="s">
        <v>91</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5.6700000000000008</v>
      </c>
      <c r="C222" s="12" t="str">
        <f>INDEX('ei names mapping'!$B$38:$R$67,MATCH(B191,'ei names mapping'!$A$4:$A$33,0),MATCH(G222,'ei names mapping'!$B$3:$R$3,0))</f>
        <v>GLO</v>
      </c>
      <c r="D222" s="12" t="str">
        <f>INDEX('ei names mapping'!$B$104:$R$133,MATCH(B191,'ei names mapping'!$A$104:$A$133,0),MATCH(G222,'ei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1.6875</v>
      </c>
      <c r="C223" s="12" t="str">
        <f>INDEX('ei names mapping'!$B$38:$R$67,MATCH(B191,'ei names mapping'!$A$4:$A$33,0),MATCH(G223,'ei names mapping'!$B$3:$R$3,0))</f>
        <v>RER</v>
      </c>
      <c r="D223" s="12" t="str">
        <f>INDEX('ei names mapping'!$B$104:$R$133,MATCH(B191,'ei names mapping'!$A$104:$A$133,0),MATCH(G223,'ei names mapping'!$B$3:$R$3,0))</f>
        <v>kilogram</v>
      </c>
      <c r="E223" s="12"/>
      <c r="F223" s="12" t="s">
        <v>91</v>
      </c>
      <c r="G223" t="s">
        <v>24</v>
      </c>
      <c r="H223" s="12" t="str">
        <f>INDEX('ei names mapping'!$B$71:$R$100,MATCH(B191,'ei names mapping'!$A$4:$A$33,0),MATCH(G223,'ei names mapping'!$B$3:$R$3,0))</f>
        <v>polyethylene, high density, granulate</v>
      </c>
    </row>
    <row r="224" spans="1:8" s="21" customFormat="1" x14ac:dyDescent="0.3">
      <c r="A224" s="22" t="s">
        <v>468</v>
      </c>
      <c r="B224" s="21">
        <f>(B204/1000)*B215</f>
        <v>150.26749999999998</v>
      </c>
      <c r="C224" s="21" t="s">
        <v>94</v>
      </c>
      <c r="D224" s="21" t="s">
        <v>243</v>
      </c>
      <c r="F224" s="21" t="s">
        <v>91</v>
      </c>
      <c r="H224" s="22" t="s">
        <v>469</v>
      </c>
    </row>
    <row r="225" spans="1:8" s="21" customFormat="1" x14ac:dyDescent="0.3">
      <c r="A225" s="22" t="s">
        <v>467</v>
      </c>
      <c r="B225" s="2">
        <f>(B204/1000)*B214</f>
        <v>2389.2532499999998</v>
      </c>
      <c r="C225" s="21" t="s">
        <v>98</v>
      </c>
      <c r="D225" s="21" t="s">
        <v>243</v>
      </c>
      <c r="F225" s="21" t="s">
        <v>91</v>
      </c>
      <c r="H225" s="22" t="s">
        <v>467</v>
      </c>
    </row>
    <row r="227" spans="1:8" ht="15.6" x14ac:dyDescent="0.3">
      <c r="A227" s="11" t="s">
        <v>72</v>
      </c>
      <c r="B227" s="9" t="str">
        <f>"transport, "&amp;B229&amp;", "&amp;B231</f>
        <v>transport, Motorbike, gasoline, 11-35kW, EURO-3, 2006</v>
      </c>
    </row>
    <row r="228" spans="1:8" x14ac:dyDescent="0.3">
      <c r="A228" t="s">
        <v>73</v>
      </c>
      <c r="B228" t="s">
        <v>37</v>
      </c>
    </row>
    <row r="229" spans="1:8" x14ac:dyDescent="0.3">
      <c r="A229" t="s">
        <v>87</v>
      </c>
      <c r="B229" t="s">
        <v>694</v>
      </c>
    </row>
    <row r="230" spans="1:8" x14ac:dyDescent="0.3">
      <c r="A230" t="s">
        <v>88</v>
      </c>
      <c r="B230" s="12"/>
    </row>
    <row r="231" spans="1:8" x14ac:dyDescent="0.3">
      <c r="A231" t="s">
        <v>89</v>
      </c>
      <c r="B231" s="12">
        <v>2006</v>
      </c>
    </row>
    <row r="232" spans="1:8" x14ac:dyDescent="0.3">
      <c r="A232" t="s">
        <v>131</v>
      </c>
      <c r="B232" s="12" t="str">
        <f>B229&amp;" - "&amp;B231&amp;" - "&amp;B228</f>
        <v>Motorbike, gasoline, 11-35kW, EURO-3 - 2006 - CH</v>
      </c>
    </row>
    <row r="233" spans="1:8" x14ac:dyDescent="0.3">
      <c r="A233" t="s">
        <v>74</v>
      </c>
      <c r="B233" s="12" t="str">
        <f>"transport, "&amp;B229</f>
        <v>transport, Motorbike, gasoline, 11-35kW, EURO-3</v>
      </c>
    </row>
    <row r="234" spans="1:8" x14ac:dyDescent="0.3">
      <c r="A234" t="s">
        <v>75</v>
      </c>
      <c r="B234" t="s">
        <v>76</v>
      </c>
    </row>
    <row r="235" spans="1:8" x14ac:dyDescent="0.3">
      <c r="A235" t="s">
        <v>77</v>
      </c>
      <c r="B235" t="s">
        <v>172</v>
      </c>
    </row>
    <row r="236" spans="1:8" x14ac:dyDescent="0.3">
      <c r="A236" t="s">
        <v>79</v>
      </c>
      <c r="B236" t="s">
        <v>90</v>
      </c>
    </row>
    <row r="237" spans="1:8" x14ac:dyDescent="0.3">
      <c r="A237" t="s">
        <v>132</v>
      </c>
      <c r="B237">
        <f>INDEX('vehicles specifications'!$B$3:$CK$86,MATCH(B232,'vehicles specifications'!$A$3:$A$86,0),MATCH("Lifetime [km]",'vehicles specifications'!$B$2:$CK$2,0))</f>
        <v>62100</v>
      </c>
    </row>
    <row r="238" spans="1:8" x14ac:dyDescent="0.3">
      <c r="A238" t="s">
        <v>133</v>
      </c>
      <c r="B238">
        <f>INDEX('vehicles specifications'!$B$3:$CK$86,MATCH(B232,'vehicles specifications'!$A$3:$A$86,0),MATCH("Passengers [unit]",'vehicles specifications'!$B$2:$CK$2,0))</f>
        <v>1.1000000000000001</v>
      </c>
    </row>
    <row r="239" spans="1:8" x14ac:dyDescent="0.3">
      <c r="A239" t="s">
        <v>134</v>
      </c>
      <c r="B239">
        <f>INDEX('vehicles specifications'!$B$3:$CK$86,MATCH(B232,'vehicles specifications'!$A$3:$A$86,0),MATCH("Servicing [unit]",'vehicles specifications'!$B$2:$CK$2,0))</f>
        <v>1.242</v>
      </c>
    </row>
    <row r="240" spans="1:8" x14ac:dyDescent="0.3">
      <c r="A240" t="s">
        <v>135</v>
      </c>
      <c r="B240">
        <f>INDEX('vehicles specifications'!$B$3:$CK$86,MATCH(B232,'vehicles specifications'!$A$3:$A$86,0),MATCH("Energy battery replacement [unit]",'vehicles specifications'!$B$2:$CK$2,0))</f>
        <v>0</v>
      </c>
    </row>
    <row r="241" spans="1:8" x14ac:dyDescent="0.3">
      <c r="A241" t="s">
        <v>136</v>
      </c>
      <c r="B241">
        <f>INDEX('vehicles specifications'!$B$3:$CK$86,MATCH(B232,'vehicles specifications'!$A$3:$A$86,0),MATCH("Annual kilometers [km]",'vehicles specifications'!$B$2:$CK$2,0))</f>
        <v>4592</v>
      </c>
    </row>
    <row r="242" spans="1:8" x14ac:dyDescent="0.3">
      <c r="A242" t="s">
        <v>137</v>
      </c>
      <c r="B242" s="2">
        <f>INDEX('vehicles specifications'!$B$3:$CK$86,MATCH(B232,'vehicles specifications'!$A$3:$A$86,0),MATCH("Curb mass [kg]",'vehicles specifications'!$B$2:$CK$2,0))</f>
        <v>159.98750000000001</v>
      </c>
    </row>
    <row r="243" spans="1:8" x14ac:dyDescent="0.3">
      <c r="A243" t="s">
        <v>138</v>
      </c>
      <c r="B243">
        <f>INDEX('vehicles specifications'!$B$3:$CK$86,MATCH(B232,'vehicles specifications'!$A$3:$A$86,0),MATCH("Power [kW]",'vehicles specifications'!$B$2:$CK$2,0))</f>
        <v>20</v>
      </c>
    </row>
    <row r="244" spans="1:8" x14ac:dyDescent="0.3">
      <c r="A244" t="s">
        <v>139</v>
      </c>
      <c r="B244">
        <f>INDEX('vehicles specifications'!$B$3:$CK$86,MATCH(B232,'vehicles specifications'!$A$3:$A$86,0),MATCH("Energy battery mass [kg]",'vehicles specifications'!$B$2:$CK$2,0))</f>
        <v>0</v>
      </c>
    </row>
    <row r="245" spans="1:8" x14ac:dyDescent="0.3">
      <c r="A245" t="s">
        <v>140</v>
      </c>
      <c r="B245">
        <f>INDEX('vehicles specifications'!$B$3:$CK$86,MATCH(B232,'vehicles specifications'!$A$3:$A$86,0),MATCH("Electric energy available [kWh]",'vehicles specifications'!$B$2:$CK$2,0))</f>
        <v>0</v>
      </c>
    </row>
    <row r="246" spans="1:8" x14ac:dyDescent="0.3">
      <c r="A246" t="s">
        <v>143</v>
      </c>
      <c r="B246" s="2">
        <f>INDEX('vehicles specifications'!$B$3:$CK$86,MATCH(B232,'vehicles specifications'!$A$3:$A$86,0),MATCH("Oxydation energy stored [kWh]",'vehicles specifications'!$B$2:$CK$2,0))</f>
        <v>132.5</v>
      </c>
    </row>
    <row r="247" spans="1:8" x14ac:dyDescent="0.3">
      <c r="A247" t="s">
        <v>145</v>
      </c>
      <c r="B247">
        <f>INDEX('vehicles specifications'!$B$3:$CK$86,MATCH(B232,'vehicles specifications'!$A$3:$A$86,0),MATCH("Fuel mass [kg]",'vehicles specifications'!$B$2:$CK$2,0))</f>
        <v>11.25</v>
      </c>
    </row>
    <row r="248" spans="1:8" x14ac:dyDescent="0.3">
      <c r="A248" t="s">
        <v>141</v>
      </c>
      <c r="B248" s="2">
        <f>INDEX('vehicles specifications'!$B$3:$CK$86,MATCH(B232,'vehicles specifications'!$A$3:$A$86,0),MATCH("Range [km]",'vehicles specifications'!$B$2:$CK$2,0))</f>
        <v>320.51106557529852</v>
      </c>
    </row>
    <row r="249" spans="1:8" x14ac:dyDescent="0.3">
      <c r="A249" t="s">
        <v>142</v>
      </c>
      <c r="B249" t="str">
        <f>INDEX('vehicles specifications'!$B$3:$CK$86,MATCH(B232,'vehicles specifications'!$A$3:$A$86,0),MATCH("Emission standard",'vehicles specifications'!$B$2:$CK$2,0))</f>
        <v>EURO-3</v>
      </c>
    </row>
    <row r="250" spans="1:8" x14ac:dyDescent="0.3">
      <c r="A250" t="s">
        <v>144</v>
      </c>
      <c r="B250" s="6">
        <f>INDEX('vehicles specifications'!$B$3:$CK$86,MATCH(B232,'vehicles specifications'!$A$3:$A$86,0),MATCH("Lightweighting rate [%]",'vehicles specifications'!$B$2:$CK$2,0))</f>
        <v>-0.05</v>
      </c>
    </row>
    <row r="251" spans="1:8" x14ac:dyDescent="0.3">
      <c r="A25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20 kW. Lifetime: 62100 km. Annual kilometers: 4592 km. Number of passengers: 1.1. Curb mass: 160 kg. Lightweighting of glider: -5%. Emission standard: EURO-3. Service visits throughout lifetime: 1.2. Range: 321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t="s">
        <v>81</v>
      </c>
      <c r="B253" t="s">
        <v>82</v>
      </c>
      <c r="C253" t="s">
        <v>73</v>
      </c>
      <c r="D253" t="s">
        <v>77</v>
      </c>
      <c r="E253" t="s">
        <v>83</v>
      </c>
      <c r="F253" t="s">
        <v>75</v>
      </c>
      <c r="G253" t="s">
        <v>84</v>
      </c>
      <c r="H253" t="s">
        <v>74</v>
      </c>
    </row>
    <row r="254" spans="1:8" x14ac:dyDescent="0.3">
      <c r="A254" s="12" t="str">
        <f>B227</f>
        <v>transport, Motorbike, gasoline, 11-35kW, EURO-3, 2006</v>
      </c>
      <c r="B254" s="12">
        <v>1</v>
      </c>
      <c r="C254" s="12" t="str">
        <f>B228</f>
        <v>CH</v>
      </c>
      <c r="D254" s="12" t="s">
        <v>172</v>
      </c>
      <c r="E254" s="12"/>
      <c r="F254" s="12" t="s">
        <v>85</v>
      </c>
      <c r="G254" s="12" t="s">
        <v>86</v>
      </c>
      <c r="H254" s="12" t="str">
        <f>B233</f>
        <v>transport, Motorbike, gasoline, 11-35kW, EURO-3</v>
      </c>
    </row>
    <row r="255" spans="1:8" x14ac:dyDescent="0.3">
      <c r="A255" s="12" t="str">
        <f>RIGHT(A254,LEN(A254)-11)</f>
        <v>Motorbike, gasoline, 11-35kW, EURO-3, 2006</v>
      </c>
      <c r="B255" s="15">
        <f>1/B237</f>
        <v>1.6103059581320449E-5</v>
      </c>
      <c r="C255" s="12" t="str">
        <f>B228</f>
        <v>CH</v>
      </c>
      <c r="D255" s="12" t="s">
        <v>77</v>
      </c>
      <c r="E255" s="12"/>
      <c r="F255" s="12" t="s">
        <v>91</v>
      </c>
      <c r="G255" s="12"/>
      <c r="H255" s="12" t="str">
        <f>RIGHT(H254,LEN(H254)-11)</f>
        <v>Motorbike, gasoline, 11-35kW, EURO-3</v>
      </c>
    </row>
    <row r="256" spans="1:8" s="21" customFormat="1"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1.3048428750000001E-4</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road maintenance</v>
      </c>
      <c r="B257" s="16">
        <f>INDEX('vehicles specifications'!$B$3:$CK$86,MATCH(B232,'vehicles specifications'!$A$3:$A$86,0),MATCH(G257,'vehicles specifications'!$B$2:$CK$2,0))*INDEX('ei names mapping'!$B$137:$BK$220,MATCH(B232,'ei names mapping'!$A$137:$A$220,0),MATCH(G257,'ei names mapping'!$B$136:$BK$136,0))</f>
        <v>1.2899999999999999E-3</v>
      </c>
      <c r="C257" s="12" t="str">
        <f>INDEX('ei names mapping'!$B$38:$R$67,MATCH(B229,'ei names mapping'!$A$4:$A$33,0),MATCH(G257,'ei names mapping'!$B$3:$R$3,0))</f>
        <v>CH</v>
      </c>
      <c r="D257" s="12" t="str">
        <f>INDEX('ei names mapping'!$B$104:$BK$133,MATCH(B229,'ei names mapping'!$A$4:$A$33,0),MATCH(G257,'ei names mapping'!$B$3:$BK$3,0))</f>
        <v>meter-year</v>
      </c>
      <c r="E257" s="12"/>
      <c r="F257" s="12" t="s">
        <v>91</v>
      </c>
      <c r="G257" t="s">
        <v>117</v>
      </c>
      <c r="H257" s="12" t="str">
        <f>INDEX('ei names mapping'!$B$71:$BK$100,MATCH(B229,'ei names mapping'!$A$4:$A$33,0),MATCH(G257,'ei names mapping'!$B$3:$BK$3,0))</f>
        <v>road maintenance</v>
      </c>
    </row>
    <row r="258" spans="1:8" x14ac:dyDescent="0.3">
      <c r="A258" s="12" t="str">
        <f>INDEX('ei names mapping'!$B$4:$R$33,MATCH(B229,'ei names mapping'!$A$4:$A$33,0),MATCH(G258,'ei names mapping'!$B$3:$R$3,0))</f>
        <v>maintenance, motor scooter</v>
      </c>
      <c r="B258" s="16">
        <f>INDEX('vehicles specifications'!$B$3:$CK$86,MATCH(B232,'vehicles specifications'!$A$3:$A$86,0),MATCH(G258,'vehicles specifications'!$B$2:$CK$2,0))*INDEX('ei names mapping'!$B$137:$BK$220,MATCH(B232,'ei names mapping'!$A$137:$A$220,0),MATCH(G258,'ei names mapping'!$B$136:$BK$136,0))</f>
        <v>1.9999999999999998E-5</v>
      </c>
      <c r="C258" s="12" t="str">
        <f>INDEX('ei names mapping'!$B$38:$BK$67,MATCH(B229,'ei names mapping'!$A$4:$A$33,0),MATCH(G258,'ei names mapping'!$B$3:$BK$3,0))</f>
        <v>CH</v>
      </c>
      <c r="D258" s="12" t="str">
        <f>INDEX('ei names mapping'!$B$104:$BK$133,MATCH(B229,'ei names mapping'!$A$4:$A$33,0),MATCH(G258,'ei names mapping'!$B$3:$BK$3,0))</f>
        <v>unit</v>
      </c>
      <c r="F258" s="12" t="s">
        <v>91</v>
      </c>
      <c r="G258" s="12" t="s">
        <v>123</v>
      </c>
      <c r="H258" s="12" t="str">
        <f>INDEX('ei names mapping'!$B$71:$BK$100,MATCH(B229,'ei names mapping'!$A$4:$A$33,0),MATCH(G258,'ei names mapping'!$B$3:$BK$3,0))</f>
        <v>maintenance, motor scooter</v>
      </c>
    </row>
    <row r="259" spans="1:8" x14ac:dyDescent="0.3">
      <c r="A259" s="12" t="str">
        <f>INDEX('ei names mapping'!$B$4:$R$33,MATCH(B229,'ei names mapping'!$A$4:$A$33,0),MATCH(G259,'ei names mapping'!$B$3:$R$3,0))</f>
        <v>market for petrol, low-sulfur</v>
      </c>
      <c r="B259" s="16">
        <f>INDEX('vehicles specifications'!$B$3:$CK$86,MATCH(B232,'vehicles specifications'!$A$3:$A$86,0),MATCH(G259,'vehicles specifications'!$B$2:$CK$2,0))*INDEX('ei names mapping'!$B$137:$BK$220,MATCH(B232,'ei names mapping'!$A$137:$A$220,0),MATCH(G259,'ei names mapping'!$B$136:$BK$136,0))</f>
        <v>3.5100192187770218E-2</v>
      </c>
      <c r="C259" s="12" t="str">
        <f>INDEX('ei names mapping'!$B$38:$BK$67,MATCH(B229,'ei names mapping'!$A$4:$A$33,0),MATCH(G259,'ei names mapping'!$B$3:$BK$3,0))</f>
        <v>CH</v>
      </c>
      <c r="D259" s="12" t="str">
        <f>INDEX('ei names mapping'!$B$104:$BK$133,MATCH(B229,'ei names mapping'!$A$4:$A$33,0),MATCH(G259,'ei names mapping'!$B$3:$BK$3,0))</f>
        <v>kilogram</v>
      </c>
      <c r="F259" s="12" t="s">
        <v>91</v>
      </c>
      <c r="G259" s="12" t="s">
        <v>27</v>
      </c>
      <c r="H259" s="12" t="str">
        <f>INDEX('ei names mapping'!$B$71:$BK$100,MATCH(B229,'ei names mapping'!$A$4:$A$33,0),MATCH(G259,'ei names mapping'!$B$3:$BK$3,0))</f>
        <v>petrol, low-sulfur</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0.1116186111571093</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5.6160307500432345E-7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5.4417962719780696E-6</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2.203769637337727E-5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2.2122455045910314E-4</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6.627878608534517E-7</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6.627878608534517E-7</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2.6220817193601416E-5</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1.6569696521336294E-6</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s="21" customFormat="1"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4.3883576353705504E-5</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s="21" customFormat="1"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3.09435474288949E-6</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s="21" customFormat="1"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6.3051115450726299E-7</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s="21" customFormat="1"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5.0828899224893196E-6</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s="21" customFormat="1"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2.0855368956778698E-6</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s="21" customFormat="1"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1.5617276288564514E-6</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s="21" customFormat="1"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1.1058195632896611E-6</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s="21" customFormat="1"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7.1781269897749935E-7</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s="21" customFormat="1"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7.0811252736969535E-6</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s="21" customFormat="1"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3.7054655541811453E-6</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s="21" customFormat="1"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1.0670188768584451E-7</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s="21" customFormat="1"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1.0650788425368842E-5</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s="21" customFormat="1"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5.2671931830375969E-6</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s="21" customFormat="1"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2.192238783363714E-6</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s="21" customFormat="1"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1.649029173326688E-6</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s="21" customFormat="1"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7.2751287058530338E-7</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s="21" customFormat="1"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2.1340377537168902E-7</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s="21" customFormat="1"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5.9171046807604678E-7</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s="21" customFormat="1"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4.8500858039020227E-8</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s="21" customFormat="1"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1.8430326054827685E-7</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s="21" customFormat="1"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9.7971733238820843E-7</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s="21" customFormat="1"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5.1791035576898713E-8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s="21" customFormat="1"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4.4647444462843715E-10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s="21" customFormat="1"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2.9764962975229147E-10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s="21" customFormat="1"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3.2146160013247478E-6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s="21" customFormat="1"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6.2506422247981203E-8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s="21" customFormat="1"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1.9347225933898945E-8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s="21" customFormat="1"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2.3811970380183322E-8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s="21" customFormat="1"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4.7623940760366629E-11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s="21" customFormat="1"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1.2947758894224678E-8</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s="21" customFormat="1"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1.6073080006623738E-8</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-7.3669999999999991E-6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-8.3499999999999997E-6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Motorbike, gasoline, 11-35kW, EURO-4, 2016</v>
      </c>
    </row>
    <row r="305" spans="1:2" x14ac:dyDescent="0.3">
      <c r="A305" t="s">
        <v>73</v>
      </c>
      <c r="B305" t="s">
        <v>37</v>
      </c>
    </row>
    <row r="306" spans="1:2" x14ac:dyDescent="0.3">
      <c r="A306" t="s">
        <v>87</v>
      </c>
      <c r="B306" t="s">
        <v>695</v>
      </c>
    </row>
    <row r="307" spans="1:2" x14ac:dyDescent="0.3">
      <c r="A307" t="s">
        <v>88</v>
      </c>
      <c r="B307" s="12"/>
    </row>
    <row r="308" spans="1:2" x14ac:dyDescent="0.3">
      <c r="A308" t="s">
        <v>89</v>
      </c>
      <c r="B308" s="12">
        <v>2016</v>
      </c>
    </row>
    <row r="309" spans="1:2" x14ac:dyDescent="0.3">
      <c r="A309" t="s">
        <v>131</v>
      </c>
      <c r="B309" s="12" t="str">
        <f>B306&amp;" - "&amp;B308&amp;" - "&amp;B305</f>
        <v>Motorbike, gasoline, 11-35kW, EURO-4 - 2016 - CH</v>
      </c>
    </row>
    <row r="310" spans="1:2" x14ac:dyDescent="0.3">
      <c r="A310" t="s">
        <v>74</v>
      </c>
      <c r="B310" s="12" t="str">
        <f>"transport, "&amp;B306</f>
        <v>transport, Motorbike, gasoline, 11-35kW, EURO-4</v>
      </c>
    </row>
    <row r="311" spans="1:2" x14ac:dyDescent="0.3">
      <c r="A311" t="s">
        <v>75</v>
      </c>
      <c r="B311" t="s">
        <v>76</v>
      </c>
    </row>
    <row r="312" spans="1:2" x14ac:dyDescent="0.3">
      <c r="A312" t="s">
        <v>77</v>
      </c>
      <c r="B312" t="s">
        <v>172</v>
      </c>
    </row>
    <row r="313" spans="1:2" x14ac:dyDescent="0.3">
      <c r="A313" t="s">
        <v>79</v>
      </c>
      <c r="B313" t="s">
        <v>90</v>
      </c>
    </row>
    <row r="314" spans="1:2" x14ac:dyDescent="0.3">
      <c r="A314" t="s">
        <v>132</v>
      </c>
      <c r="B314">
        <f>INDEX('vehicles specifications'!$B$3:$CK$86,MATCH(B309,'vehicles specifications'!$A$3:$A$86,0),MATCH("Lifetime [km]",'vehicles specifications'!$B$2:$CK$2,0))</f>
        <v>62100</v>
      </c>
    </row>
    <row r="315" spans="1:2" x14ac:dyDescent="0.3">
      <c r="A315" t="s">
        <v>133</v>
      </c>
      <c r="B315">
        <f>INDEX('vehicles specifications'!$B$3:$CK$86,MATCH(B309,'vehicles specifications'!$A$3:$A$86,0),MATCH("Passengers [unit]",'vehicles specifications'!$B$2:$CK$2,0))</f>
        <v>1.1000000000000001</v>
      </c>
    </row>
    <row r="316" spans="1:2" x14ac:dyDescent="0.3">
      <c r="A316" t="s">
        <v>134</v>
      </c>
      <c r="B316">
        <f>INDEX('vehicles specifications'!$B$3:$CK$86,MATCH(B309,'vehicles specifications'!$A$3:$A$86,0),MATCH("Servicing [unit]",'vehicles specifications'!$B$2:$CK$2,0))</f>
        <v>1.242</v>
      </c>
    </row>
    <row r="317" spans="1:2" x14ac:dyDescent="0.3">
      <c r="A317" t="s">
        <v>135</v>
      </c>
      <c r="B317">
        <f>INDEX('vehicles specifications'!$B$3:$CK$86,MATCH(B309,'vehicles specifications'!$A$3:$A$86,0),MATCH("Energy battery replacement [unit]",'vehicles specifications'!$B$2:$CK$2,0))</f>
        <v>0</v>
      </c>
    </row>
    <row r="318" spans="1:2" x14ac:dyDescent="0.3">
      <c r="A318" t="s">
        <v>136</v>
      </c>
      <c r="B318">
        <f>INDEX('vehicles specifications'!$B$3:$CK$86,MATCH(B309,'vehicles specifications'!$A$3:$A$86,0),MATCH("Annual kilometers [km]",'vehicles specifications'!$B$2:$CK$2,0))</f>
        <v>4592</v>
      </c>
    </row>
    <row r="319" spans="1:2" x14ac:dyDescent="0.3">
      <c r="A319" t="s">
        <v>137</v>
      </c>
      <c r="B319" s="2">
        <f>INDEX('vehicles specifications'!$B$3:$CK$86,MATCH(B309,'vehicles specifications'!$A$3:$A$86,0),MATCH("Curb mass [kg]",'vehicles specifications'!$B$2:$CK$2,0))</f>
        <v>157.5575</v>
      </c>
    </row>
    <row r="320" spans="1:2" x14ac:dyDescent="0.3">
      <c r="A320" t="s">
        <v>138</v>
      </c>
      <c r="B320">
        <f>INDEX('vehicles specifications'!$B$3:$CK$86,MATCH(B309,'vehicles specifications'!$A$3:$A$86,0),MATCH("Power [kW]",'vehicles specifications'!$B$2:$CK$2,0))</f>
        <v>20</v>
      </c>
    </row>
    <row r="321" spans="1:8" x14ac:dyDescent="0.3">
      <c r="A321" t="s">
        <v>139</v>
      </c>
      <c r="B321">
        <f>INDEX('vehicles specifications'!$B$3:$CK$86,MATCH(B309,'vehicles specifications'!$A$3:$A$86,0),MATCH("Energy battery mass [kg]",'vehicles specifications'!$B$2:$CK$2,0))</f>
        <v>0</v>
      </c>
    </row>
    <row r="322" spans="1:8" x14ac:dyDescent="0.3">
      <c r="A322" t="s">
        <v>140</v>
      </c>
      <c r="B322">
        <f>INDEX('vehicles specifications'!$B$3:$CK$86,MATCH(B309,'vehicles specifications'!$A$3:$A$86,0),MATCH("Electric energy available [kWh]",'vehicles specifications'!$B$2:$CK$2,0))</f>
        <v>0</v>
      </c>
    </row>
    <row r="323" spans="1:8" x14ac:dyDescent="0.3">
      <c r="A323" t="s">
        <v>143</v>
      </c>
      <c r="B323" s="2">
        <f>INDEX('vehicles specifications'!$B$3:$CK$86,MATCH(B309,'vehicles specifications'!$A$3:$A$86,0),MATCH("Oxydation energy stored [kWh]",'vehicles specifications'!$B$2:$CK$2,0))</f>
        <v>132.5</v>
      </c>
    </row>
    <row r="324" spans="1:8" x14ac:dyDescent="0.3">
      <c r="A324" t="s">
        <v>145</v>
      </c>
      <c r="B324">
        <f>INDEX('vehicles specifications'!$B$3:$CK$86,MATCH(B309,'vehicles specifications'!$A$3:$A$86,0),MATCH("Fuel mass [kg]",'vehicles specifications'!$B$2:$CK$2,0))</f>
        <v>11.25</v>
      </c>
    </row>
    <row r="325" spans="1:8" x14ac:dyDescent="0.3">
      <c r="A325" t="s">
        <v>141</v>
      </c>
      <c r="B325" s="2">
        <f>INDEX('vehicles specifications'!$B$3:$CK$86,MATCH(B309,'vehicles specifications'!$A$3:$A$86,0),MATCH("Range [km]",'vehicles specifications'!$B$2:$CK$2,0))</f>
        <v>323.71617623105146</v>
      </c>
    </row>
    <row r="326" spans="1:8" x14ac:dyDescent="0.3">
      <c r="A326" t="s">
        <v>142</v>
      </c>
      <c r="B326" t="str">
        <f>INDEX('vehicles specifications'!$B$3:$CK$86,MATCH(B309,'vehicles specifications'!$A$3:$A$86,0),MATCH("Emission standard",'vehicles specifications'!$B$2:$CK$2,0))</f>
        <v>EURO-4</v>
      </c>
    </row>
    <row r="327" spans="1:8" x14ac:dyDescent="0.3">
      <c r="A327" t="s">
        <v>144</v>
      </c>
      <c r="B327" s="6">
        <f>INDEX('vehicles specifications'!$B$3:$CK$86,MATCH(B309,'vehicles specifications'!$A$3:$A$86,0),MATCH("Lightweighting rate [%]",'vehicles specifications'!$B$2:$CK$2,0))</f>
        <v>-0.02</v>
      </c>
    </row>
    <row r="328" spans="1:8" x14ac:dyDescent="0.3">
      <c r="A328"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20 kW. Lifetime: 62100 km. Annual kilometers: 4592 km. Number of passengers: 1.1. Curb mass: 157.6 kg. Lightweighting of glider: -2%. Emission standard: EURO-4. Service visits throughout lifetime: 1.2. Range: 324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t="s">
        <v>81</v>
      </c>
      <c r="B330" t="s">
        <v>82</v>
      </c>
      <c r="C330" t="s">
        <v>73</v>
      </c>
      <c r="D330" t="s">
        <v>77</v>
      </c>
      <c r="E330" t="s">
        <v>83</v>
      </c>
      <c r="F330" t="s">
        <v>75</v>
      </c>
      <c r="G330" t="s">
        <v>84</v>
      </c>
      <c r="H330" t="s">
        <v>74</v>
      </c>
    </row>
    <row r="331" spans="1:8" x14ac:dyDescent="0.3">
      <c r="A331" s="12" t="str">
        <f>B304</f>
        <v>transport, Motorbike, gasoline, 11-35kW, EURO-4, 2016</v>
      </c>
      <c r="B331" s="12">
        <v>1</v>
      </c>
      <c r="C331" s="12" t="str">
        <f>B305</f>
        <v>CH</v>
      </c>
      <c r="D331" s="12" t="s">
        <v>172</v>
      </c>
      <c r="E331" s="12"/>
      <c r="F331" s="12" t="s">
        <v>85</v>
      </c>
      <c r="G331" s="12" t="s">
        <v>86</v>
      </c>
      <c r="H331" s="12" t="str">
        <f>B310</f>
        <v>transport, Motorbike, gasoline, 11-35kW, EURO-4</v>
      </c>
    </row>
    <row r="332" spans="1:8" x14ac:dyDescent="0.3">
      <c r="A332" s="12" t="str">
        <f>RIGHT(A331,LEN(A331)-11)</f>
        <v>Motorbike, gasoline, 11-35kW, EURO-4, 2016</v>
      </c>
      <c r="B332" s="12">
        <f>1/B314</f>
        <v>1.6103059581320449E-5</v>
      </c>
      <c r="C332" s="12" t="str">
        <f>B305</f>
        <v>CH</v>
      </c>
      <c r="D332" s="12" t="s">
        <v>77</v>
      </c>
      <c r="E332" s="12"/>
      <c r="F332" s="12" t="s">
        <v>91</v>
      </c>
      <c r="G332" s="12"/>
      <c r="H332" s="12" t="str">
        <f>RIGHT(H331,LEN(H331)-11)</f>
        <v>Motorbike, gasoline, 11-35kW, EURO-4</v>
      </c>
    </row>
    <row r="333" spans="1:8" s="21" customFormat="1"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1.291793775E-4</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road maintenance</v>
      </c>
      <c r="B334" s="16">
        <f>INDEX('vehicles specifications'!$B$3:$CK$86,MATCH(B309,'vehicles specifications'!$A$3:$A$86,0),MATCH(G334,'vehicles specifications'!$B$2:$CK$2,0))*INDEX('ei names mapping'!$B$137:$BK$220,MATCH(B309,'ei names mapping'!$A$137:$A$220,0),MATCH(G334,'ei names mapping'!$B$136:$BK$136,0))</f>
        <v>1.2899999999999999E-3</v>
      </c>
      <c r="C334" s="12" t="str">
        <f>INDEX('ei names mapping'!$B$38:$R$67,MATCH(B306,'ei names mapping'!$A$4:$A$33,0),MATCH(G334,'ei names mapping'!$B$3:$R$3,0))</f>
        <v>CH</v>
      </c>
      <c r="D334" s="12" t="str">
        <f>INDEX('ei names mapping'!$B$104:$BK$133,MATCH(B306,'ei names mapping'!$A$4:$A$33,0),MATCH(G334,'ei names mapping'!$B$3:$BK$3,0))</f>
        <v>meter-year</v>
      </c>
      <c r="E334" s="12"/>
      <c r="F334" s="12" t="s">
        <v>91</v>
      </c>
      <c r="G334" t="s">
        <v>117</v>
      </c>
      <c r="H334" s="12" t="str">
        <f>INDEX('ei names mapping'!$B$71:$BK$100,MATCH(B306,'ei names mapping'!$A$4:$A$33,0),MATCH(G334,'ei names mapping'!$B$3:$BK$3,0))</f>
        <v>road maintenance</v>
      </c>
    </row>
    <row r="335" spans="1:8" x14ac:dyDescent="0.3">
      <c r="A335" s="12" t="str">
        <f>INDEX('ei names mapping'!$B$4:$R$33,MATCH(B306,'ei names mapping'!$A$4:$A$33,0),MATCH(G335,'ei names mapping'!$B$3:$R$3,0))</f>
        <v>maintenance, motor scooter</v>
      </c>
      <c r="B335" s="16">
        <f>INDEX('vehicles specifications'!$B$3:$CK$86,MATCH(B309,'vehicles specifications'!$A$3:$A$86,0),MATCH(G335,'vehicles specifications'!$B$2:$CK$2,0))*INDEX('ei names mapping'!$B$137:$BK$220,MATCH(B309,'ei names mapping'!$A$137:$A$220,0),MATCH(G335,'ei names mapping'!$B$136:$BK$136,0))</f>
        <v>1.9999999999999998E-5</v>
      </c>
      <c r="C335" s="12" t="str">
        <f>INDEX('ei names mapping'!$B$38:$BK$67,MATCH(B306,'ei names mapping'!$A$4:$A$33,0),MATCH(G335,'ei names mapping'!$B$3:$BK$3,0))</f>
        <v>CH</v>
      </c>
      <c r="D335" s="12" t="str">
        <f>INDEX('ei names mapping'!$B$104:$BK$133,MATCH(B306,'ei names mapping'!$A$4:$A$33,0),MATCH(G335,'ei names mapping'!$B$3:$BK$3,0))</f>
        <v>unit</v>
      </c>
      <c r="F335" s="12" t="s">
        <v>91</v>
      </c>
      <c r="G335" s="12" t="s">
        <v>123</v>
      </c>
      <c r="H335" s="12" t="str">
        <f>INDEX('ei names mapping'!$B$71:$BK$100,MATCH(B306,'ei names mapping'!$A$4:$A$33,0),MATCH(G335,'ei names mapping'!$B$3:$BK$3,0))</f>
        <v>maintenance, motor scooter</v>
      </c>
    </row>
    <row r="336" spans="1:8" x14ac:dyDescent="0.3">
      <c r="A336" s="12" t="str">
        <f>INDEX('ei names mapping'!$B$4:$R$33,MATCH(B306,'ei names mapping'!$A$4:$A$33,0),MATCH(G336,'ei names mapping'!$B$3:$R$3,0))</f>
        <v>market for petrol, low-sulfur</v>
      </c>
      <c r="B336" s="16">
        <f>INDEX('vehicles specifications'!$B$3:$CK$86,MATCH(B309,'vehicles specifications'!$A$3:$A$86,0),MATCH(G336,'vehicles specifications'!$B$2:$CK$2,0))*INDEX('ei names mapping'!$B$137:$BK$220,MATCH(B309,'ei names mapping'!$A$137:$A$220,0),MATCH(G336,'ei names mapping'!$B$136:$BK$136,0))</f>
        <v>3.4752665532445763E-2</v>
      </c>
      <c r="C336" s="12" t="str">
        <f>INDEX('ei names mapping'!$B$38:$BK$67,MATCH(B306,'ei names mapping'!$A$4:$A$33,0),MATCH(G336,'ei names mapping'!$B$3:$BK$3,0))</f>
        <v>CH</v>
      </c>
      <c r="D336" s="12" t="str">
        <f>INDEX('ei names mapping'!$B$104:$BK$133,MATCH(B306,'ei names mapping'!$A$4:$A$33,0),MATCH(G336,'ei names mapping'!$B$3:$BK$3,0))</f>
        <v>kilogram</v>
      </c>
      <c r="F336" s="12" t="s">
        <v>91</v>
      </c>
      <c r="G336" s="12" t="s">
        <v>27</v>
      </c>
      <c r="H336" s="12" t="str">
        <f>INDEX('ei names mapping'!$B$71:$BK$100,MATCH(B306,'ei names mapping'!$A$4:$A$33,0),MATCH(G336,'ei names mapping'!$B$3:$BK$3,0))</f>
        <v>petrol, low-sulfur</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0.11051347639317753</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5.5604264851913217E-7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1.9073617591137917E-6</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2.7697735778460602E-5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1.4020599038117664E-4</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8.3301460987851437E-7</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8.3301460987851437E-7</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1.3603299444488674E-5</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2.082536524696286E-6</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s="21" customFormat="1"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1.5381291618949722E-5</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s="21" customFormat="1"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1.084578255182352E-6</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s="21" customFormat="1"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2.2099556923778335E-7</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s="21" customFormat="1"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1.7815642812399767E-6</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s="21" customFormat="1"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7.3098534440189867E-7</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s="21" customFormat="1"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5.4738902534281725E-7</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s="21" customFormat="1"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3.875922291247277E-7</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s="21" customFormat="1"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2.5159495574763026E-7</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s="21" customFormat="1"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2.481950239132028E-6</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s="21" customFormat="1"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1.2987739607512805E-6</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s="21" customFormat="1"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3.73992501787018E-8</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s="21" customFormat="1"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3.7331251542013252E-6</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s="21" customFormat="1"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1.8461629860940981E-6</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s="21" customFormat="1"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7.6838459458060058E-7</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s="21" customFormat="1"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5.7798841185266424E-7</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s="21" customFormat="1"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2.5499488758205772E-7</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s="21" customFormat="1"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7.47985003574036E-8</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s="21" customFormat="1"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2.0739584190007364E-7</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s="21" customFormat="1"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s="21" customFormat="1"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6.4598704854121283E-8</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s="21" customFormat="1"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3.4339311527717102E-7</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s="21" customFormat="1"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5.1278253046434368E-8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s="21" customFormat="1"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4.4205390557271004E-10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s="21" customFormat="1"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2.9470260371514004E-10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s="21" customFormat="1"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3.1827881201235126E-6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s="21" customFormat="1"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6.1887546780179402E-8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s="21" customFormat="1"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1.9155669241484104E-8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s="21" customFormat="1"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2.3576208297211208E-8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s="21" customFormat="1"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4.7152416594422404E-11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s="21" customFormat="1"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1.2819563261608592E-8</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s="21" customFormat="1"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1.5913940600617563E-8</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-7.3669999999999991E-6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-8.3499999999999997E-6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Motorbike, gasoline, 11-35kW, EURO-5, 2020</v>
      </c>
    </row>
    <row r="382" spans="1:8" x14ac:dyDescent="0.3">
      <c r="A382" t="s">
        <v>73</v>
      </c>
      <c r="B382" t="s">
        <v>37</v>
      </c>
    </row>
    <row r="383" spans="1:8" x14ac:dyDescent="0.3">
      <c r="A383" t="s">
        <v>87</v>
      </c>
      <c r="B383" t="s">
        <v>696</v>
      </c>
    </row>
    <row r="384" spans="1:8" x14ac:dyDescent="0.3">
      <c r="A384" t="s">
        <v>88</v>
      </c>
      <c r="B384" s="12"/>
    </row>
    <row r="385" spans="1:2" x14ac:dyDescent="0.3">
      <c r="A385" t="s">
        <v>89</v>
      </c>
      <c r="B385" s="12">
        <v>2020</v>
      </c>
    </row>
    <row r="386" spans="1:2" x14ac:dyDescent="0.3">
      <c r="A386" t="s">
        <v>131</v>
      </c>
      <c r="B386" s="12" t="str">
        <f>B383&amp;" - "&amp;B385&amp;" - "&amp;B382</f>
        <v>Motorbike, gasoline, 11-35kW, EURO-5 - 2020 - CH</v>
      </c>
    </row>
    <row r="387" spans="1:2" x14ac:dyDescent="0.3">
      <c r="A387" t="s">
        <v>74</v>
      </c>
      <c r="B387" s="12" t="str">
        <f>"transport, "&amp;B383</f>
        <v>transport, Motorbike, gasoline, 11-35kW, EURO-5</v>
      </c>
    </row>
    <row r="388" spans="1:2" x14ac:dyDescent="0.3">
      <c r="A388" t="s">
        <v>75</v>
      </c>
      <c r="B388" t="s">
        <v>76</v>
      </c>
    </row>
    <row r="389" spans="1:2" x14ac:dyDescent="0.3">
      <c r="A389" t="s">
        <v>77</v>
      </c>
      <c r="B389" t="s">
        <v>172</v>
      </c>
    </row>
    <row r="390" spans="1:2" x14ac:dyDescent="0.3">
      <c r="A390" t="s">
        <v>79</v>
      </c>
      <c r="B390" t="s">
        <v>90</v>
      </c>
    </row>
    <row r="391" spans="1:2" x14ac:dyDescent="0.3">
      <c r="A391" t="s">
        <v>132</v>
      </c>
      <c r="B391">
        <f>INDEX('vehicles specifications'!$B$3:$CK$86,MATCH(B386,'vehicles specifications'!$A$3:$A$86,0),MATCH("Lifetime [km]",'vehicles specifications'!$B$2:$CK$2,0))</f>
        <v>62100</v>
      </c>
    </row>
    <row r="392" spans="1:2" x14ac:dyDescent="0.3">
      <c r="A392" t="s">
        <v>133</v>
      </c>
      <c r="B392">
        <f>INDEX('vehicles specifications'!$B$3:$CK$86,MATCH(B386,'vehicles specifications'!$A$3:$A$86,0),MATCH("Passengers [unit]",'vehicles specifications'!$B$2:$CK$2,0))</f>
        <v>1.1000000000000001</v>
      </c>
    </row>
    <row r="393" spans="1:2" x14ac:dyDescent="0.3">
      <c r="A393" t="s">
        <v>134</v>
      </c>
      <c r="B393">
        <f>INDEX('vehicles specifications'!$B$3:$CK$86,MATCH(B386,'vehicles specifications'!$A$3:$A$86,0),MATCH("Servicing [unit]",'vehicles specifications'!$B$2:$CK$2,0))</f>
        <v>1.242</v>
      </c>
    </row>
    <row r="394" spans="1:2" x14ac:dyDescent="0.3">
      <c r="A394" t="s">
        <v>135</v>
      </c>
      <c r="B394">
        <f>INDEX('vehicles specifications'!$B$3:$CK$86,MATCH(B386,'vehicles specifications'!$A$3:$A$86,0),MATCH("Energy battery replacement [unit]",'vehicles specifications'!$B$2:$CK$2,0))</f>
        <v>0</v>
      </c>
    </row>
    <row r="395" spans="1:2" x14ac:dyDescent="0.3">
      <c r="A395" t="s">
        <v>136</v>
      </c>
      <c r="B395">
        <f>INDEX('vehicles specifications'!$B$3:$CK$86,MATCH(B386,'vehicles specifications'!$A$3:$A$86,0),MATCH("Annual kilometers [km]",'vehicles specifications'!$B$2:$CK$2,0))</f>
        <v>4592</v>
      </c>
    </row>
    <row r="396" spans="1:2" x14ac:dyDescent="0.3">
      <c r="A396" t="s">
        <v>137</v>
      </c>
      <c r="B396" s="2">
        <f>INDEX('vehicles specifications'!$B$3:$CK$86,MATCH(B386,'vehicles specifications'!$A$3:$A$86,0),MATCH("Curb mass [kg]",'vehicles specifications'!$B$2:$CK$2,0))</f>
        <v>155.9375</v>
      </c>
    </row>
    <row r="397" spans="1:2" x14ac:dyDescent="0.3">
      <c r="A397" t="s">
        <v>138</v>
      </c>
      <c r="B397">
        <f>INDEX('vehicles specifications'!$B$3:$CK$86,MATCH(B386,'vehicles specifications'!$A$3:$A$86,0),MATCH("Power [kW]",'vehicles specifications'!$B$2:$CK$2,0))</f>
        <v>20</v>
      </c>
    </row>
    <row r="398" spans="1:2" x14ac:dyDescent="0.3">
      <c r="A398" t="s">
        <v>139</v>
      </c>
      <c r="B398">
        <f>INDEX('vehicles specifications'!$B$3:$CK$86,MATCH(B386,'vehicles specifications'!$A$3:$A$86,0),MATCH("Energy battery mass [kg]",'vehicles specifications'!$B$2:$CK$2,0))</f>
        <v>0</v>
      </c>
    </row>
    <row r="399" spans="1:2" x14ac:dyDescent="0.3">
      <c r="A399" t="s">
        <v>140</v>
      </c>
      <c r="B399">
        <f>INDEX('vehicles specifications'!$B$3:$CK$86,MATCH(B386,'vehicles specifications'!$A$3:$A$86,0),MATCH("Electric energy available [kWh]",'vehicles specifications'!$B$2:$CK$2,0))</f>
        <v>0</v>
      </c>
    </row>
    <row r="400" spans="1:2" x14ac:dyDescent="0.3">
      <c r="A400" t="s">
        <v>143</v>
      </c>
      <c r="B400" s="2">
        <f>INDEX('vehicles specifications'!$B$3:$CK$86,MATCH(B386,'vehicles specifications'!$A$3:$A$86,0),MATCH("Oxydation energy stored [kWh]",'vehicles specifications'!$B$2:$CK$2,0))</f>
        <v>132.5</v>
      </c>
    </row>
    <row r="401" spans="1:8" x14ac:dyDescent="0.3">
      <c r="A401" t="s">
        <v>145</v>
      </c>
      <c r="B401">
        <f>INDEX('vehicles specifications'!$B$3:$CK$86,MATCH(B386,'vehicles specifications'!$A$3:$A$86,0),MATCH("Fuel mass [kg]",'vehicles specifications'!$B$2:$CK$2,0))</f>
        <v>11.25</v>
      </c>
    </row>
    <row r="402" spans="1:8" x14ac:dyDescent="0.3">
      <c r="A402" t="s">
        <v>141</v>
      </c>
      <c r="B402" s="2">
        <f>INDEX('vehicles specifications'!$B$3:$CK$86,MATCH(B386,'vehicles specifications'!$A$3:$A$86,0),MATCH("Range [km]",'vehicles specifications'!$B$2:$CK$2,0))</f>
        <v>326.98603659702172</v>
      </c>
    </row>
    <row r="403" spans="1:8" x14ac:dyDescent="0.3">
      <c r="A403" t="s">
        <v>142</v>
      </c>
      <c r="B403" t="str">
        <f>INDEX('vehicles specifications'!$B$3:$CK$86,MATCH(B386,'vehicles specifications'!$A$3:$A$86,0),MATCH("Emission standard",'vehicles specifications'!$B$2:$CK$2,0))</f>
        <v>EURO-5</v>
      </c>
    </row>
    <row r="404" spans="1:8" x14ac:dyDescent="0.3">
      <c r="A404" t="s">
        <v>144</v>
      </c>
      <c r="B404" s="6">
        <f>INDEX('vehicles specifications'!$B$3:$CK$86,MATCH(B386,'vehicles specifications'!$A$3:$A$86,0),MATCH("Lightweighting rate [%]",'vehicles specifications'!$B$2:$CK$2,0))</f>
        <v>0</v>
      </c>
    </row>
    <row r="405" spans="1:8" x14ac:dyDescent="0.3">
      <c r="A405"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20 kW. Lifetime: 62100 km. Annual kilometers: 4592 km. Number of passengers: 1.1. Curb mass: 155.9 kg. Lightweighting of glider: 0%. Emission standard: EURO-5. Service visits throughout lifetime: 1.2. Range: 327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t="s">
        <v>81</v>
      </c>
      <c r="B407" t="s">
        <v>82</v>
      </c>
      <c r="C407" t="s">
        <v>73</v>
      </c>
      <c r="D407" t="s">
        <v>77</v>
      </c>
      <c r="E407" t="s">
        <v>83</v>
      </c>
      <c r="F407" t="s">
        <v>75</v>
      </c>
      <c r="G407" t="s">
        <v>84</v>
      </c>
      <c r="H407" t="s">
        <v>74</v>
      </c>
    </row>
    <row r="408" spans="1:8" x14ac:dyDescent="0.3">
      <c r="A408" s="12" t="str">
        <f>B381</f>
        <v>transport, Motorbike, gasoline, 11-35kW, EURO-5, 2020</v>
      </c>
      <c r="B408" s="12">
        <v>1</v>
      </c>
      <c r="C408" s="12" t="str">
        <f>B382</f>
        <v>CH</v>
      </c>
      <c r="D408" s="12" t="s">
        <v>172</v>
      </c>
      <c r="E408" s="12"/>
      <c r="F408" s="12" t="s">
        <v>85</v>
      </c>
      <c r="G408" s="12" t="s">
        <v>86</v>
      </c>
      <c r="H408" s="12" t="str">
        <f>B387</f>
        <v>transport, Motorbike, gasoline, 11-35kW, EURO-5</v>
      </c>
    </row>
    <row r="409" spans="1:8" x14ac:dyDescent="0.3">
      <c r="A409" s="12" t="str">
        <f>RIGHT(A408,LEN(A408)-11)</f>
        <v>Motorbike, gasoline, 11-35kW, EURO-5, 2020</v>
      </c>
      <c r="B409" s="12">
        <f>1/B391</f>
        <v>1.6103059581320449E-5</v>
      </c>
      <c r="C409" s="12" t="str">
        <f>B382</f>
        <v>CH</v>
      </c>
      <c r="D409" s="12" t="s">
        <v>77</v>
      </c>
      <c r="E409" s="12"/>
      <c r="F409" s="12" t="s">
        <v>91</v>
      </c>
      <c r="G409" s="12"/>
      <c r="H409" s="12" t="str">
        <f>RIGHT(H408,LEN(H408)-11)</f>
        <v>Motorbike, gasoline, 11-35kW, EURO-5</v>
      </c>
    </row>
    <row r="410" spans="1:8" s="21" customFormat="1"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1.2830943749999999E-4</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road maintenance</v>
      </c>
      <c r="B411" s="16">
        <f>INDEX('vehicles specifications'!$B$3:$CK$86,MATCH(B386,'vehicles specifications'!$A$3:$A$86,0),MATCH(G411,'vehicles specifications'!$B$2:$CK$2,0))*INDEX('ei names mapping'!$B$137:$BK$220,MATCH(B386,'ei names mapping'!$A$137:$A$220,0),MATCH(G411,'ei names mapping'!$B$136:$BK$136,0))</f>
        <v>1.2899999999999999E-3</v>
      </c>
      <c r="C411" s="12" t="str">
        <f>INDEX('ei names mapping'!$B$38:$R$67,MATCH(B383,'ei names mapping'!$A$4:$A$33,0),MATCH(G411,'ei names mapping'!$B$3:$R$3,0))</f>
        <v>CH</v>
      </c>
      <c r="D411" s="12" t="str">
        <f>INDEX('ei names mapping'!$B$104:$BK$133,MATCH(B383,'ei names mapping'!$A$4:$A$33,0),MATCH(G411,'ei names mapping'!$B$3:$BK$3,0))</f>
        <v>meter-year</v>
      </c>
      <c r="E411" s="12"/>
      <c r="F411" s="12" t="s">
        <v>91</v>
      </c>
      <c r="G411" t="s">
        <v>117</v>
      </c>
      <c r="H411" s="12" t="str">
        <f>INDEX('ei names mapping'!$B$71:$BK$100,MATCH(B383,'ei names mapping'!$A$4:$A$33,0),MATCH(G411,'ei names mapping'!$B$3:$BK$3,0))</f>
        <v>road maintenance</v>
      </c>
    </row>
    <row r="412" spans="1:8" x14ac:dyDescent="0.3">
      <c r="A412" s="12" t="str">
        <f>INDEX('ei names mapping'!$B$4:$R$33,MATCH(B383,'ei names mapping'!$A$4:$A$33,0),MATCH(G412,'ei names mapping'!$B$3:$R$3,0))</f>
        <v>maintenance, motor scooter</v>
      </c>
      <c r="B412" s="16">
        <f>INDEX('vehicles specifications'!$B$3:$CK$86,MATCH(B386,'vehicles specifications'!$A$3:$A$86,0),MATCH(G412,'vehicles specifications'!$B$2:$CK$2,0))*INDEX('ei names mapping'!$B$137:$BK$220,MATCH(B386,'ei names mapping'!$A$137:$A$220,0),MATCH(G412,'ei names mapping'!$B$136:$BK$136,0))</f>
        <v>1.9999999999999998E-5</v>
      </c>
      <c r="C412" s="12" t="str">
        <f>INDEX('ei names mapping'!$B$38:$BK$67,MATCH(B383,'ei names mapping'!$A$4:$A$33,0),MATCH(G412,'ei names mapping'!$B$3:$BK$3,0))</f>
        <v>CH</v>
      </c>
      <c r="D412" s="12" t="str">
        <f>INDEX('ei names mapping'!$B$104:$BK$133,MATCH(B383,'ei names mapping'!$A$4:$A$33,0),MATCH(G412,'ei names mapping'!$B$3:$BK$3,0))</f>
        <v>unit</v>
      </c>
      <c r="F412" s="12" t="s">
        <v>91</v>
      </c>
      <c r="G412" s="12" t="s">
        <v>123</v>
      </c>
      <c r="H412" s="12" t="str">
        <f>INDEX('ei names mapping'!$B$71:$BK$100,MATCH(B383,'ei names mapping'!$A$4:$A$33,0),MATCH(G412,'ei names mapping'!$B$3:$BK$3,0))</f>
        <v>maintenance, motor scooter</v>
      </c>
    </row>
    <row r="413" spans="1:8" x14ac:dyDescent="0.3">
      <c r="A413" s="12" t="str">
        <f>INDEX('ei names mapping'!$B$4:$R$33,MATCH(B383,'ei names mapping'!$A$4:$A$33,0),MATCH(G413,'ei names mapping'!$B$3:$R$3,0))</f>
        <v>market for petrol, low-sulfur</v>
      </c>
      <c r="B413" s="16">
        <f>INDEX('vehicles specifications'!$B$3:$CK$86,MATCH(B386,'vehicles specifications'!$A$3:$A$86,0),MATCH(G413,'vehicles specifications'!$B$2:$CK$2,0))*INDEX('ei names mapping'!$B$137:$BK$220,MATCH(B386,'ei names mapping'!$A$137:$A$220,0),MATCH(G413,'ei names mapping'!$B$136:$BK$136,0))</f>
        <v>3.4405138877121301E-2</v>
      </c>
      <c r="C413" s="12" t="str">
        <f>INDEX('ei names mapping'!$B$38:$BK$67,MATCH(B383,'ei names mapping'!$A$4:$A$33,0),MATCH(G413,'ei names mapping'!$B$3:$BK$3,0))</f>
        <v>CH</v>
      </c>
      <c r="D413" s="12" t="str">
        <f>INDEX('ei names mapping'!$B$104:$BK$133,MATCH(B383,'ei names mapping'!$A$4:$A$33,0),MATCH(G413,'ei names mapping'!$B$3:$BK$3,0))</f>
        <v>kilogram</v>
      </c>
      <c r="F413" s="12" t="s">
        <v>91</v>
      </c>
      <c r="G413" s="12" t="s">
        <v>27</v>
      </c>
      <c r="H413" s="12" t="str">
        <f>INDEX('ei names mapping'!$B$71:$BK$100,MATCH(B383,'ei names mapping'!$A$4:$A$33,0),MATCH(G413,'ei names mapping'!$B$3:$BK$3,0))</f>
        <v>petrol, low-sulfur</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0.10940834162924575</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5.5048222203394077E-7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1.1120861815633757E-6</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2.7420758420675998E-5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1.217425302427384E-4</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8.2468446377972918E-7</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8.2468446377972918E-7</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8.9890099189194488E-6</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2.0617111594493231E-6</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s="21" customFormat="1"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8.9680532716447633E-6</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s="21" customFormat="1"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6.3236273069289983E-7</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s="21" customFormat="1"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1.2885134010983853E-7</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s="21" customFormat="1"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1.0387400341162367E-6</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s="21" customFormat="1"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4.2620058651715824E-7</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s="21" customFormat="1"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3.1915485781052317E-7</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s="21" customFormat="1"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2.2598542726956295E-7</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s="21" customFormat="1"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1.4669229489427773E-7</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s="21" customFormat="1"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1.4470996658489557E-6</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s="21" customFormat="1"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7.572494141839741E-7</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s="21" customFormat="1"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2.1805611403203451E-8</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s="21" customFormat="1"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2.1765964837015801E-6</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s="21" customFormat="1"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1.0764042719944975E-6</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s="21" customFormat="1"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4.4800619792036162E-7</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s="21" customFormat="1"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3.3699581259496236E-7</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s="21" customFormat="1"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1.4867462320365984E-7</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s="21" customFormat="1"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4.3611222806406902E-8</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s="21" customFormat="1"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1.2092202687231004E-7</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s="21" customFormat="1"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s="21" customFormat="1"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3.7664237878260496E-8</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s="21" customFormat="1"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2.0021515924759527E-7</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s="21" customFormat="1"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5.0765470515970023E-8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s="21" customFormat="1"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4.3763336651698293E-10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s="21" customFormat="1"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2.9175557767798862E-10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s="21" customFormat="1"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3.1509602389222774E-6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s="21" customFormat="1"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6.1268671312377613E-8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s="21" customFormat="1"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1.8964112549069262E-8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s="21" customFormat="1"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2.3340446214239096E-8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s="21" customFormat="1"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4.6680892428478179E-11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s="21" customFormat="1"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1.2691367628992506E-8</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s="21" customFormat="1"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1.5754801194611389E-8</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-7.3669999999999991E-6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-8.3499999999999997E-6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Motorbike, gasoline, 11-35kW, EURO-5, 2030</v>
      </c>
    </row>
    <row r="459" spans="1:8" x14ac:dyDescent="0.3">
      <c r="A459" t="s">
        <v>73</v>
      </c>
      <c r="B459" t="s">
        <v>37</v>
      </c>
    </row>
    <row r="460" spans="1:8" x14ac:dyDescent="0.3">
      <c r="A460" t="s">
        <v>87</v>
      </c>
      <c r="B460" t="s">
        <v>696</v>
      </c>
    </row>
    <row r="461" spans="1:8" x14ac:dyDescent="0.3">
      <c r="A461" t="s">
        <v>88</v>
      </c>
      <c r="B461" s="12"/>
    </row>
    <row r="462" spans="1:8" x14ac:dyDescent="0.3">
      <c r="A462" t="s">
        <v>89</v>
      </c>
      <c r="B462" s="12">
        <v>2030</v>
      </c>
    </row>
    <row r="463" spans="1:8" x14ac:dyDescent="0.3">
      <c r="A463" t="s">
        <v>131</v>
      </c>
      <c r="B463" s="12" t="str">
        <f>B460&amp;" - "&amp;B462&amp;" - "&amp;B459</f>
        <v>Motorbike, gasoline, 11-35kW, EURO-5 - 2030 - CH</v>
      </c>
    </row>
    <row r="464" spans="1:8" x14ac:dyDescent="0.3">
      <c r="A464" t="s">
        <v>74</v>
      </c>
      <c r="B464" s="12" t="str">
        <f>"transport, "&amp;B460</f>
        <v>transport, Motorbike, gasoline, 11-35kW, EURO-5</v>
      </c>
    </row>
    <row r="465" spans="1:2" x14ac:dyDescent="0.3">
      <c r="A465" t="s">
        <v>75</v>
      </c>
      <c r="B465" t="s">
        <v>76</v>
      </c>
    </row>
    <row r="466" spans="1:2" x14ac:dyDescent="0.3">
      <c r="A466" t="s">
        <v>77</v>
      </c>
      <c r="B466" t="s">
        <v>172</v>
      </c>
    </row>
    <row r="467" spans="1:2" x14ac:dyDescent="0.3">
      <c r="A467" t="s">
        <v>79</v>
      </c>
      <c r="B467" t="s">
        <v>90</v>
      </c>
    </row>
    <row r="468" spans="1:2" x14ac:dyDescent="0.3">
      <c r="A468" t="s">
        <v>132</v>
      </c>
      <c r="B468">
        <f>INDEX('vehicles specifications'!$B$3:$CK$86,MATCH(B463,'vehicles specifications'!$A$3:$A$86,0),MATCH("Lifetime [km]",'vehicles specifications'!$B$2:$CK$2,0))</f>
        <v>62100</v>
      </c>
    </row>
    <row r="469" spans="1:2" x14ac:dyDescent="0.3">
      <c r="A469" t="s">
        <v>133</v>
      </c>
      <c r="B469">
        <f>INDEX('vehicles specifications'!$B$3:$CK$86,MATCH(B463,'vehicles specifications'!$A$3:$A$86,0),MATCH("Passengers [unit]",'vehicles specifications'!$B$2:$CK$2,0))</f>
        <v>1.1000000000000001</v>
      </c>
    </row>
    <row r="470" spans="1:2" x14ac:dyDescent="0.3">
      <c r="A470" t="s">
        <v>134</v>
      </c>
      <c r="B470">
        <f>INDEX('vehicles specifications'!$B$3:$CK$86,MATCH(B463,'vehicles specifications'!$A$3:$A$86,0),MATCH("Servicing [unit]",'vehicles specifications'!$B$2:$CK$2,0))</f>
        <v>1.242</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4592</v>
      </c>
    </row>
    <row r="473" spans="1:2" x14ac:dyDescent="0.3">
      <c r="A473" t="s">
        <v>137</v>
      </c>
      <c r="B473" s="2">
        <f>INDEX('vehicles specifications'!$B$3:$CK$86,MATCH(B463,'vehicles specifications'!$A$3:$A$86,0),MATCH("Curb mass [kg]",'vehicles specifications'!$B$2:$CK$2,0))</f>
        <v>153.50749999999999</v>
      </c>
    </row>
    <row r="474" spans="1:2" x14ac:dyDescent="0.3">
      <c r="A474" t="s">
        <v>138</v>
      </c>
      <c r="B474">
        <f>INDEX('vehicles specifications'!$B$3:$CK$86,MATCH(B463,'vehicles specifications'!$A$3:$A$86,0),MATCH("Power [kW]",'vehicles specifications'!$B$2:$CK$2,0))</f>
        <v>20</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s="2">
        <f>INDEX('vehicles specifications'!$B$3:$CK$86,MATCH(B463,'vehicles specifications'!$A$3:$A$86,0),MATCH("Oxydation energy stored [kWh]",'vehicles specifications'!$B$2:$CK$2,0))</f>
        <v>132.5</v>
      </c>
    </row>
    <row r="478" spans="1:2" x14ac:dyDescent="0.3">
      <c r="A478" t="s">
        <v>145</v>
      </c>
      <c r="B478">
        <f>INDEX('vehicles specifications'!$B$3:$CK$86,MATCH(B463,'vehicles specifications'!$A$3:$A$86,0),MATCH("Fuel mass [kg]",'vehicles specifications'!$B$2:$CK$2,0))</f>
        <v>11.25</v>
      </c>
    </row>
    <row r="479" spans="1:2" x14ac:dyDescent="0.3">
      <c r="A479" t="s">
        <v>141</v>
      </c>
      <c r="B479" s="2">
        <f>INDEX('vehicles specifications'!$B$3:$CK$86,MATCH(B463,'vehicles specifications'!$A$3:$A$86,0),MATCH("Range [km]",'vehicles specifications'!$B$2:$CK$2,0))</f>
        <v>330.28892585557753</v>
      </c>
    </row>
    <row r="480" spans="1:2" x14ac:dyDescent="0.3">
      <c r="A480" t="s">
        <v>142</v>
      </c>
      <c r="B480" t="str">
        <f>INDEX('vehicles specifications'!$B$3:$CK$86,MATCH(B463,'vehicles specifications'!$A$3:$A$86,0),MATCH("Emission standard",'vehicles specifications'!$B$2:$CK$2,0))</f>
        <v>EURO-5</v>
      </c>
    </row>
    <row r="481" spans="1:8" x14ac:dyDescent="0.3">
      <c r="A481" t="s">
        <v>144</v>
      </c>
      <c r="B481" s="6">
        <f>INDEX('vehicles specifications'!$B$3:$CK$86,MATCH(B463,'vehicles specifications'!$A$3:$A$86,0),MATCH("Lightweighting rate [%]",'vehicles specifications'!$B$2:$CK$2,0))</f>
        <v>0.03</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20 kW. Lifetime: 62100 km. Annual kilometers: 4592 km. Number of passengers: 1.1. Curb mass: 153.5 kg. Lightweighting of glider: 3%. Emission standard: EURO-5. Service visits throughout lifetime: 1.2. Range: 330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Motorbike, gasoline, 11-35kW, EURO-5, 2030</v>
      </c>
      <c r="B485" s="12">
        <v>1</v>
      </c>
      <c r="C485" s="12" t="str">
        <f>B459</f>
        <v>CH</v>
      </c>
      <c r="D485" s="12" t="s">
        <v>172</v>
      </c>
      <c r="E485" s="12"/>
      <c r="F485" s="12" t="s">
        <v>85</v>
      </c>
      <c r="G485" s="12" t="s">
        <v>86</v>
      </c>
      <c r="H485" s="12" t="str">
        <f>B464</f>
        <v>transport, Motorbike, gasoline, 11-35kW, EURO-5</v>
      </c>
    </row>
    <row r="486" spans="1:8" x14ac:dyDescent="0.3">
      <c r="A486" s="12" t="str">
        <f>RIGHT(A485,LEN(A485)-11)</f>
        <v>Motorbike, gasoline, 11-35kW, EURO-5, 2030</v>
      </c>
      <c r="B486" s="12">
        <f>1/B468</f>
        <v>1.6103059581320449E-5</v>
      </c>
      <c r="C486" s="12" t="str">
        <f>B459</f>
        <v>CH</v>
      </c>
      <c r="D486" s="12" t="s">
        <v>77</v>
      </c>
      <c r="E486" s="12"/>
      <c r="F486" s="12" t="s">
        <v>91</v>
      </c>
      <c r="G486" s="12"/>
      <c r="H486" s="12" t="str">
        <f>RIGHT(H485,LEN(H485)-11)</f>
        <v>Motorbike, gasoline, 11-35kW, EURO-5</v>
      </c>
    </row>
    <row r="487" spans="1:8" s="21" customFormat="1"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1.2700452749999999E-4</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road maintenance</v>
      </c>
      <c r="B488" s="16">
        <f>INDEX('vehicles specifications'!$B$3:$CK$86,MATCH(B463,'vehicles specifications'!$A$3:$A$86,0),MATCH(G488,'vehicles specifications'!$B$2:$CK$2,0))*INDEX('ei names mapping'!$B$137:$BK$220,MATCH(B463,'ei names mapping'!$A$137:$A$220,0),MATCH(G488,'ei names mapping'!$B$136:$BK$136,0))</f>
        <v>1.2899999999999999E-3</v>
      </c>
      <c r="C488" s="12" t="str">
        <f>INDEX('ei names mapping'!$B$38:$R$67,MATCH(B460,'ei names mapping'!$A$4:$A$33,0),MATCH(G488,'ei names mapping'!$B$3:$R$3,0))</f>
        <v>CH</v>
      </c>
      <c r="D488" s="12" t="str">
        <f>INDEX('ei names mapping'!$B$104:$BK$133,MATCH(B460,'ei names mapping'!$A$4:$A$33,0),MATCH(G488,'ei names mapping'!$B$3:$BK$3,0))</f>
        <v>meter-year</v>
      </c>
      <c r="E488" s="12"/>
      <c r="F488" s="12" t="s">
        <v>91</v>
      </c>
      <c r="G488" t="s">
        <v>117</v>
      </c>
      <c r="H488" s="12" t="str">
        <f>INDEX('ei names mapping'!$B$71:$BK$100,MATCH(B460,'ei names mapping'!$A$4:$A$33,0),MATCH(G488,'ei names mapping'!$B$3:$BK$3,0))</f>
        <v>road maintenance</v>
      </c>
    </row>
    <row r="489" spans="1:8" x14ac:dyDescent="0.3">
      <c r="A489" s="12" t="str">
        <f>INDEX('ei names mapping'!$B$4:$R$33,MATCH(B460,'ei names mapping'!$A$4:$A$33,0),MATCH(G489,'ei names mapping'!$B$3:$R$3,0))</f>
        <v>maintenance, motor scooter</v>
      </c>
      <c r="B489" s="16">
        <f>INDEX('vehicles specifications'!$B$3:$CK$86,MATCH(B463,'vehicles specifications'!$A$3:$A$86,0),MATCH(G489,'vehicles specifications'!$B$2:$CK$2,0))*INDEX('ei names mapping'!$B$137:$BK$220,MATCH(B463,'ei names mapping'!$A$137:$A$220,0),MATCH(G489,'ei names mapping'!$B$136:$BK$136,0))</f>
        <v>1.9999999999999998E-5</v>
      </c>
      <c r="C489" s="12" t="str">
        <f>INDEX('ei names mapping'!$B$38:$BK$67,MATCH(B460,'ei names mapping'!$A$4:$A$33,0),MATCH(G489,'ei names mapping'!$B$3:$BK$3,0))</f>
        <v>CH</v>
      </c>
      <c r="D489" s="12" t="str">
        <f>INDEX('ei names mapping'!$B$104:$BK$133,MATCH(B460,'ei names mapping'!$A$4:$A$33,0),MATCH(G489,'ei names mapping'!$B$3:$BK$3,0))</f>
        <v>unit</v>
      </c>
      <c r="F489" s="12" t="s">
        <v>91</v>
      </c>
      <c r="G489" s="12" t="s">
        <v>123</v>
      </c>
      <c r="H489" s="12" t="str">
        <f>INDEX('ei names mapping'!$B$71:$BK$100,MATCH(B460,'ei names mapping'!$A$4:$A$33,0),MATCH(G489,'ei names mapping'!$B$3:$BK$3,0))</f>
        <v>maintenance, motor scooter</v>
      </c>
    </row>
    <row r="490" spans="1:8" x14ac:dyDescent="0.3">
      <c r="A490" s="12" t="str">
        <f>INDEX('ei names mapping'!$B$4:$R$33,MATCH(B460,'ei names mapping'!$A$4:$A$33,0),MATCH(G490,'ei names mapping'!$B$3:$R$3,0))</f>
        <v>market for petrol, low-sulfur</v>
      </c>
      <c r="B490" s="16">
        <f>INDEX('vehicles specifications'!$B$3:$CK$86,MATCH(B463,'vehicles specifications'!$A$3:$A$86,0),MATCH(G490,'vehicles specifications'!$B$2:$CK$2,0))*INDEX('ei names mapping'!$B$137:$BK$220,MATCH(B463,'ei names mapping'!$A$137:$A$220,0),MATCH(G490,'ei names mapping'!$B$136:$BK$136,0))</f>
        <v>3.4061087488350086E-2</v>
      </c>
      <c r="C490" s="12" t="str">
        <f>INDEX('ei names mapping'!$B$38:$BK$67,MATCH(B460,'ei names mapping'!$A$4:$A$33,0),MATCH(G490,'ei names mapping'!$B$3:$BK$3,0))</f>
        <v>CH</v>
      </c>
      <c r="D490" s="12" t="str">
        <f>INDEX('ei names mapping'!$B$104:$BK$133,MATCH(B460,'ei names mapping'!$A$4:$A$33,0),MATCH(G490,'ei names mapping'!$B$3:$BK$3,0))</f>
        <v>kilogram</v>
      </c>
      <c r="F490" s="12" t="s">
        <v>91</v>
      </c>
      <c r="G490" s="12" t="s">
        <v>27</v>
      </c>
      <c r="H490" s="12" t="str">
        <f>INDEX('ei names mapping'!$B$71:$BK$100,MATCH(B460,'ei names mapping'!$A$4:$A$33,0),MATCH(G490,'ei names mapping'!$B$3:$BK$3,0))</f>
        <v>petrol, low-sulfur</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0.10831425821295328</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5.4497739981360134E-7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1.1009653197477418E-6</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2.7146550836469235E-5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1.2052510494031101E-4</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8.1643761914193182E-7</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8.1643761914193182E-7</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8.8991198197302526E-6</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2.0410940478548298E-6</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s="21" customFormat="1"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8.8783727389283155E-6</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s="21" customFormat="1"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6.2603910338597077E-7</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s="21" customFormat="1"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1.2756282670874015E-7</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s="21" customFormat="1"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1.0283526337750743E-6</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s="21" customFormat="1"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4.2193858065198663E-7</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s="21" customFormat="1"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3.1596330923241792E-7</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s="21" customFormat="1"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2.2372557299686732E-7</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s="21" customFormat="1"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1.4522537194533496E-7</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s="21" customFormat="1"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1.4326286691904661E-6</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s="21" customFormat="1"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7.4967692004213441E-7</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s="21" customFormat="1"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2.1587555289171415E-8</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s="21" customFormat="1"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2.154830518864564E-6</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s="21" customFormat="1"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1.0656402292745523E-6</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s="21" customFormat="1"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4.4352613594115801E-7</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s="21" customFormat="1"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3.3362585446901273E-7</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s="21" customFormat="1"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1.4718787697162324E-7</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s="21" customFormat="1"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4.317511057834283E-8</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s="21" customFormat="1"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1.1971280660358694E-7</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s="21" customFormat="1"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s="21" customFormat="1"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3.7287595499477888E-8</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s="21" customFormat="1"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1.9821300765511932E-7</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s="21" customFormat="1"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5.0257815810810321E-8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s="21" customFormat="1"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4.3325703285181307E-10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s="21" customFormat="1"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2.8883802190120875E-10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s="21" customFormat="1"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3.1194506365330544E-6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s="21" customFormat="1"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6.0655984599253833E-8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s="21" customFormat="1"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1.877447142357857E-8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s="21" customFormat="1"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2.3107041752096703E-8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s="21" customFormat="1"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4.6214083504193395E-11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s="21" customFormat="1"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1.256445395270258E-8</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s="21" customFormat="1"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1.5597253182665274E-8</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-7.3669999999999991E-6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-8.3499999999999997E-6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Motorbike, gasoline, 11-35kW, EURO-5, 2040</v>
      </c>
    </row>
    <row r="536" spans="1:8" x14ac:dyDescent="0.3">
      <c r="A536" t="s">
        <v>73</v>
      </c>
      <c r="B536" t="s">
        <v>37</v>
      </c>
    </row>
    <row r="537" spans="1:8" x14ac:dyDescent="0.3">
      <c r="A537" t="s">
        <v>87</v>
      </c>
      <c r="B537" t="s">
        <v>696</v>
      </c>
    </row>
    <row r="538" spans="1:8" x14ac:dyDescent="0.3">
      <c r="A538" t="s">
        <v>88</v>
      </c>
      <c r="B538" s="12"/>
    </row>
    <row r="539" spans="1:8" x14ac:dyDescent="0.3">
      <c r="A539" t="s">
        <v>89</v>
      </c>
      <c r="B539" s="12">
        <v>2040</v>
      </c>
    </row>
    <row r="540" spans="1:8" x14ac:dyDescent="0.3">
      <c r="A540" t="s">
        <v>131</v>
      </c>
      <c r="B540" s="12" t="str">
        <f>B537&amp;" - "&amp;B539&amp;" - "&amp;B536</f>
        <v>Motorbike, gasoline, 11-35kW, EURO-5 - 2040 - CH</v>
      </c>
    </row>
    <row r="541" spans="1:8" x14ac:dyDescent="0.3">
      <c r="A541" t="s">
        <v>74</v>
      </c>
      <c r="B541" s="12" t="str">
        <f>"transport, "&amp;B537</f>
        <v>transport, Motorbike, gasoline, 11-35kW, EURO-5</v>
      </c>
    </row>
    <row r="542" spans="1:8" x14ac:dyDescent="0.3">
      <c r="A542" t="s">
        <v>75</v>
      </c>
      <c r="B542" t="s">
        <v>76</v>
      </c>
    </row>
    <row r="543" spans="1:8" x14ac:dyDescent="0.3">
      <c r="A543" t="s">
        <v>77</v>
      </c>
      <c r="B543" t="s">
        <v>172</v>
      </c>
    </row>
    <row r="544" spans="1:8" x14ac:dyDescent="0.3">
      <c r="A544" t="s">
        <v>79</v>
      </c>
      <c r="B544" t="s">
        <v>90</v>
      </c>
    </row>
    <row r="545" spans="1:2" x14ac:dyDescent="0.3">
      <c r="A545" t="s">
        <v>132</v>
      </c>
      <c r="B545">
        <f>INDEX('vehicles specifications'!$B$3:$CK$86,MATCH(B540,'vehicles specifications'!$A$3:$A$86,0),MATCH("Lifetime [km]",'vehicles specifications'!$B$2:$CK$2,0))</f>
        <v>62100</v>
      </c>
    </row>
    <row r="546" spans="1:2" x14ac:dyDescent="0.3">
      <c r="A546" t="s">
        <v>133</v>
      </c>
      <c r="B546">
        <f>INDEX('vehicles specifications'!$B$3:$CK$86,MATCH(B540,'vehicles specifications'!$A$3:$A$86,0),MATCH("Passengers [unit]",'vehicles specifications'!$B$2:$CK$2,0))</f>
        <v>1.1000000000000001</v>
      </c>
    </row>
    <row r="547" spans="1:2" x14ac:dyDescent="0.3">
      <c r="A547" t="s">
        <v>134</v>
      </c>
      <c r="B547">
        <f>INDEX('vehicles specifications'!$B$3:$CK$86,MATCH(B540,'vehicles specifications'!$A$3:$A$86,0),MATCH("Servicing [unit]",'vehicles specifications'!$B$2:$CK$2,0))</f>
        <v>1.242</v>
      </c>
    </row>
    <row r="548" spans="1:2" x14ac:dyDescent="0.3">
      <c r="A548" t="s">
        <v>135</v>
      </c>
      <c r="B548">
        <f>INDEX('vehicles specifications'!$B$3:$CK$86,MATCH(B540,'vehicles specifications'!$A$3:$A$86,0),MATCH("Energy battery replacement [unit]",'vehicles specifications'!$B$2:$CK$2,0))</f>
        <v>0</v>
      </c>
    </row>
    <row r="549" spans="1:2" x14ac:dyDescent="0.3">
      <c r="A549" t="s">
        <v>136</v>
      </c>
      <c r="B549">
        <f>INDEX('vehicles specifications'!$B$3:$CK$86,MATCH(B540,'vehicles specifications'!$A$3:$A$86,0),MATCH("Annual kilometers [km]",'vehicles specifications'!$B$2:$CK$2,0))</f>
        <v>4592</v>
      </c>
    </row>
    <row r="550" spans="1:2" x14ac:dyDescent="0.3">
      <c r="A550" t="s">
        <v>137</v>
      </c>
      <c r="B550" s="2">
        <f>INDEX('vehicles specifications'!$B$3:$CK$86,MATCH(B540,'vehicles specifications'!$A$3:$A$86,0),MATCH("Curb mass [kg]",'vehicles specifications'!$B$2:$CK$2,0))</f>
        <v>151.88749999999999</v>
      </c>
    </row>
    <row r="551" spans="1:2" x14ac:dyDescent="0.3">
      <c r="A551" t="s">
        <v>138</v>
      </c>
      <c r="B551">
        <f>INDEX('vehicles specifications'!$B$3:$CK$86,MATCH(B540,'vehicles specifications'!$A$3:$A$86,0),MATCH("Power [kW]",'vehicles specifications'!$B$2:$CK$2,0))</f>
        <v>20</v>
      </c>
    </row>
    <row r="552" spans="1:2" x14ac:dyDescent="0.3">
      <c r="A552" t="s">
        <v>139</v>
      </c>
      <c r="B552">
        <f>INDEX('vehicles specifications'!$B$3:$CK$86,MATCH(B540,'vehicles specifications'!$A$3:$A$86,0),MATCH("Energy battery mass [kg]",'vehicles specifications'!$B$2:$CK$2,0))</f>
        <v>0</v>
      </c>
    </row>
    <row r="553" spans="1:2" x14ac:dyDescent="0.3">
      <c r="A553" t="s">
        <v>140</v>
      </c>
      <c r="B553">
        <f>INDEX('vehicles specifications'!$B$3:$CK$86,MATCH(B540,'vehicles specifications'!$A$3:$A$86,0),MATCH("Electric energy available [kWh]",'vehicles specifications'!$B$2:$CK$2,0))</f>
        <v>0</v>
      </c>
    </row>
    <row r="554" spans="1:2" x14ac:dyDescent="0.3">
      <c r="A554" t="s">
        <v>143</v>
      </c>
      <c r="B554" s="2">
        <f>INDEX('vehicles specifications'!$B$3:$CK$86,MATCH(B540,'vehicles specifications'!$A$3:$A$86,0),MATCH("Oxydation energy stored [kWh]",'vehicles specifications'!$B$2:$CK$2,0))</f>
        <v>132.5</v>
      </c>
    </row>
    <row r="555" spans="1:2" x14ac:dyDescent="0.3">
      <c r="A555" t="s">
        <v>145</v>
      </c>
      <c r="B555">
        <f>INDEX('vehicles specifications'!$B$3:$CK$86,MATCH(B540,'vehicles specifications'!$A$3:$A$86,0),MATCH("Fuel mass [kg]",'vehicles specifications'!$B$2:$CK$2,0))</f>
        <v>11.25</v>
      </c>
    </row>
    <row r="556" spans="1:2" x14ac:dyDescent="0.3">
      <c r="A556" t="s">
        <v>141</v>
      </c>
      <c r="B556" s="2">
        <f>INDEX('vehicles specifications'!$B$3:$CK$86,MATCH(B540,'vehicles specifications'!$A$3:$A$86,0),MATCH("Range [km]",'vehicles specifications'!$B$2:$CK$2,0))</f>
        <v>333.62517763189646</v>
      </c>
    </row>
    <row r="557" spans="1:2" x14ac:dyDescent="0.3">
      <c r="A557" t="s">
        <v>142</v>
      </c>
      <c r="B557" t="str">
        <f>INDEX('vehicles specifications'!$B$3:$CK$86,MATCH(B540,'vehicles specifications'!$A$3:$A$86,0),MATCH("Emission standard",'vehicles specifications'!$B$2:$CK$2,0))</f>
        <v>EURO-5</v>
      </c>
    </row>
    <row r="558" spans="1:2" x14ac:dyDescent="0.3">
      <c r="A558" t="s">
        <v>144</v>
      </c>
      <c r="B558" s="6">
        <f>INDEX('vehicles specifications'!$B$3:$CK$86,MATCH(B540,'vehicles specifications'!$A$3:$A$86,0),MATCH("Lightweighting rate [%]",'vehicles specifications'!$B$2:$CK$2,0))</f>
        <v>0.05</v>
      </c>
    </row>
    <row r="559" spans="1:2" x14ac:dyDescent="0.3">
      <c r="A559"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20 kW. Lifetime: 62100 km. Annual kilometers: 4592 km. Number of passengers: 1.1. Curb mass: 151.9 kg. Lightweighting of glider: 5%. Emission standard: EURO-5. Service visits throughout lifetime: 1.2. Range: 334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t="s">
        <v>81</v>
      </c>
      <c r="B561" t="s">
        <v>82</v>
      </c>
      <c r="C561" t="s">
        <v>73</v>
      </c>
      <c r="D561" t="s">
        <v>77</v>
      </c>
      <c r="E561" t="s">
        <v>83</v>
      </c>
      <c r="F561" t="s">
        <v>75</v>
      </c>
      <c r="G561" t="s">
        <v>84</v>
      </c>
      <c r="H561" t="s">
        <v>74</v>
      </c>
    </row>
    <row r="562" spans="1:8" x14ac:dyDescent="0.3">
      <c r="A562" s="12" t="str">
        <f>B535</f>
        <v>transport, Motorbike, gasoline, 11-35kW, EURO-5, 2040</v>
      </c>
      <c r="B562" s="12">
        <v>1</v>
      </c>
      <c r="C562" s="12" t="str">
        <f>B536</f>
        <v>CH</v>
      </c>
      <c r="D562" s="12" t="s">
        <v>172</v>
      </c>
      <c r="E562" s="12"/>
      <c r="F562" s="12" t="s">
        <v>85</v>
      </c>
      <c r="G562" s="12" t="s">
        <v>86</v>
      </c>
      <c r="H562" s="12" t="str">
        <f>B541</f>
        <v>transport, Motorbike, gasoline, 11-35kW, EURO-5</v>
      </c>
    </row>
    <row r="563" spans="1:8" x14ac:dyDescent="0.3">
      <c r="A563" s="12" t="str">
        <f>RIGHT(A562,LEN(A562)-11)</f>
        <v>Motorbike, gasoline, 11-35kW, EURO-5, 2040</v>
      </c>
      <c r="B563" s="12">
        <f>1/B545</f>
        <v>1.6103059581320449E-5</v>
      </c>
      <c r="C563" s="12" t="str">
        <f>B536</f>
        <v>CH</v>
      </c>
      <c r="D563" s="12" t="s">
        <v>77</v>
      </c>
      <c r="E563" s="12"/>
      <c r="F563" s="12" t="s">
        <v>91</v>
      </c>
      <c r="G563" s="12"/>
      <c r="H563" s="12" t="str">
        <f>RIGHT(H562,LEN(H562)-11)</f>
        <v>Motorbike, gasoline, 11-35kW, EURO-5</v>
      </c>
    </row>
    <row r="564" spans="1:8" s="21" customFormat="1"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1.2613458750000001E-4</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road maintenance</v>
      </c>
      <c r="B565" s="16">
        <f>INDEX('vehicles specifications'!$B$3:$CK$86,MATCH(B540,'vehicles specifications'!$A$3:$A$86,0),MATCH(G565,'vehicles specifications'!$B$2:$CK$2,0))*INDEX('ei names mapping'!$B$137:$BK$220,MATCH(B540,'ei names mapping'!$A$137:$A$220,0),MATCH(G565,'ei names mapping'!$B$136:$BK$136,0))</f>
        <v>1.2899999999999999E-3</v>
      </c>
      <c r="C565" s="12" t="str">
        <f>INDEX('ei names mapping'!$B$38:$R$67,MATCH(B537,'ei names mapping'!$A$4:$A$33,0),MATCH(G565,'ei names mapping'!$B$3:$R$3,0))</f>
        <v>CH</v>
      </c>
      <c r="D565" s="12" t="str">
        <f>INDEX('ei names mapping'!$B$104:$BK$133,MATCH(B537,'ei names mapping'!$A$4:$A$33,0),MATCH(G565,'ei names mapping'!$B$3:$BK$3,0))</f>
        <v>meter-year</v>
      </c>
      <c r="E565" s="12"/>
      <c r="F565" s="12" t="s">
        <v>91</v>
      </c>
      <c r="G565" t="s">
        <v>117</v>
      </c>
      <c r="H565" s="12" t="str">
        <f>INDEX('ei names mapping'!$B$71:$BK$100,MATCH(B537,'ei names mapping'!$A$4:$A$33,0),MATCH(G565,'ei names mapping'!$B$3:$BK$3,0))</f>
        <v>road maintenance</v>
      </c>
    </row>
    <row r="566" spans="1:8" x14ac:dyDescent="0.3">
      <c r="A566" s="12" t="str">
        <f>INDEX('ei names mapping'!$B$4:$R$33,MATCH(B537,'ei names mapping'!$A$4:$A$33,0),MATCH(G566,'ei names mapping'!$B$3:$R$3,0))</f>
        <v>maintenance, motor scooter</v>
      </c>
      <c r="B566" s="16">
        <f>INDEX('vehicles specifications'!$B$3:$CK$86,MATCH(B540,'vehicles specifications'!$A$3:$A$86,0),MATCH(G566,'vehicles specifications'!$B$2:$CK$2,0))*INDEX('ei names mapping'!$B$137:$BK$220,MATCH(B540,'ei names mapping'!$A$137:$A$220,0),MATCH(G566,'ei names mapping'!$B$136:$BK$136,0))</f>
        <v>1.9999999999999998E-5</v>
      </c>
      <c r="C566" s="12" t="str">
        <f>INDEX('ei names mapping'!$B$38:$BK$67,MATCH(B537,'ei names mapping'!$A$4:$A$33,0),MATCH(G566,'ei names mapping'!$B$3:$BK$3,0))</f>
        <v>CH</v>
      </c>
      <c r="D566" s="12" t="str">
        <f>INDEX('ei names mapping'!$B$104:$BK$133,MATCH(B537,'ei names mapping'!$A$4:$A$33,0),MATCH(G566,'ei names mapping'!$B$3:$BK$3,0))</f>
        <v>unit</v>
      </c>
      <c r="F566" s="12" t="s">
        <v>91</v>
      </c>
      <c r="G566" s="12" t="s">
        <v>123</v>
      </c>
      <c r="H566" s="12" t="str">
        <f>INDEX('ei names mapping'!$B$71:$BK$100,MATCH(B537,'ei names mapping'!$A$4:$A$33,0),MATCH(G566,'ei names mapping'!$B$3:$BK$3,0))</f>
        <v>maintenance, motor scooter</v>
      </c>
    </row>
    <row r="567" spans="1:8" x14ac:dyDescent="0.3">
      <c r="A567" s="12" t="str">
        <f>INDEX('ei names mapping'!$B$4:$R$33,MATCH(B537,'ei names mapping'!$A$4:$A$33,0),MATCH(G567,'ei names mapping'!$B$3:$R$3,0))</f>
        <v>market for petrol, low-sulfur</v>
      </c>
      <c r="B567" s="16">
        <f>INDEX('vehicles specifications'!$B$3:$CK$86,MATCH(B540,'vehicles specifications'!$A$3:$A$86,0),MATCH(G567,'vehicles specifications'!$B$2:$CK$2,0))*INDEX('ei names mapping'!$B$137:$BK$220,MATCH(B540,'ei names mapping'!$A$137:$A$220,0),MATCH(G567,'ei names mapping'!$B$136:$BK$136,0))</f>
        <v>3.3720476613466589E-2</v>
      </c>
      <c r="C567" s="12" t="str">
        <f>INDEX('ei names mapping'!$B$38:$BK$67,MATCH(B537,'ei names mapping'!$A$4:$A$33,0),MATCH(G567,'ei names mapping'!$B$3:$BK$3,0))</f>
        <v>CH</v>
      </c>
      <c r="D567" s="12" t="str">
        <f>INDEX('ei names mapping'!$B$104:$BK$133,MATCH(B537,'ei names mapping'!$A$4:$A$33,0),MATCH(G567,'ei names mapping'!$B$3:$BK$3,0))</f>
        <v>kilogram</v>
      </c>
      <c r="F567" s="12" t="s">
        <v>91</v>
      </c>
      <c r="G567" s="12" t="s">
        <v>27</v>
      </c>
      <c r="H567" s="12" t="str">
        <f>INDEX('ei names mapping'!$B$71:$BK$100,MATCH(B537,'ei names mapping'!$A$4:$A$33,0),MATCH(G567,'ei names mapping'!$B$3:$BK$3,0))</f>
        <v>petrol, low-sulfur</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0.10723111563082374</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5.3952762581546533E-7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1.0899556665502644E-6</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2.6875085328104543E-5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1.1931985389090789E-4</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8.0827324295051251E-7</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8.0827324295051251E-7</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8.8101286215329498E-6</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2.0206831073762815E-6</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s="21" customFormat="1"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8.7895890115390312E-6</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s="21" customFormat="1"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6.1977871235211111E-7</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s="21" customFormat="1"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1.2628719844165272E-7</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s="21" customFormat="1"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1.0180691074373236E-6</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s="21" customFormat="1"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4.1771919484546673E-7</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s="21" customFormat="1"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3.1280367614009373E-7</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s="21" customFormat="1"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2.2148831726689864E-7</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s="21" customFormat="1"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1.4377311822588159E-7</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s="21" customFormat="1"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1.4183023824985615E-6</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s="21" customFormat="1"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7.4218015084171301E-7</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s="21" customFormat="1"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2.1371679736279698E-8</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s="21" customFormat="1"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2.1332822136759185E-6</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s="21" customFormat="1"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1.0549838269818067E-6</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s="21" customFormat="1"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4.390908745817464E-7</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s="21" customFormat="1"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3.3028959592432257E-7</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s="21" customFormat="1"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1.45715998201907E-7</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s="21" customFormat="1"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4.2743359472559396E-8</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s="21" customFormat="1"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1.1851567853755105E-7</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s="21" customFormat="1"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s="21" customFormat="1"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3.6914719544483105E-8</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s="21" customFormat="1"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1.9623087757856811E-7</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s="21" customFormat="1"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4.9755237652702212E-8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s="21" customFormat="1"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4.2892446252329494E-10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s="21" customFormat="1"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2.8594964168219666E-10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s="21" customFormat="1"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3.0882561301677236E-6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s="21" customFormat="1"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6.0049424753261291E-8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s="21" customFormat="1"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1.8586726709342784E-8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s="21" customFormat="1"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2.2875971334575738E-8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s="21" customFormat="1"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4.575194266915146E-11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s="21" customFormat="1"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1.2438809413175553E-8</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s="21" customFormat="1"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1.5441280650838619E-8</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-7.3669999999999991E-6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-8.3499999999999997E-6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Motorbike, gasoline, 11-35kW, EURO-5, 2050</v>
      </c>
    </row>
    <row r="613" spans="1:8" x14ac:dyDescent="0.3">
      <c r="A613" t="s">
        <v>73</v>
      </c>
      <c r="B613" t="s">
        <v>37</v>
      </c>
    </row>
    <row r="614" spans="1:8" x14ac:dyDescent="0.3">
      <c r="A614" t="s">
        <v>87</v>
      </c>
      <c r="B614" t="s">
        <v>696</v>
      </c>
    </row>
    <row r="615" spans="1:8" x14ac:dyDescent="0.3">
      <c r="A615" t="s">
        <v>88</v>
      </c>
      <c r="B615" s="12"/>
    </row>
    <row r="616" spans="1:8" x14ac:dyDescent="0.3">
      <c r="A616" t="s">
        <v>89</v>
      </c>
      <c r="B616" s="12">
        <v>2050</v>
      </c>
    </row>
    <row r="617" spans="1:8" x14ac:dyDescent="0.3">
      <c r="A617" t="s">
        <v>131</v>
      </c>
      <c r="B617" s="12" t="str">
        <f>B614&amp;" - "&amp;B616&amp;" - "&amp;B613</f>
        <v>Motorbike, gasoline, 11-35kW, EURO-5 - 2050 - CH</v>
      </c>
    </row>
    <row r="618" spans="1:8" x14ac:dyDescent="0.3">
      <c r="A618" t="s">
        <v>74</v>
      </c>
      <c r="B618" s="12" t="str">
        <f>"transport, "&amp;B614</f>
        <v>transport, Motorbike, gasoline, 11-35kW, EURO-5</v>
      </c>
    </row>
    <row r="619" spans="1:8" x14ac:dyDescent="0.3">
      <c r="A619" t="s">
        <v>75</v>
      </c>
      <c r="B619" t="s">
        <v>76</v>
      </c>
    </row>
    <row r="620" spans="1:8" x14ac:dyDescent="0.3">
      <c r="A620" t="s">
        <v>77</v>
      </c>
      <c r="B620" t="s">
        <v>172</v>
      </c>
    </row>
    <row r="621" spans="1:8" x14ac:dyDescent="0.3">
      <c r="A621" t="s">
        <v>79</v>
      </c>
      <c r="B621" t="s">
        <v>90</v>
      </c>
    </row>
    <row r="622" spans="1:8" x14ac:dyDescent="0.3">
      <c r="A622" t="s">
        <v>132</v>
      </c>
      <c r="B622">
        <f>INDEX('vehicles specifications'!$B$3:$CK$86,MATCH(B617,'vehicles specifications'!$A$3:$A$86,0),MATCH("Lifetime [km]",'vehicles specifications'!$B$2:$CK$2,0))</f>
        <v>62100</v>
      </c>
    </row>
    <row r="623" spans="1:8" x14ac:dyDescent="0.3">
      <c r="A623" t="s">
        <v>133</v>
      </c>
      <c r="B623">
        <f>INDEX('vehicles specifications'!$B$3:$CK$86,MATCH(B617,'vehicles specifications'!$A$3:$A$86,0),MATCH("Passengers [unit]",'vehicles specifications'!$B$2:$CK$2,0))</f>
        <v>1.1000000000000001</v>
      </c>
    </row>
    <row r="624" spans="1:8" x14ac:dyDescent="0.3">
      <c r="A624" t="s">
        <v>134</v>
      </c>
      <c r="B624">
        <f>INDEX('vehicles specifications'!$B$3:$CK$86,MATCH(B617,'vehicles specifications'!$A$3:$A$86,0),MATCH("Servicing [unit]",'vehicles specifications'!$B$2:$CK$2,0))</f>
        <v>1.242</v>
      </c>
    </row>
    <row r="625" spans="1:8" x14ac:dyDescent="0.3">
      <c r="A625" t="s">
        <v>135</v>
      </c>
      <c r="B625">
        <f>INDEX('vehicles specifications'!$B$3:$CK$86,MATCH(B617,'vehicles specifications'!$A$3:$A$86,0),MATCH("Energy battery replacement [unit]",'vehicles specifications'!$B$2:$CK$2,0))</f>
        <v>0</v>
      </c>
    </row>
    <row r="626" spans="1:8" x14ac:dyDescent="0.3">
      <c r="A626" t="s">
        <v>136</v>
      </c>
      <c r="B626">
        <f>INDEX('vehicles specifications'!$B$3:$CK$86,MATCH(B617,'vehicles specifications'!$A$3:$A$86,0),MATCH("Annual kilometers [km]",'vehicles specifications'!$B$2:$CK$2,0))</f>
        <v>4592</v>
      </c>
    </row>
    <row r="627" spans="1:8" x14ac:dyDescent="0.3">
      <c r="A627" t="s">
        <v>137</v>
      </c>
      <c r="B627" s="2">
        <f>INDEX('vehicles specifications'!$B$3:$CK$86,MATCH(B617,'vehicles specifications'!$A$3:$A$86,0),MATCH("Curb mass [kg]",'vehicles specifications'!$B$2:$CK$2,0))</f>
        <v>150.26749999999998</v>
      </c>
    </row>
    <row r="628" spans="1:8" x14ac:dyDescent="0.3">
      <c r="A628" t="s">
        <v>138</v>
      </c>
      <c r="B628">
        <f>INDEX('vehicles specifications'!$B$3:$CK$86,MATCH(B617,'vehicles specifications'!$A$3:$A$86,0),MATCH("Power [kW]",'vehicles specifications'!$B$2:$CK$2,0))</f>
        <v>20</v>
      </c>
    </row>
    <row r="629" spans="1:8" x14ac:dyDescent="0.3">
      <c r="A629" t="s">
        <v>139</v>
      </c>
      <c r="B629">
        <f>INDEX('vehicles specifications'!$B$3:$CK$86,MATCH(B617,'vehicles specifications'!$A$3:$A$86,0),MATCH("Energy battery mass [kg]",'vehicles specifications'!$B$2:$CK$2,0))</f>
        <v>0</v>
      </c>
    </row>
    <row r="630" spans="1:8" x14ac:dyDescent="0.3">
      <c r="A630" t="s">
        <v>140</v>
      </c>
      <c r="B630">
        <f>INDEX('vehicles specifications'!$B$3:$CK$86,MATCH(B617,'vehicles specifications'!$A$3:$A$86,0),MATCH("Electric energy available [kWh]",'vehicles specifications'!$B$2:$CK$2,0))</f>
        <v>0</v>
      </c>
    </row>
    <row r="631" spans="1:8" x14ac:dyDescent="0.3">
      <c r="A631" t="s">
        <v>143</v>
      </c>
      <c r="B631" s="2">
        <f>INDEX('vehicles specifications'!$B$3:$CK$86,MATCH(B617,'vehicles specifications'!$A$3:$A$86,0),MATCH("Oxydation energy stored [kWh]",'vehicles specifications'!$B$2:$CK$2,0))</f>
        <v>132.5</v>
      </c>
    </row>
    <row r="632" spans="1:8" x14ac:dyDescent="0.3">
      <c r="A632" t="s">
        <v>145</v>
      </c>
      <c r="B632">
        <f>INDEX('vehicles specifications'!$B$3:$CK$86,MATCH(B617,'vehicles specifications'!$A$3:$A$86,0),MATCH("Fuel mass [kg]",'vehicles specifications'!$B$2:$CK$2,0))</f>
        <v>11.25</v>
      </c>
    </row>
    <row r="633" spans="1:8" x14ac:dyDescent="0.3">
      <c r="A633" t="s">
        <v>141</v>
      </c>
      <c r="B633" s="2">
        <f>INDEX('vehicles specifications'!$B$3:$CK$86,MATCH(B617,'vehicles specifications'!$A$3:$A$86,0),MATCH("Range [km]",'vehicles specifications'!$B$2:$CK$2,0))</f>
        <v>336.99512892110755</v>
      </c>
    </row>
    <row r="634" spans="1:8" x14ac:dyDescent="0.3">
      <c r="A634" t="s">
        <v>142</v>
      </c>
      <c r="B634" t="str">
        <f>INDEX('vehicles specifications'!$B$3:$CK$86,MATCH(B617,'vehicles specifications'!$A$3:$A$86,0),MATCH("Emission standard",'vehicles specifications'!$B$2:$CK$2,0))</f>
        <v>EURO-5</v>
      </c>
    </row>
    <row r="635" spans="1:8" x14ac:dyDescent="0.3">
      <c r="A635" t="s">
        <v>144</v>
      </c>
      <c r="B635" s="6">
        <f>INDEX('vehicles specifications'!$B$3:$CK$86,MATCH(B617,'vehicles specifications'!$A$3:$A$86,0),MATCH("Lightweighting rate [%]",'vehicles specifications'!$B$2:$CK$2,0))</f>
        <v>7.0000000000000007E-2</v>
      </c>
    </row>
    <row r="636" spans="1:8" x14ac:dyDescent="0.3">
      <c r="A636"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20 kW. Lifetime: 62100 km. Annual kilometers: 4592 km. Number of passengers: 1.1. Curb mass: 150.3 kg. Lightweighting of glider: 7%. Emission standard: EURO-5. Service visits throughout lifetime: 1.2. Range: 337 km. Battery capacity: 0 kWh. Battery mass: 0 kg. Battery replacement throughout lifetime: 0. Fuel tank capacity: 132.5 kWh. Fuel mass: 11.3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t="s">
        <v>81</v>
      </c>
      <c r="B638" t="s">
        <v>82</v>
      </c>
      <c r="C638" t="s">
        <v>73</v>
      </c>
      <c r="D638" t="s">
        <v>77</v>
      </c>
      <c r="E638" t="s">
        <v>83</v>
      </c>
      <c r="F638" t="s">
        <v>75</v>
      </c>
      <c r="G638" t="s">
        <v>84</v>
      </c>
      <c r="H638" t="s">
        <v>74</v>
      </c>
    </row>
    <row r="639" spans="1:8" x14ac:dyDescent="0.3">
      <c r="A639" s="12" t="str">
        <f>B612</f>
        <v>transport, Motorbike, gasoline, 11-35kW, EURO-5, 2050</v>
      </c>
      <c r="B639" s="12">
        <v>1</v>
      </c>
      <c r="C639" s="12" t="str">
        <f>B613</f>
        <v>CH</v>
      </c>
      <c r="D639" s="12" t="s">
        <v>172</v>
      </c>
      <c r="E639" s="12"/>
      <c r="F639" s="12" t="s">
        <v>85</v>
      </c>
      <c r="G639" s="12" t="s">
        <v>86</v>
      </c>
      <c r="H639" s="12" t="str">
        <f>B618</f>
        <v>transport, Motorbike, gasoline, 11-35kW, EURO-5</v>
      </c>
    </row>
    <row r="640" spans="1:8" x14ac:dyDescent="0.3">
      <c r="A640" s="12" t="str">
        <f>RIGHT(A639,LEN(A639)-11)</f>
        <v>Motorbike, gasoline, 11-35kW, EURO-5, 2050</v>
      </c>
      <c r="B640" s="12">
        <f>1/B622</f>
        <v>1.6103059581320449E-5</v>
      </c>
      <c r="C640" s="12" t="str">
        <f>B613</f>
        <v>CH</v>
      </c>
      <c r="D640" s="12" t="s">
        <v>77</v>
      </c>
      <c r="E640" s="12"/>
      <c r="F640" s="12" t="s">
        <v>91</v>
      </c>
      <c r="G640" s="12"/>
      <c r="H640" s="12" t="str">
        <f>RIGHT(H639,LEN(H639)-11)</f>
        <v>Motorbike, gasoline, 11-35kW, EURO-5</v>
      </c>
    </row>
    <row r="641" spans="1:8" s="21" customFormat="1"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1.252646475E-4</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road maintenance</v>
      </c>
      <c r="B642" s="16">
        <f>INDEX('vehicles specifications'!$B$3:$CK$86,MATCH(B617,'vehicles specifications'!$A$3:$A$86,0),MATCH(G642,'vehicles specifications'!$B$2:$CK$2,0))*INDEX('ei names mapping'!$B$137:$BK$220,MATCH(B617,'ei names mapping'!$A$137:$A$220,0),MATCH(G642,'ei names mapping'!$B$136:$BK$136,0))</f>
        <v>1.2899999999999999E-3</v>
      </c>
      <c r="C642" s="12" t="str">
        <f>INDEX('ei names mapping'!$B$38:$R$67,MATCH(B614,'ei names mapping'!$A$4:$A$33,0),MATCH(G642,'ei names mapping'!$B$3:$R$3,0))</f>
        <v>CH</v>
      </c>
      <c r="D642" s="12" t="str">
        <f>INDEX('ei names mapping'!$B$104:$BK$133,MATCH(B614,'ei names mapping'!$A$4:$A$33,0),MATCH(G642,'ei names mapping'!$B$3:$BK$3,0))</f>
        <v>meter-year</v>
      </c>
      <c r="E642" s="12"/>
      <c r="F642" s="12" t="s">
        <v>91</v>
      </c>
      <c r="G642" t="s">
        <v>117</v>
      </c>
      <c r="H642" s="12" t="str">
        <f>INDEX('ei names mapping'!$B$71:$BK$100,MATCH(B614,'ei names mapping'!$A$4:$A$33,0),MATCH(G642,'ei names mapping'!$B$3:$BK$3,0))</f>
        <v>road maintenance</v>
      </c>
    </row>
    <row r="643" spans="1:8" x14ac:dyDescent="0.3">
      <c r="A643" s="12" t="str">
        <f>INDEX('ei names mapping'!$B$4:$R$33,MATCH(B614,'ei names mapping'!$A$4:$A$33,0),MATCH(G643,'ei names mapping'!$B$3:$R$3,0))</f>
        <v>maintenance, motor scooter</v>
      </c>
      <c r="B643" s="16">
        <f>INDEX('vehicles specifications'!$B$3:$CK$86,MATCH(B617,'vehicles specifications'!$A$3:$A$86,0),MATCH(G643,'vehicles specifications'!$B$2:$CK$2,0))*INDEX('ei names mapping'!$B$137:$BK$220,MATCH(B617,'ei names mapping'!$A$137:$A$220,0),MATCH(G643,'ei names mapping'!$B$136:$BK$136,0))</f>
        <v>1.9999999999999998E-5</v>
      </c>
      <c r="C643" s="12" t="str">
        <f>INDEX('ei names mapping'!$B$38:$BK$67,MATCH(B614,'ei names mapping'!$A$4:$A$33,0),MATCH(G643,'ei names mapping'!$B$3:$BK$3,0))</f>
        <v>CH</v>
      </c>
      <c r="D643" s="12" t="str">
        <f>INDEX('ei names mapping'!$B$104:$BK$133,MATCH(B614,'ei names mapping'!$A$4:$A$33,0),MATCH(G643,'ei names mapping'!$B$3:$BK$3,0))</f>
        <v>unit</v>
      </c>
      <c r="F643" s="12" t="s">
        <v>91</v>
      </c>
      <c r="G643" s="12" t="s">
        <v>123</v>
      </c>
      <c r="H643" s="12" t="str">
        <f>INDEX('ei names mapping'!$B$71:$BK$100,MATCH(B614,'ei names mapping'!$A$4:$A$33,0),MATCH(G643,'ei names mapping'!$B$3:$BK$3,0))</f>
        <v>maintenance, motor scooter</v>
      </c>
    </row>
    <row r="644" spans="1:8" x14ac:dyDescent="0.3">
      <c r="A644" s="12" t="str">
        <f>INDEX('ei names mapping'!$B$4:$R$33,MATCH(B614,'ei names mapping'!$A$4:$A$33,0),MATCH(G644,'ei names mapping'!$B$3:$R$3,0))</f>
        <v>market for petrol, low-sulfur</v>
      </c>
      <c r="B644" s="16">
        <f>INDEX('vehicles specifications'!$B$3:$CK$86,MATCH(B617,'vehicles specifications'!$A$3:$A$86,0),MATCH(G644,'vehicles specifications'!$B$2:$CK$2,0))*INDEX('ei names mapping'!$B$137:$BK$220,MATCH(B617,'ei names mapping'!$A$137:$A$220,0),MATCH(G644,'ei names mapping'!$B$136:$BK$136,0))</f>
        <v>3.3383271847331919E-2</v>
      </c>
      <c r="C644" s="12" t="str">
        <f>INDEX('ei names mapping'!$B$38:$BK$67,MATCH(B614,'ei names mapping'!$A$4:$A$33,0),MATCH(G644,'ei names mapping'!$B$3:$BK$3,0))</f>
        <v>CH</v>
      </c>
      <c r="D644" s="12" t="str">
        <f>INDEX('ei names mapping'!$B$104:$BK$133,MATCH(B614,'ei names mapping'!$A$4:$A$33,0),MATCH(G644,'ei names mapping'!$B$3:$BK$3,0))</f>
        <v>kilogram</v>
      </c>
      <c r="F644" s="12" t="s">
        <v>91</v>
      </c>
      <c r="G644" s="12" t="s">
        <v>27</v>
      </c>
      <c r="H644" s="12" t="str">
        <f>INDEX('ei names mapping'!$B$71:$BK$100,MATCH(B614,'ei names mapping'!$A$4:$A$33,0),MATCH(G644,'ei names mapping'!$B$3:$BK$3,0))</f>
        <v>petrol, low-sulfur</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0.10615880447451551</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5.3413234955731065E-7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1.0790561098847618E-6</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2.6606334474823498E-5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1.1812665535199882E-4</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8.0019051052100739E-7</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8.0019051052100739E-7</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8.7220273353176207E-6</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2.0004762763025187E-6</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s="21" customFormat="1"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8.7016931214236427E-6</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s="21" customFormat="1"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6.1358092522859004E-7</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s="21" customFormat="1"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1.2502432645723621E-7</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s="21" customFormat="1"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1.0078884163629505E-6</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s="21" customFormat="1"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4.1354200289701212E-7</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s="21" customFormat="1"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3.0967563937869277E-7</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s="21" customFormat="1"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2.1927343409422966E-7</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s="21" customFormat="1"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1.4233538704362279E-7</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s="21" customFormat="1"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1.404119358673576E-6</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s="21" customFormat="1"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7.3475834933329586E-7</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s="21" customFormat="1"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2.1157962938916902E-8</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s="21" customFormat="1"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2.1119493915391591E-6</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s="21" customFormat="1"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1.0444339887119887E-6</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s="21" customFormat="1"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4.3469996583592895E-7</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s="21" customFormat="1"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3.2698669996507936E-7</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s="21" customFormat="1"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1.4425883821988794E-7</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s="21" customFormat="1"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4.2315925877833804E-8</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s="21" customFormat="1"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1.1733052175217554E-7</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s="21" customFormat="1"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s="21" customFormat="1"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3.654557234903828E-8</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s="21" customFormat="1"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1.9426856880278244E-7</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s="21" customFormat="1"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4.9257685276175197E-8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s="21" customFormat="1"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4.24635217898062E-10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s="21" customFormat="1"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2.8309014526537472E-10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s="21" customFormat="1"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3.0573735688660467E-6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s="21" customFormat="1"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5.944893050572868E-8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s="21" customFormat="1"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1.8400859442249354E-8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s="21" customFormat="1"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2.264721162122998E-8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s="21" customFormat="1"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4.529442324245995E-11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s="21" customFormat="1"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1.2314421319043799E-8</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s="21" customFormat="1"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1.5286867844330234E-8</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-7.3669999999999991E-6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-8.3499999999999997E-6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workbookViewId="0">
      <selection activeCell="A256" sqref="A256:IV256"/>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Motorbike, gasoline, &gt;35kW, EURO-3, 2006</v>
      </c>
    </row>
    <row r="2" spans="1:2" x14ac:dyDescent="0.3">
      <c r="A2" t="s">
        <v>73</v>
      </c>
      <c r="B2" t="s">
        <v>37</v>
      </c>
    </row>
    <row r="3" spans="1:2" x14ac:dyDescent="0.3">
      <c r="A3" t="s">
        <v>87</v>
      </c>
      <c r="B3" t="s">
        <v>703</v>
      </c>
    </row>
    <row r="4" spans="1:2" x14ac:dyDescent="0.3">
      <c r="A4" t="s">
        <v>88</v>
      </c>
      <c r="B4" s="12"/>
    </row>
    <row r="5" spans="1:2" x14ac:dyDescent="0.3">
      <c r="A5" t="s">
        <v>89</v>
      </c>
      <c r="B5" s="12">
        <v>2006</v>
      </c>
    </row>
    <row r="6" spans="1:2" x14ac:dyDescent="0.3">
      <c r="A6" t="s">
        <v>131</v>
      </c>
      <c r="B6" s="12" t="str">
        <f>B3&amp;" - "&amp;B5&amp;" - "&amp;B2</f>
        <v>Motorbike, gasoline, &gt;35kW, EURO-3 - 2006 - CH</v>
      </c>
    </row>
    <row r="7" spans="1:2" x14ac:dyDescent="0.3">
      <c r="A7" t="s">
        <v>74</v>
      </c>
      <c r="B7" t="str">
        <f>B3</f>
        <v>Motorbike, gasoline, &gt;35kW, EURO-3</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62100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1.242</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4592</v>
      </c>
    </row>
    <row r="16" spans="1:2" x14ac:dyDescent="0.3">
      <c r="A16" t="s">
        <v>137</v>
      </c>
      <c r="B16" s="2">
        <f>INDEX('vehicles specifications'!$B$3:$CK$86,MATCH(B6,'vehicles specifications'!$A$3:$A$86,0),MATCH("Curb mass [kg]",'vehicles specifications'!$B$2:$CK$2,0))</f>
        <v>262.07499999999999</v>
      </c>
    </row>
    <row r="17" spans="1:8" x14ac:dyDescent="0.3">
      <c r="A17" t="s">
        <v>138</v>
      </c>
      <c r="B17">
        <f>INDEX('vehicles specifications'!$B$3:$CK$86,MATCH(B6,'vehicles specifications'!$A$3:$A$86,0),MATCH("Power [kW]",'vehicles specifications'!$B$2:$CK$2,0))</f>
        <v>91</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s="2">
        <f>INDEX('vehicles specifications'!$B$3:$CK$86,MATCH(B6,'vehicles specifications'!$A$3:$A$86,0),MATCH("Oxydation energy stored [kWh]",'vehicles specifications'!$B$2:$CK$2,0))</f>
        <v>159</v>
      </c>
    </row>
    <row r="21" spans="1:8" x14ac:dyDescent="0.3">
      <c r="A21" t="s">
        <v>145</v>
      </c>
      <c r="B21">
        <f>INDEX('vehicles specifications'!$B$3:$CK$86,MATCH(B6,'vehicles specifications'!$A$3:$A$86,0),MATCH("Fuel mass [kg]",'vehicles specifications'!$B$2:$CK$2,0))</f>
        <v>13.5</v>
      </c>
    </row>
    <row r="22" spans="1:8" x14ac:dyDescent="0.3">
      <c r="A22" t="s">
        <v>141</v>
      </c>
      <c r="B22" s="2">
        <f>INDEX('vehicles specifications'!$B$3:$CK$86,MATCH(B6,'vehicles specifications'!$A$3:$A$86,0),MATCH("Range [km]",'vehicles specifications'!$B$2:$CK$2,0))</f>
        <v>290.05213654144586</v>
      </c>
    </row>
    <row r="23" spans="1:8" x14ac:dyDescent="0.3">
      <c r="A23" t="s">
        <v>142</v>
      </c>
      <c r="B23" t="str">
        <f>INDEX('vehicles specifications'!$B$3:$CK$86,MATCH(B6,'vehicles specifications'!$A$3:$A$86,0),MATCH("Emission standard",'vehicles specifications'!$B$2:$CK$2,0))</f>
        <v>EURO-3</v>
      </c>
    </row>
    <row r="24" spans="1:8" x14ac:dyDescent="0.3">
      <c r="A24" t="s">
        <v>144</v>
      </c>
      <c r="B24" s="6">
        <f>INDEX('vehicles specifications'!$B$3:$CK$86,MATCH(B6,'vehicles specifications'!$A$3:$A$86,0),MATCH("Lightweighting rate [%]",'vehicles specifications'!$B$2:$CK$2,0))</f>
        <v>-0.05</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91 kW. Lifetime: 62100 km. Annual kilometers: 4592 km. Number of passengers: 1.1. Curb mass: 262.1 kg. Lightweighting of glider: -5%. Emission standard: EURO-3. Service visits throughout lifetime: 1.2. Range: 290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Motorbike, gasoline, &gt;35kW, EURO-3, 2006</v>
      </c>
      <c r="B31" s="12">
        <v>1</v>
      </c>
      <c r="C31" s="12" t="str">
        <f>B2</f>
        <v>CH</v>
      </c>
      <c r="D31" s="12" t="str">
        <f>B9</f>
        <v>unit</v>
      </c>
      <c r="E31" s="12"/>
      <c r="F31" s="12" t="s">
        <v>85</v>
      </c>
      <c r="G31" s="12" t="s">
        <v>86</v>
      </c>
      <c r="H31" s="12" t="str">
        <f>B3</f>
        <v>Motorbike, gasoline, &gt;35kW,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1.2333333333333334</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1.4444444444444444</v>
      </c>
      <c r="C33" s="12" t="str">
        <f>INDEX('ei names mapping'!$B$38:$R$67,MATCH(B3,'ei names mapping'!$A$4:$A$33,0),MATCH(G33,'ei names mapping'!$B$3:$R$3,0))</f>
        <v>RER</v>
      </c>
      <c r="D33" s="12" t="str">
        <f>INDEX('ei names mapping'!$B$104:$R$133,MATCH(B3,'ei names mapping'!$A$104:$A$133,0),MATCH(G33,'ei names mapping'!$B$3:$R$3,0))</f>
        <v>unit</v>
      </c>
      <c r="E33" s="12"/>
      <c r="F33" s="12" t="s">
        <v>91</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2.0249999999999999</v>
      </c>
      <c r="C34" s="12" t="str">
        <f>INDEX('ei names mapping'!$B$38:$R$67,MATCH(B3,'ei names mapping'!$A$4:$A$33,0),MATCH(G34,'ei names mapping'!$B$3:$R$3,0))</f>
        <v>RER</v>
      </c>
      <c r="D34" s="12" t="str">
        <f>INDEX('ei names mapping'!$B$104:$R$133,MATCH(B3,'ei names mapping'!$A$104:$A$133,0),MATCH(G34,'ei names mapping'!$B$3:$R$3,0))</f>
        <v>kilogram</v>
      </c>
      <c r="E34" s="12"/>
      <c r="F34" s="12" t="s">
        <v>91</v>
      </c>
      <c r="G34" t="s">
        <v>24</v>
      </c>
      <c r="H34" s="12" t="str">
        <f>INDEX('ei names mapping'!$B$71:$R$100,MATCH(B3,'ei names mapping'!$A$4:$A$33,0),MATCH(G34,'ei names mapping'!$B$3:$R$3,0))</f>
        <v>polyethylene, high density, granulate</v>
      </c>
    </row>
    <row r="35" spans="1:8" s="21" customFormat="1" x14ac:dyDescent="0.3">
      <c r="A35" s="22" t="s">
        <v>468</v>
      </c>
      <c r="B35" s="21">
        <f>(B16/1000)*B27</f>
        <v>262.07499999999999</v>
      </c>
      <c r="C35" s="21" t="s">
        <v>94</v>
      </c>
      <c r="D35" s="21" t="s">
        <v>243</v>
      </c>
      <c r="F35" s="21" t="s">
        <v>91</v>
      </c>
      <c r="H35" s="22" t="s">
        <v>469</v>
      </c>
    </row>
    <row r="36" spans="1:8" s="21" customFormat="1" x14ac:dyDescent="0.3">
      <c r="A36" s="22" t="s">
        <v>467</v>
      </c>
      <c r="B36" s="2">
        <f>(B16/1000)*B26</f>
        <v>4166.9925000000003</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Motorbike, gasoline, &gt;35kW, EURO-4, 2016</v>
      </c>
    </row>
    <row r="39" spans="1:8" x14ac:dyDescent="0.3">
      <c r="A39" t="s">
        <v>73</v>
      </c>
      <c r="B39" t="s">
        <v>37</v>
      </c>
    </row>
    <row r="40" spans="1:8" x14ac:dyDescent="0.3">
      <c r="A40" t="s">
        <v>87</v>
      </c>
      <c r="B40" t="s">
        <v>704</v>
      </c>
    </row>
    <row r="41" spans="1:8" x14ac:dyDescent="0.3">
      <c r="A41" t="s">
        <v>88</v>
      </c>
      <c r="B41" s="12"/>
    </row>
    <row r="42" spans="1:8" x14ac:dyDescent="0.3">
      <c r="A42" t="s">
        <v>89</v>
      </c>
      <c r="B42" s="12">
        <v>2016</v>
      </c>
    </row>
    <row r="43" spans="1:8" x14ac:dyDescent="0.3">
      <c r="A43" t="s">
        <v>131</v>
      </c>
      <c r="B43" s="12" t="str">
        <f>B40&amp;" - "&amp;B42&amp;" - "&amp;B39</f>
        <v>Motorbike, gasoline, &gt;35kW, EURO-4 - 2016 - CH</v>
      </c>
    </row>
    <row r="44" spans="1:8" x14ac:dyDescent="0.3">
      <c r="A44" t="s">
        <v>74</v>
      </c>
      <c r="B44" t="str">
        <f>B40</f>
        <v>Motorbike, gasoline, &gt;35kW, EURO-4</v>
      </c>
    </row>
    <row r="45" spans="1:8" x14ac:dyDescent="0.3">
      <c r="A45" t="s">
        <v>75</v>
      </c>
      <c r="B45" t="s">
        <v>76</v>
      </c>
    </row>
    <row r="46" spans="1:8" x14ac:dyDescent="0.3">
      <c r="A46" t="s">
        <v>77</v>
      </c>
      <c r="B46" t="s">
        <v>77</v>
      </c>
    </row>
    <row r="47" spans="1:8" x14ac:dyDescent="0.3">
      <c r="A47" t="s">
        <v>79</v>
      </c>
      <c r="B47" t="s">
        <v>90</v>
      </c>
    </row>
    <row r="48" spans="1:8" x14ac:dyDescent="0.3">
      <c r="A48" t="s">
        <v>132</v>
      </c>
      <c r="B48">
        <f>INDEX('vehicles specifications'!$B$3:$CK$86,MATCH(B43,'vehicles specifications'!$A$3:$A$86,0),MATCH("Lifetime [km]",'vehicles specifications'!$B$2:$CK$2,0))</f>
        <v>62100</v>
      </c>
    </row>
    <row r="49" spans="1:2" x14ac:dyDescent="0.3">
      <c r="A49" t="s">
        <v>133</v>
      </c>
      <c r="B49">
        <f>INDEX('vehicles specifications'!$B$3:$CK$86,MATCH(B43,'vehicles specifications'!$A$3:$A$86,0),MATCH("Passengers [unit]",'vehicles specifications'!$B$2:$CK$2,0))</f>
        <v>1.1000000000000001</v>
      </c>
    </row>
    <row r="50" spans="1:2" x14ac:dyDescent="0.3">
      <c r="A50" t="s">
        <v>134</v>
      </c>
      <c r="B50">
        <f>INDEX('vehicles specifications'!$B$3:$CK$86,MATCH(B43,'vehicles specifications'!$A$3:$A$86,0),MATCH("Servicing [unit]",'vehicles specifications'!$B$2:$CK$2,0))</f>
        <v>1.242</v>
      </c>
    </row>
    <row r="51" spans="1:2" x14ac:dyDescent="0.3">
      <c r="A51" t="s">
        <v>135</v>
      </c>
      <c r="B51">
        <f>INDEX('vehicles specifications'!$B$3:$CK$86,MATCH(B43,'vehicles specifications'!$A$3:$A$86,0),MATCH("Energy battery replacement [unit]",'vehicles specifications'!$B$2:$CK$2,0))</f>
        <v>0</v>
      </c>
    </row>
    <row r="52" spans="1:2" x14ac:dyDescent="0.3">
      <c r="A52" t="s">
        <v>136</v>
      </c>
      <c r="B52">
        <f>INDEX('vehicles specifications'!$B$3:$CK$86,MATCH(B43,'vehicles specifications'!$A$3:$A$86,0),MATCH("Annual kilometers [km]",'vehicles specifications'!$B$2:$CK$2,0))</f>
        <v>4592</v>
      </c>
    </row>
    <row r="53" spans="1:2" x14ac:dyDescent="0.3">
      <c r="A53" t="s">
        <v>137</v>
      </c>
      <c r="B53" s="2">
        <f>INDEX('vehicles specifications'!$B$3:$CK$86,MATCH(B43,'vehicles specifications'!$A$3:$A$86,0),MATCH("Curb mass [kg]",'vehicles specifications'!$B$2:$CK$2,0))</f>
        <v>258.745</v>
      </c>
    </row>
    <row r="54" spans="1:2" x14ac:dyDescent="0.3">
      <c r="A54" t="s">
        <v>138</v>
      </c>
      <c r="B54">
        <f>INDEX('vehicles specifications'!$B$3:$CK$86,MATCH(B43,'vehicles specifications'!$A$3:$A$86,0),MATCH("Power [kW]",'vehicles specifications'!$B$2:$CK$2,0))</f>
        <v>91</v>
      </c>
    </row>
    <row r="55" spans="1:2" x14ac:dyDescent="0.3">
      <c r="A55" t="s">
        <v>139</v>
      </c>
      <c r="B55">
        <f>INDEX('vehicles specifications'!$B$3:$CK$86,MATCH(B43,'vehicles specifications'!$A$3:$A$86,0),MATCH("Energy battery mass [kg]",'vehicles specifications'!$B$2:$CK$2,0))</f>
        <v>0</v>
      </c>
    </row>
    <row r="56" spans="1:2" x14ac:dyDescent="0.3">
      <c r="A56" t="s">
        <v>140</v>
      </c>
      <c r="B56">
        <f>INDEX('vehicles specifications'!$B$3:$CK$86,MATCH(B43,'vehicles specifications'!$A$3:$A$86,0),MATCH("Electric energy available [kWh]",'vehicles specifications'!$B$2:$CK$2,0))</f>
        <v>0</v>
      </c>
    </row>
    <row r="57" spans="1:2" x14ac:dyDescent="0.3">
      <c r="A57" t="s">
        <v>143</v>
      </c>
      <c r="B57" s="2">
        <f>INDEX('vehicles specifications'!$B$3:$CK$86,MATCH(B43,'vehicles specifications'!$A$3:$A$86,0),MATCH("Oxydation energy stored [kWh]",'vehicles specifications'!$B$2:$CK$2,0))</f>
        <v>159</v>
      </c>
    </row>
    <row r="58" spans="1:2" x14ac:dyDescent="0.3">
      <c r="A58" t="s">
        <v>145</v>
      </c>
      <c r="B58">
        <f>INDEX('vehicles specifications'!$B$3:$CK$86,MATCH(B43,'vehicles specifications'!$A$3:$A$86,0),MATCH("Fuel mass [kg]",'vehicles specifications'!$B$2:$CK$2,0))</f>
        <v>13.5</v>
      </c>
    </row>
    <row r="59" spans="1:2" x14ac:dyDescent="0.3">
      <c r="A59" t="s">
        <v>141</v>
      </c>
      <c r="B59" s="2">
        <f>INDEX('vehicles specifications'!$B$3:$CK$86,MATCH(B43,'vehicles specifications'!$A$3:$A$86,0),MATCH("Range [km]",'vehicles specifications'!$B$2:$CK$2,0))</f>
        <v>292.95265790686028</v>
      </c>
    </row>
    <row r="60" spans="1:2" x14ac:dyDescent="0.3">
      <c r="A60" t="s">
        <v>142</v>
      </c>
      <c r="B60" t="str">
        <f>INDEX('vehicles specifications'!$B$3:$CK$86,MATCH(B43,'vehicles specifications'!$A$3:$A$86,0),MATCH("Emission standard",'vehicles specifications'!$B$2:$CK$2,0))</f>
        <v>EURO-4</v>
      </c>
    </row>
    <row r="61" spans="1:2" x14ac:dyDescent="0.3">
      <c r="A61" t="s">
        <v>144</v>
      </c>
      <c r="B61" s="6">
        <f>INDEX('vehicles specifications'!$B$3:$CK$86,MATCH(B43,'vehicles specifications'!$A$3:$A$86,0),MATCH("Lightweighting rate [%]",'vehicles specifications'!$B$2:$CK$2,0))</f>
        <v>-0.02</v>
      </c>
    </row>
    <row r="62" spans="1:2" s="21" customFormat="1" x14ac:dyDescent="0.3">
      <c r="A62" s="21" t="s">
        <v>513</v>
      </c>
      <c r="B62" s="6" t="s">
        <v>514</v>
      </c>
    </row>
    <row r="63" spans="1:2" s="21" customFormat="1" x14ac:dyDescent="0.3">
      <c r="A63" s="21" t="s">
        <v>515</v>
      </c>
      <c r="B63" s="2">
        <v>15900</v>
      </c>
    </row>
    <row r="64" spans="1:2" s="21" customFormat="1" x14ac:dyDescent="0.3">
      <c r="A64" s="21" t="s">
        <v>516</v>
      </c>
      <c r="B64" s="2">
        <v>1000</v>
      </c>
    </row>
    <row r="65" spans="1:8" s="21" customFormat="1"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91 kW. Lifetime: 62100 km. Annual kilometers: 4592 km. Number of passengers: 1.1. Curb mass: 258.7 kg. Lightweighting of glider: -2%. Emission standard: EURO-4. Service visits throughout lifetime: 1.2. Range: 293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t="s">
        <v>81</v>
      </c>
      <c r="B67" t="s">
        <v>82</v>
      </c>
      <c r="C67" t="s">
        <v>73</v>
      </c>
      <c r="D67" t="s">
        <v>77</v>
      </c>
      <c r="E67" t="s">
        <v>83</v>
      </c>
      <c r="F67" t="s">
        <v>75</v>
      </c>
      <c r="G67" t="s">
        <v>84</v>
      </c>
      <c r="H67" t="s">
        <v>74</v>
      </c>
    </row>
    <row r="68" spans="1:8" x14ac:dyDescent="0.3">
      <c r="A68" s="12" t="str">
        <f>B38</f>
        <v>Motorbike, gasoline, &gt;35kW, EURO-4, 2016</v>
      </c>
      <c r="B68" s="12">
        <v>1</v>
      </c>
      <c r="C68" s="12" t="str">
        <f>B39</f>
        <v>CH</v>
      </c>
      <c r="D68" s="12" t="str">
        <f>B46</f>
        <v>unit</v>
      </c>
      <c r="E68" s="12"/>
      <c r="F68" s="12" t="s">
        <v>85</v>
      </c>
      <c r="G68" s="12" t="s">
        <v>86</v>
      </c>
      <c r="H68" s="12" t="str">
        <f>B40</f>
        <v>Motorbike, gasoline, &gt;35kW,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1.2333333333333334</v>
      </c>
      <c r="C69" s="12" t="str">
        <f>INDEX('ei names mapping'!$B$38:$R$67,MATCH(B40,'ei names mapping'!$A$4:$A$33,0),MATCH(G69,'ei names mapping'!$B$3:$R$3,0))</f>
        <v>RER</v>
      </c>
      <c r="D69" s="12" t="str">
        <f>INDEX('ei names mapping'!$B$104:$R$133,MATCH(B40,'ei names mapping'!$A$104:$A$133,0),MATCH(G69,'ei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1.4444444444444444</v>
      </c>
      <c r="C70" s="12" t="str">
        <f>INDEX('ei names mapping'!$B$38:$R$67,MATCH(B40,'ei names mapping'!$A$4:$A$33,0),MATCH(G70,'ei names mapping'!$B$3:$R$3,0))</f>
        <v>RER</v>
      </c>
      <c r="D70" s="12" t="str">
        <f>INDEX('ei names mapping'!$B$104:$R$133,MATCH(B40,'ei names mapping'!$A$104:$A$133,0),MATCH(G70,'ei names mapping'!$B$3:$R$3,0))</f>
        <v>unit</v>
      </c>
      <c r="E70" s="12"/>
      <c r="F70" s="12" t="s">
        <v>91</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2.0249999999999999</v>
      </c>
      <c r="C71" s="12" t="str">
        <f>INDEX('ei names mapping'!$B$38:$R$67,MATCH(B40,'ei names mapping'!$A$4:$A$33,0),MATCH(G71,'ei names mapping'!$B$3:$R$3,0))</f>
        <v>RER</v>
      </c>
      <c r="D71" s="12" t="str">
        <f>INDEX('ei names mapping'!$B$104:$R$133,MATCH(B40,'ei names mapping'!$A$104:$A$133,0),MATCH(G71,'ei names mapping'!$B$3:$R$3,0))</f>
        <v>kilogram</v>
      </c>
      <c r="E71" s="12"/>
      <c r="F71" s="12" t="s">
        <v>91</v>
      </c>
      <c r="G71" t="s">
        <v>24</v>
      </c>
      <c r="H71" s="12" t="str">
        <f>INDEX('ei names mapping'!$B$71:$R$100,MATCH(B40,'ei names mapping'!$A$4:$A$33,0),MATCH(G71,'ei names mapping'!$B$3:$R$3,0))</f>
        <v>polyethylene, high density, granulate</v>
      </c>
    </row>
    <row r="72" spans="1:8" s="21" customFormat="1" x14ac:dyDescent="0.3">
      <c r="A72" s="22" t="s">
        <v>468</v>
      </c>
      <c r="B72" s="21">
        <f>(B53/1000)*B64</f>
        <v>258.745</v>
      </c>
      <c r="C72" s="21" t="s">
        <v>94</v>
      </c>
      <c r="D72" s="21" t="s">
        <v>243</v>
      </c>
      <c r="F72" s="21" t="s">
        <v>91</v>
      </c>
      <c r="H72" s="22" t="s">
        <v>469</v>
      </c>
    </row>
    <row r="73" spans="1:8" s="21" customFormat="1" x14ac:dyDescent="0.3">
      <c r="A73" s="22" t="s">
        <v>467</v>
      </c>
      <c r="B73" s="2">
        <f>(B53/1000)*B63</f>
        <v>4114.0455000000002</v>
      </c>
      <c r="C73" s="21" t="s">
        <v>98</v>
      </c>
      <c r="D73" s="21" t="s">
        <v>243</v>
      </c>
      <c r="F73" s="21" t="s">
        <v>91</v>
      </c>
      <c r="H73" s="22" t="s">
        <v>467</v>
      </c>
    </row>
    <row r="75" spans="1:8" ht="15.6" x14ac:dyDescent="0.3">
      <c r="A75" s="11" t="s">
        <v>72</v>
      </c>
      <c r="B75" s="9" t="str">
        <f>B77&amp;", "&amp;B79</f>
        <v>Motorbike, gasoline, &gt;35kW, EURO-5, 2020</v>
      </c>
    </row>
    <row r="76" spans="1:8" x14ac:dyDescent="0.3">
      <c r="A76" t="s">
        <v>73</v>
      </c>
      <c r="B76" t="s">
        <v>37</v>
      </c>
    </row>
    <row r="77" spans="1:8" x14ac:dyDescent="0.3">
      <c r="A77" t="s">
        <v>87</v>
      </c>
      <c r="B77" t="s">
        <v>705</v>
      </c>
    </row>
    <row r="78" spans="1:8" x14ac:dyDescent="0.3">
      <c r="A78" t="s">
        <v>88</v>
      </c>
      <c r="B78" s="12"/>
    </row>
    <row r="79" spans="1:8" x14ac:dyDescent="0.3">
      <c r="A79" t="s">
        <v>89</v>
      </c>
      <c r="B79" s="12">
        <v>2020</v>
      </c>
    </row>
    <row r="80" spans="1:8" x14ac:dyDescent="0.3">
      <c r="A80" t="s">
        <v>131</v>
      </c>
      <c r="B80" s="12" t="str">
        <f>B77&amp;" - "&amp;B79&amp;" - "&amp;B76</f>
        <v>Motorbike, gasoline, &gt;35kW, EURO-5 - 2020 - CH</v>
      </c>
    </row>
    <row r="81" spans="1:2" x14ac:dyDescent="0.3">
      <c r="A81" t="s">
        <v>74</v>
      </c>
      <c r="B81" t="str">
        <f>B77</f>
        <v>Motorbike, gasoline, &gt;35kW, EURO-5</v>
      </c>
    </row>
    <row r="82" spans="1:2" x14ac:dyDescent="0.3">
      <c r="A82" t="s">
        <v>75</v>
      </c>
      <c r="B82" t="s">
        <v>76</v>
      </c>
    </row>
    <row r="83" spans="1:2" x14ac:dyDescent="0.3">
      <c r="A83" t="s">
        <v>77</v>
      </c>
      <c r="B83" t="s">
        <v>77</v>
      </c>
    </row>
    <row r="84" spans="1:2" x14ac:dyDescent="0.3">
      <c r="A84" t="s">
        <v>79</v>
      </c>
      <c r="B84" t="s">
        <v>90</v>
      </c>
    </row>
    <row r="85" spans="1:2" x14ac:dyDescent="0.3">
      <c r="A85" t="s">
        <v>132</v>
      </c>
      <c r="B85">
        <f>INDEX('vehicles specifications'!$B$3:$CK$86,MATCH(B80,'vehicles specifications'!$A$3:$A$86,0),MATCH("Lifetime [km]",'vehicles specifications'!$B$2:$CK$2,0))</f>
        <v>62100</v>
      </c>
    </row>
    <row r="86" spans="1:2" x14ac:dyDescent="0.3">
      <c r="A86" t="s">
        <v>133</v>
      </c>
      <c r="B86">
        <f>INDEX('vehicles specifications'!$B$3:$CK$86,MATCH(B80,'vehicles specifications'!$A$3:$A$86,0),MATCH("Passengers [unit]",'vehicles specifications'!$B$2:$CK$2,0))</f>
        <v>1.1000000000000001</v>
      </c>
    </row>
    <row r="87" spans="1:2" x14ac:dyDescent="0.3">
      <c r="A87" t="s">
        <v>134</v>
      </c>
      <c r="B87">
        <f>INDEX('vehicles specifications'!$B$3:$CK$86,MATCH(B80,'vehicles specifications'!$A$3:$A$86,0),MATCH("Servicing [unit]",'vehicles specifications'!$B$2:$CK$2,0))</f>
        <v>1.242</v>
      </c>
    </row>
    <row r="88" spans="1:2" x14ac:dyDescent="0.3">
      <c r="A88" t="s">
        <v>135</v>
      </c>
      <c r="B88">
        <f>INDEX('vehicles specifications'!$B$3:$CK$86,MATCH(B80,'vehicles specifications'!$A$3:$A$86,0),MATCH("Energy battery replacement [unit]",'vehicles specifications'!$B$2:$CK$2,0))</f>
        <v>0</v>
      </c>
    </row>
    <row r="89" spans="1:2" x14ac:dyDescent="0.3">
      <c r="A89" t="s">
        <v>136</v>
      </c>
      <c r="B89">
        <f>INDEX('vehicles specifications'!$B$3:$CK$86,MATCH(B80,'vehicles specifications'!$A$3:$A$86,0),MATCH("Annual kilometers [km]",'vehicles specifications'!$B$2:$CK$2,0))</f>
        <v>4592</v>
      </c>
    </row>
    <row r="90" spans="1:2" x14ac:dyDescent="0.3">
      <c r="A90" t="s">
        <v>137</v>
      </c>
      <c r="B90" s="2">
        <f>INDEX('vehicles specifications'!$B$3:$CK$86,MATCH(B80,'vehicles specifications'!$A$3:$A$86,0),MATCH("Curb mass [kg]",'vehicles specifications'!$B$2:$CK$2,0))</f>
        <v>256.52499999999998</v>
      </c>
    </row>
    <row r="91" spans="1:2" x14ac:dyDescent="0.3">
      <c r="A91" t="s">
        <v>138</v>
      </c>
      <c r="B91">
        <f>INDEX('vehicles specifications'!$B$3:$CK$86,MATCH(B80,'vehicles specifications'!$A$3:$A$86,0),MATCH("Power [kW]",'vehicles specifications'!$B$2:$CK$2,0))</f>
        <v>91</v>
      </c>
    </row>
    <row r="92" spans="1:2" x14ac:dyDescent="0.3">
      <c r="A92" t="s">
        <v>139</v>
      </c>
      <c r="B92">
        <f>INDEX('vehicles specifications'!$B$3:$CK$86,MATCH(B80,'vehicles specifications'!$A$3:$A$86,0),MATCH("Energy battery mass [kg]",'vehicles specifications'!$B$2:$CK$2,0))</f>
        <v>0</v>
      </c>
    </row>
    <row r="93" spans="1:2" x14ac:dyDescent="0.3">
      <c r="A93" t="s">
        <v>140</v>
      </c>
      <c r="B93">
        <f>INDEX('vehicles specifications'!$B$3:$CK$86,MATCH(B80,'vehicles specifications'!$A$3:$A$86,0),MATCH("Electric energy available [kWh]",'vehicles specifications'!$B$2:$CK$2,0))</f>
        <v>0</v>
      </c>
    </row>
    <row r="94" spans="1:2" x14ac:dyDescent="0.3">
      <c r="A94" t="s">
        <v>143</v>
      </c>
      <c r="B94" s="2">
        <f>INDEX('vehicles specifications'!$B$3:$CK$86,MATCH(B80,'vehicles specifications'!$A$3:$A$86,0),MATCH("Oxydation energy stored [kWh]",'vehicles specifications'!$B$2:$CK$2,0))</f>
        <v>159</v>
      </c>
    </row>
    <row r="95" spans="1:2" x14ac:dyDescent="0.3">
      <c r="A95" t="s">
        <v>145</v>
      </c>
      <c r="B95">
        <f>INDEX('vehicles specifications'!$B$3:$CK$86,MATCH(B80,'vehicles specifications'!$A$3:$A$86,0),MATCH("Fuel mass [kg]",'vehicles specifications'!$B$2:$CK$2,0))</f>
        <v>13.5</v>
      </c>
    </row>
    <row r="96" spans="1:2" x14ac:dyDescent="0.3">
      <c r="A96" t="s">
        <v>141</v>
      </c>
      <c r="B96" s="2">
        <f>INDEX('vehicles specifications'!$B$3:$CK$86,MATCH(B80,'vehicles specifications'!$A$3:$A$86,0),MATCH("Range [km]",'vehicles specifications'!$B$2:$CK$2,0))</f>
        <v>295.91177566349529</v>
      </c>
    </row>
    <row r="97" spans="1:8" x14ac:dyDescent="0.3">
      <c r="A97" t="s">
        <v>142</v>
      </c>
      <c r="B97" t="str">
        <f>INDEX('vehicles specifications'!$B$3:$CK$86,MATCH(B80,'vehicles specifications'!$A$3:$A$86,0),MATCH("Emission standard",'vehicles specifications'!$B$2:$CK$2,0))</f>
        <v>EURO-5</v>
      </c>
    </row>
    <row r="98" spans="1:8" x14ac:dyDescent="0.3">
      <c r="A98" t="s">
        <v>144</v>
      </c>
      <c r="B98" s="6">
        <f>INDEX('vehicles specifications'!$B$3:$CK$86,MATCH(B80,'vehicles specifications'!$A$3:$A$86,0),MATCH("Lightweighting rate [%]",'vehicles specifications'!$B$2:$CK$2,0))</f>
        <v>0</v>
      </c>
    </row>
    <row r="99" spans="1:8" s="21" customFormat="1" x14ac:dyDescent="0.3">
      <c r="A99" s="21" t="s">
        <v>513</v>
      </c>
      <c r="B99" s="6" t="s">
        <v>514</v>
      </c>
    </row>
    <row r="100" spans="1:8" s="21" customFormat="1" x14ac:dyDescent="0.3">
      <c r="A100" s="21" t="s">
        <v>515</v>
      </c>
      <c r="B100" s="2">
        <v>15900</v>
      </c>
    </row>
    <row r="101" spans="1:8" s="21" customFormat="1" x14ac:dyDescent="0.3">
      <c r="A101" s="21" t="s">
        <v>516</v>
      </c>
      <c r="B101" s="2">
        <v>1000</v>
      </c>
    </row>
    <row r="102" spans="1:8" s="21" customFormat="1"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91 kW. Lifetime: 62100 km. Annual kilometers: 4592 km. Number of passengers: 1.1. Curb mass: 256.5 kg. Lightweighting of glider: 0%. Emission standard: EURO-5. Service visits throughout lifetime: 1.2. Range: 296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t="s">
        <v>81</v>
      </c>
      <c r="B104" t="s">
        <v>82</v>
      </c>
      <c r="C104" t="s">
        <v>73</v>
      </c>
      <c r="D104" t="s">
        <v>77</v>
      </c>
      <c r="E104" t="s">
        <v>83</v>
      </c>
      <c r="F104" t="s">
        <v>75</v>
      </c>
      <c r="G104" t="s">
        <v>84</v>
      </c>
      <c r="H104" t="s">
        <v>74</v>
      </c>
    </row>
    <row r="105" spans="1:8" x14ac:dyDescent="0.3">
      <c r="A105" s="12" t="str">
        <f>B75</f>
        <v>Motorbike, gasoline, &gt;35kW, EURO-5, 2020</v>
      </c>
      <c r="B105" s="12">
        <v>1</v>
      </c>
      <c r="C105" s="12" t="str">
        <f>B76</f>
        <v>CH</v>
      </c>
      <c r="D105" s="12" t="str">
        <f>B83</f>
        <v>unit</v>
      </c>
      <c r="E105" s="12"/>
      <c r="F105" s="12" t="s">
        <v>85</v>
      </c>
      <c r="G105" s="12" t="s">
        <v>86</v>
      </c>
      <c r="H105" s="12" t="str">
        <f>B77</f>
        <v>Motorbike, gasoline, &gt;35kW,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1.2333333333333334</v>
      </c>
      <c r="C106" s="12" t="str">
        <f>INDEX('ei names mapping'!$B$38:$R$67,MATCH(B77,'ei names mapping'!$A$4:$A$33,0),MATCH(G106,'ei names mapping'!$B$3:$R$3,0))</f>
        <v>RER</v>
      </c>
      <c r="D106" s="12" t="str">
        <f>INDEX('ei names mapping'!$B$104:$R$133,MATCH(B77,'ei names mapping'!$A$104:$A$133,0),MATCH(G106,'ei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1.4444444444444444</v>
      </c>
      <c r="C107" s="12" t="str">
        <f>INDEX('ei names mapping'!$B$38:$R$67,MATCH(B77,'ei names mapping'!$A$4:$A$33,0),MATCH(G107,'ei names mapping'!$B$3:$R$3,0))</f>
        <v>RER</v>
      </c>
      <c r="D107" s="12" t="str">
        <f>INDEX('ei names mapping'!$B$104:$R$133,MATCH(B77,'ei names mapping'!$A$104:$A$133,0),MATCH(G107,'ei names mapping'!$B$3:$R$3,0))</f>
        <v>unit</v>
      </c>
      <c r="E107" s="12"/>
      <c r="F107" s="12" t="s">
        <v>91</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mapping'!$A$104:$A$133,0),MATCH(G108,'ei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2.0249999999999999</v>
      </c>
      <c r="C109" s="12" t="str">
        <f>INDEX('ei names mapping'!$B$38:$R$67,MATCH(B77,'ei names mapping'!$A$4:$A$33,0),MATCH(G109,'ei names mapping'!$B$3:$R$3,0))</f>
        <v>RER</v>
      </c>
      <c r="D109" s="12" t="str">
        <f>INDEX('ei names mapping'!$B$104:$R$133,MATCH(B77,'ei names mapping'!$A$104:$A$133,0),MATCH(G109,'ei names mapping'!$B$3:$R$3,0))</f>
        <v>kilogram</v>
      </c>
      <c r="E109" s="12"/>
      <c r="F109" s="12" t="s">
        <v>91</v>
      </c>
      <c r="G109" t="s">
        <v>24</v>
      </c>
      <c r="H109" s="12" t="str">
        <f>INDEX('ei names mapping'!$B$71:$R$100,MATCH(B77,'ei names mapping'!$A$4:$A$33,0),MATCH(G109,'ei names mapping'!$B$3:$R$3,0))</f>
        <v>polyethylene, high density, granulate</v>
      </c>
    </row>
    <row r="110" spans="1:8" s="21" customFormat="1" x14ac:dyDescent="0.3">
      <c r="A110" s="22" t="s">
        <v>468</v>
      </c>
      <c r="B110" s="21">
        <f>(B90/1000)*B101</f>
        <v>256.52499999999998</v>
      </c>
      <c r="C110" s="21" t="s">
        <v>94</v>
      </c>
      <c r="D110" s="21" t="s">
        <v>243</v>
      </c>
      <c r="F110" s="21" t="s">
        <v>91</v>
      </c>
      <c r="H110" s="22" t="s">
        <v>469</v>
      </c>
    </row>
    <row r="111" spans="1:8" s="21" customFormat="1" x14ac:dyDescent="0.3">
      <c r="A111" s="22" t="s">
        <v>467</v>
      </c>
      <c r="B111" s="2">
        <f>(B90/1000)*B100</f>
        <v>4078.7474999999999</v>
      </c>
      <c r="C111" s="21" t="s">
        <v>98</v>
      </c>
      <c r="D111" s="21" t="s">
        <v>243</v>
      </c>
      <c r="F111" s="21" t="s">
        <v>91</v>
      </c>
      <c r="H111" s="22" t="s">
        <v>467</v>
      </c>
    </row>
    <row r="113" spans="1:2" ht="15.6" x14ac:dyDescent="0.3">
      <c r="A113" s="11" t="s">
        <v>72</v>
      </c>
      <c r="B113" s="9" t="str">
        <f>B115&amp;", "&amp;B117</f>
        <v>Motorbike, gasoline, &gt;35kW, EURO-5, 2030</v>
      </c>
    </row>
    <row r="114" spans="1:2" x14ac:dyDescent="0.3">
      <c r="A114" t="s">
        <v>73</v>
      </c>
      <c r="B114" t="s">
        <v>37</v>
      </c>
    </row>
    <row r="115" spans="1:2" x14ac:dyDescent="0.3">
      <c r="A115" t="s">
        <v>87</v>
      </c>
      <c r="B115" t="s">
        <v>705</v>
      </c>
    </row>
    <row r="116" spans="1:2" x14ac:dyDescent="0.3">
      <c r="A116" t="s">
        <v>88</v>
      </c>
      <c r="B116" s="12"/>
    </row>
    <row r="117" spans="1:2" x14ac:dyDescent="0.3">
      <c r="A117" t="s">
        <v>89</v>
      </c>
      <c r="B117" s="12">
        <v>2030</v>
      </c>
    </row>
    <row r="118" spans="1:2" x14ac:dyDescent="0.3">
      <c r="A118" t="s">
        <v>131</v>
      </c>
      <c r="B118" s="12" t="str">
        <f>B115&amp;" - "&amp;B117&amp;" - "&amp;B114</f>
        <v>Motorbike, gasoline, &gt;35kW, EURO-5 - 2030 - CH</v>
      </c>
    </row>
    <row r="119" spans="1:2" x14ac:dyDescent="0.3">
      <c r="A119" t="s">
        <v>74</v>
      </c>
      <c r="B119" t="str">
        <f>B115</f>
        <v>Motorbike, gasoline, &gt;35kW, EURO-5</v>
      </c>
    </row>
    <row r="120" spans="1:2" x14ac:dyDescent="0.3">
      <c r="A120" t="s">
        <v>75</v>
      </c>
      <c r="B120" t="s">
        <v>76</v>
      </c>
    </row>
    <row r="121" spans="1:2" x14ac:dyDescent="0.3">
      <c r="A121" t="s">
        <v>77</v>
      </c>
      <c r="B121" t="s">
        <v>77</v>
      </c>
    </row>
    <row r="122" spans="1:2" x14ac:dyDescent="0.3">
      <c r="A122" t="s">
        <v>79</v>
      </c>
      <c r="B122" t="s">
        <v>90</v>
      </c>
    </row>
    <row r="123" spans="1:2" x14ac:dyDescent="0.3">
      <c r="A123" t="s">
        <v>132</v>
      </c>
      <c r="B123">
        <f>INDEX('vehicles specifications'!$B$3:$CK$86,MATCH(B118,'vehicles specifications'!$A$3:$A$86,0),MATCH("Lifetime [km]",'vehicles specifications'!$B$2:$CK$2,0))</f>
        <v>62100</v>
      </c>
    </row>
    <row r="124" spans="1:2" x14ac:dyDescent="0.3">
      <c r="A124" t="s">
        <v>133</v>
      </c>
      <c r="B124">
        <f>INDEX('vehicles specifications'!$B$3:$CK$86,MATCH(B118,'vehicles specifications'!$A$3:$A$86,0),MATCH("Passengers [unit]",'vehicles specifications'!$B$2:$CK$2,0))</f>
        <v>1.1000000000000001</v>
      </c>
    </row>
    <row r="125" spans="1:2" x14ac:dyDescent="0.3">
      <c r="A125" t="s">
        <v>134</v>
      </c>
      <c r="B125">
        <f>INDEX('vehicles specifications'!$B$3:$CK$86,MATCH(B118,'vehicles specifications'!$A$3:$A$86,0),MATCH("Servicing [unit]",'vehicles specifications'!$B$2:$CK$2,0))</f>
        <v>1.242</v>
      </c>
    </row>
    <row r="126" spans="1:2" x14ac:dyDescent="0.3">
      <c r="A126" t="s">
        <v>135</v>
      </c>
      <c r="B126">
        <f>INDEX('vehicles specifications'!$B$3:$CK$86,MATCH(B118,'vehicles specifications'!$A$3:$A$86,0),MATCH("Energy battery replacement [unit]",'vehicles specifications'!$B$2:$CK$2,0))</f>
        <v>0</v>
      </c>
    </row>
    <row r="127" spans="1:2" x14ac:dyDescent="0.3">
      <c r="A127" t="s">
        <v>136</v>
      </c>
      <c r="B127">
        <f>INDEX('vehicles specifications'!$B$3:$CK$86,MATCH(B118,'vehicles specifications'!$A$3:$A$86,0),MATCH("Annual kilometers [km]",'vehicles specifications'!$B$2:$CK$2,0))</f>
        <v>4592</v>
      </c>
    </row>
    <row r="128" spans="1:2" x14ac:dyDescent="0.3">
      <c r="A128" t="s">
        <v>137</v>
      </c>
      <c r="B128" s="2">
        <f>INDEX('vehicles specifications'!$B$3:$CK$86,MATCH(B118,'vehicles specifications'!$A$3:$A$86,0),MATCH("Curb mass [kg]",'vehicles specifications'!$B$2:$CK$2,0))</f>
        <v>253.19500000000002</v>
      </c>
    </row>
    <row r="129" spans="1:8" x14ac:dyDescent="0.3">
      <c r="A129" t="s">
        <v>138</v>
      </c>
      <c r="B129">
        <f>INDEX('vehicles specifications'!$B$3:$CK$86,MATCH(B118,'vehicles specifications'!$A$3:$A$86,0),MATCH("Power [kW]",'vehicles specifications'!$B$2:$CK$2,0))</f>
        <v>91</v>
      </c>
    </row>
    <row r="130" spans="1:8" x14ac:dyDescent="0.3">
      <c r="A130" t="s">
        <v>139</v>
      </c>
      <c r="B130">
        <f>INDEX('vehicles specifications'!$B$3:$CK$86,MATCH(B118,'vehicles specifications'!$A$3:$A$86,0),MATCH("Energy battery mass [kg]",'vehicles specifications'!$B$2:$CK$2,0))</f>
        <v>0</v>
      </c>
    </row>
    <row r="131" spans="1:8" x14ac:dyDescent="0.3">
      <c r="A131" t="s">
        <v>140</v>
      </c>
      <c r="B131">
        <f>INDEX('vehicles specifications'!$B$3:$CK$86,MATCH(B118,'vehicles specifications'!$A$3:$A$86,0),MATCH("Electric energy available [kWh]",'vehicles specifications'!$B$2:$CK$2,0))</f>
        <v>0</v>
      </c>
    </row>
    <row r="132" spans="1:8" x14ac:dyDescent="0.3">
      <c r="A132" t="s">
        <v>143</v>
      </c>
      <c r="B132" s="2">
        <f>INDEX('vehicles specifications'!$B$3:$CK$86,MATCH(B118,'vehicles specifications'!$A$3:$A$86,0),MATCH("Oxydation energy stored [kWh]",'vehicles specifications'!$B$2:$CK$2,0))</f>
        <v>159</v>
      </c>
    </row>
    <row r="133" spans="1:8" x14ac:dyDescent="0.3">
      <c r="A133" t="s">
        <v>145</v>
      </c>
      <c r="B133">
        <f>INDEX('vehicles specifications'!$B$3:$CK$86,MATCH(B118,'vehicles specifications'!$A$3:$A$86,0),MATCH("Fuel mass [kg]",'vehicles specifications'!$B$2:$CK$2,0))</f>
        <v>13.5</v>
      </c>
    </row>
    <row r="134" spans="1:8" x14ac:dyDescent="0.3">
      <c r="A134" t="s">
        <v>141</v>
      </c>
      <c r="B134" s="2">
        <f>INDEX('vehicles specifications'!$B$3:$CK$86,MATCH(B118,'vehicles specifications'!$A$3:$A$86,0),MATCH("Range [km]",'vehicles specifications'!$B$2:$CK$2,0))</f>
        <v>298.90078349848005</v>
      </c>
    </row>
    <row r="135" spans="1:8" x14ac:dyDescent="0.3">
      <c r="A135" t="s">
        <v>142</v>
      </c>
      <c r="B135" t="str">
        <f>INDEX('vehicles specifications'!$B$3:$CK$86,MATCH(B118,'vehicles specifications'!$A$3:$A$86,0),MATCH("Emission standard",'vehicles specifications'!$B$2:$CK$2,0))</f>
        <v>EURO-5</v>
      </c>
    </row>
    <row r="136" spans="1:8" x14ac:dyDescent="0.3">
      <c r="A136" t="s">
        <v>144</v>
      </c>
      <c r="B136" s="6">
        <f>INDEX('vehicles specifications'!$B$3:$CK$86,MATCH(B118,'vehicles specifications'!$A$3:$A$86,0),MATCH("Lightweighting rate [%]",'vehicles specifications'!$B$2:$CK$2,0))</f>
        <v>0.03</v>
      </c>
    </row>
    <row r="137" spans="1:8" s="21" customFormat="1" x14ac:dyDescent="0.3">
      <c r="A137" s="21" t="s">
        <v>513</v>
      </c>
      <c r="B137" s="6" t="s">
        <v>514</v>
      </c>
    </row>
    <row r="138" spans="1:8" s="21" customFormat="1" x14ac:dyDescent="0.3">
      <c r="A138" s="21" t="s">
        <v>515</v>
      </c>
      <c r="B138" s="2">
        <v>15900</v>
      </c>
    </row>
    <row r="139" spans="1:8" s="21" customFormat="1" x14ac:dyDescent="0.3">
      <c r="A139" s="21" t="s">
        <v>516</v>
      </c>
      <c r="B139" s="2">
        <v>1000</v>
      </c>
    </row>
    <row r="140" spans="1:8" s="21" customFormat="1"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91 kW. Lifetime: 62100 km. Annual kilometers: 4592 km. Number of passengers: 1.1. Curb mass: 253.2 kg. Lightweighting of glider: 3%. Emission standard: EURO-5. Service visits throughout lifetime: 1.2. Range: 299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t="s">
        <v>81</v>
      </c>
      <c r="B142" t="s">
        <v>82</v>
      </c>
      <c r="C142" t="s">
        <v>73</v>
      </c>
      <c r="D142" t="s">
        <v>77</v>
      </c>
      <c r="E142" t="s">
        <v>83</v>
      </c>
      <c r="F142" t="s">
        <v>75</v>
      </c>
      <c r="G142" t="s">
        <v>84</v>
      </c>
      <c r="H142" t="s">
        <v>74</v>
      </c>
    </row>
    <row r="143" spans="1:8" x14ac:dyDescent="0.3">
      <c r="A143" s="12" t="str">
        <f>B113</f>
        <v>Motorbike, gasoline, &gt;35kW, EURO-5, 2030</v>
      </c>
      <c r="B143" s="12">
        <v>1</v>
      </c>
      <c r="C143" s="12" t="str">
        <f>B114</f>
        <v>CH</v>
      </c>
      <c r="D143" s="12" t="str">
        <f>B121</f>
        <v>unit</v>
      </c>
      <c r="E143" s="12"/>
      <c r="F143" s="12" t="s">
        <v>85</v>
      </c>
      <c r="G143" s="12" t="s">
        <v>86</v>
      </c>
      <c r="H143" s="12" t="str">
        <f>B115</f>
        <v>Motorbike, gasoline, &gt;35kW,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1.2333333333333334</v>
      </c>
      <c r="C144" s="12" t="str">
        <f>INDEX('ei names mapping'!$B$38:$R$67,MATCH(B115,'ei names mapping'!$A$4:$A$33,0),MATCH(G144,'ei names mapping'!$B$3:$R$3,0))</f>
        <v>RER</v>
      </c>
      <c r="D144" s="12" t="str">
        <f>INDEX('ei names mapping'!$B$104:$R$133,MATCH(B115,'ei names mapping'!$A$104:$A$133,0),MATCH(G144,'ei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1.4444444444444444</v>
      </c>
      <c r="C145" s="12" t="str">
        <f>INDEX('ei names mapping'!$B$38:$R$67,MATCH(B115,'ei names mapping'!$A$4:$A$33,0),MATCH(G145,'ei names mapping'!$B$3:$R$3,0))</f>
        <v>RER</v>
      </c>
      <c r="D145" s="12" t="str">
        <f>INDEX('ei names mapping'!$B$104:$R$133,MATCH(B115,'ei names mapping'!$A$104:$A$133,0),MATCH(G145,'ei names mapping'!$B$3:$R$3,0))</f>
        <v>unit</v>
      </c>
      <c r="E145" s="12"/>
      <c r="F145" s="12" t="s">
        <v>91</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3.33</v>
      </c>
      <c r="C146" s="12" t="str">
        <f>INDEX('ei names mapping'!$B$38:$R$67,MATCH(B115,'ei names mapping'!$A$4:$A$33,0),MATCH(G146,'ei names mapping'!$B$3:$R$3,0))</f>
        <v>GLO</v>
      </c>
      <c r="D146" s="12" t="str">
        <f>INDEX('ei names mapping'!$B$104:$R$133,MATCH(B115,'ei names mapping'!$A$104:$A$133,0),MATCH(G146,'ei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2.0249999999999999</v>
      </c>
      <c r="C147" s="12" t="str">
        <f>INDEX('ei names mapping'!$B$38:$R$67,MATCH(B115,'ei names mapping'!$A$4:$A$33,0),MATCH(G147,'ei names mapping'!$B$3:$R$3,0))</f>
        <v>RER</v>
      </c>
      <c r="D147" s="12" t="str">
        <f>INDEX('ei names mapping'!$B$104:$R$133,MATCH(B115,'ei names mapping'!$A$104:$A$133,0),MATCH(G147,'ei names mapping'!$B$3:$R$3,0))</f>
        <v>kilogram</v>
      </c>
      <c r="E147" s="12"/>
      <c r="F147" s="12" t="s">
        <v>91</v>
      </c>
      <c r="G147" t="s">
        <v>24</v>
      </c>
      <c r="H147" s="12" t="str">
        <f>INDEX('ei names mapping'!$B$71:$R$100,MATCH(B115,'ei names mapping'!$A$4:$A$33,0),MATCH(G147,'ei names mapping'!$B$3:$R$3,0))</f>
        <v>polyethylene, high density, granulate</v>
      </c>
    </row>
    <row r="148" spans="1:8" s="21" customFormat="1" x14ac:dyDescent="0.3">
      <c r="A148" s="22" t="s">
        <v>468</v>
      </c>
      <c r="B148" s="21">
        <f>(B128/1000)*B139</f>
        <v>253.19499999999999</v>
      </c>
      <c r="C148" s="21" t="s">
        <v>94</v>
      </c>
      <c r="D148" s="21" t="s">
        <v>243</v>
      </c>
      <c r="F148" s="21" t="s">
        <v>91</v>
      </c>
      <c r="H148" s="22" t="s">
        <v>469</v>
      </c>
    </row>
    <row r="149" spans="1:8" s="21" customFormat="1" x14ac:dyDescent="0.3">
      <c r="A149" s="22" t="s">
        <v>467</v>
      </c>
      <c r="B149" s="2">
        <f>(B128/1000)*B138</f>
        <v>4025.8004999999998</v>
      </c>
      <c r="C149" s="21" t="s">
        <v>98</v>
      </c>
      <c r="D149" s="21" t="s">
        <v>243</v>
      </c>
      <c r="F149" s="21" t="s">
        <v>91</v>
      </c>
      <c r="H149" s="22" t="s">
        <v>467</v>
      </c>
    </row>
    <row r="151" spans="1:8" ht="15.6" x14ac:dyDescent="0.3">
      <c r="A151" s="11" t="s">
        <v>72</v>
      </c>
      <c r="B151" s="9" t="str">
        <f>B153&amp;", "&amp;B155</f>
        <v>Motorbike, gasoline, &gt;35kW, EURO-5, 2040</v>
      </c>
    </row>
    <row r="152" spans="1:8" x14ac:dyDescent="0.3">
      <c r="A152" t="s">
        <v>73</v>
      </c>
      <c r="B152" t="s">
        <v>37</v>
      </c>
    </row>
    <row r="153" spans="1:8" x14ac:dyDescent="0.3">
      <c r="A153" t="s">
        <v>87</v>
      </c>
      <c r="B153" t="s">
        <v>705</v>
      </c>
    </row>
    <row r="154" spans="1:8" x14ac:dyDescent="0.3">
      <c r="A154" t="s">
        <v>88</v>
      </c>
      <c r="B154" s="12"/>
    </row>
    <row r="155" spans="1:8" x14ac:dyDescent="0.3">
      <c r="A155" t="s">
        <v>89</v>
      </c>
      <c r="B155" s="12">
        <v>2040</v>
      </c>
    </row>
    <row r="156" spans="1:8" x14ac:dyDescent="0.3">
      <c r="A156" t="s">
        <v>131</v>
      </c>
      <c r="B156" s="12" t="str">
        <f>B153&amp;" - "&amp;B155&amp;" - "&amp;B152</f>
        <v>Motorbike, gasoline, &gt;35kW, EURO-5 - 2040 - CH</v>
      </c>
    </row>
    <row r="157" spans="1:8" x14ac:dyDescent="0.3">
      <c r="A157" t="s">
        <v>74</v>
      </c>
      <c r="B157" t="str">
        <f>B153</f>
        <v>Motorbike, gasoline, &gt;35kW, EURO-5</v>
      </c>
    </row>
    <row r="158" spans="1:8" x14ac:dyDescent="0.3">
      <c r="A158" t="s">
        <v>75</v>
      </c>
      <c r="B158" t="s">
        <v>76</v>
      </c>
    </row>
    <row r="159" spans="1:8" x14ac:dyDescent="0.3">
      <c r="A159" t="s">
        <v>77</v>
      </c>
      <c r="B159" t="s">
        <v>77</v>
      </c>
    </row>
    <row r="160" spans="1:8" x14ac:dyDescent="0.3">
      <c r="A160" t="s">
        <v>79</v>
      </c>
      <c r="B160" t="s">
        <v>90</v>
      </c>
    </row>
    <row r="161" spans="1:2" x14ac:dyDescent="0.3">
      <c r="A161" t="s">
        <v>132</v>
      </c>
      <c r="B161">
        <f>INDEX('vehicles specifications'!$B$3:$CK$86,MATCH(B156,'vehicles specifications'!$A$3:$A$86,0),MATCH("Lifetime [km]",'vehicles specifications'!$B$2:$CK$2,0))</f>
        <v>62100</v>
      </c>
    </row>
    <row r="162" spans="1:2" x14ac:dyDescent="0.3">
      <c r="A162" t="s">
        <v>133</v>
      </c>
      <c r="B162">
        <f>INDEX('vehicles specifications'!$B$3:$CK$86,MATCH(B156,'vehicles specifications'!$A$3:$A$86,0),MATCH("Passengers [unit]",'vehicles specifications'!$B$2:$CK$2,0))</f>
        <v>1.1000000000000001</v>
      </c>
    </row>
    <row r="163" spans="1:2" x14ac:dyDescent="0.3">
      <c r="A163" t="s">
        <v>134</v>
      </c>
      <c r="B163">
        <f>INDEX('vehicles specifications'!$B$3:$CK$86,MATCH(B156,'vehicles specifications'!$A$3:$A$86,0),MATCH("Servicing [unit]",'vehicles specifications'!$B$2:$CK$2,0))</f>
        <v>1.242</v>
      </c>
    </row>
    <row r="164" spans="1:2" x14ac:dyDescent="0.3">
      <c r="A164" t="s">
        <v>135</v>
      </c>
      <c r="B164">
        <f>INDEX('vehicles specifications'!$B$3:$CK$86,MATCH(B156,'vehicles specifications'!$A$3:$A$86,0),MATCH("Energy battery replacement [unit]",'vehicles specifications'!$B$2:$CK$2,0))</f>
        <v>0</v>
      </c>
    </row>
    <row r="165" spans="1:2" x14ac:dyDescent="0.3">
      <c r="A165" t="s">
        <v>136</v>
      </c>
      <c r="B165">
        <f>INDEX('vehicles specifications'!$B$3:$CK$86,MATCH(B156,'vehicles specifications'!$A$3:$A$86,0),MATCH("Annual kilometers [km]",'vehicles specifications'!$B$2:$CK$2,0))</f>
        <v>4592</v>
      </c>
    </row>
    <row r="166" spans="1:2" x14ac:dyDescent="0.3">
      <c r="A166" t="s">
        <v>137</v>
      </c>
      <c r="B166" s="2">
        <f>INDEX('vehicles specifications'!$B$3:$CK$86,MATCH(B156,'vehicles specifications'!$A$3:$A$86,0),MATCH("Curb mass [kg]",'vehicles specifications'!$B$2:$CK$2,0))</f>
        <v>250.97499999999999</v>
      </c>
    </row>
    <row r="167" spans="1:2" x14ac:dyDescent="0.3">
      <c r="A167" t="s">
        <v>138</v>
      </c>
      <c r="B167">
        <f>INDEX('vehicles specifications'!$B$3:$CK$86,MATCH(B156,'vehicles specifications'!$A$3:$A$86,0),MATCH("Power [kW]",'vehicles specifications'!$B$2:$CK$2,0))</f>
        <v>91</v>
      </c>
    </row>
    <row r="168" spans="1:2" x14ac:dyDescent="0.3">
      <c r="A168" t="s">
        <v>139</v>
      </c>
      <c r="B168">
        <f>INDEX('vehicles specifications'!$B$3:$CK$86,MATCH(B156,'vehicles specifications'!$A$3:$A$86,0),MATCH("Energy battery mass [kg]",'vehicles specifications'!$B$2:$CK$2,0))</f>
        <v>0</v>
      </c>
    </row>
    <row r="169" spans="1:2" x14ac:dyDescent="0.3">
      <c r="A169" t="s">
        <v>140</v>
      </c>
      <c r="B169">
        <f>INDEX('vehicles specifications'!$B$3:$CK$86,MATCH(B156,'vehicles specifications'!$A$3:$A$86,0),MATCH("Electric energy available [kWh]",'vehicles specifications'!$B$2:$CK$2,0))</f>
        <v>0</v>
      </c>
    </row>
    <row r="170" spans="1:2" x14ac:dyDescent="0.3">
      <c r="A170" t="s">
        <v>143</v>
      </c>
      <c r="B170" s="2">
        <f>INDEX('vehicles specifications'!$B$3:$CK$86,MATCH(B156,'vehicles specifications'!$A$3:$A$86,0),MATCH("Oxydation energy stored [kWh]",'vehicles specifications'!$B$2:$CK$2,0))</f>
        <v>159</v>
      </c>
    </row>
    <row r="171" spans="1:2" x14ac:dyDescent="0.3">
      <c r="A171" t="s">
        <v>145</v>
      </c>
      <c r="B171">
        <f>INDEX('vehicles specifications'!$B$3:$CK$86,MATCH(B156,'vehicles specifications'!$A$3:$A$86,0),MATCH("Fuel mass [kg]",'vehicles specifications'!$B$2:$CK$2,0))</f>
        <v>13.5</v>
      </c>
    </row>
    <row r="172" spans="1:2" x14ac:dyDescent="0.3">
      <c r="A172" t="s">
        <v>141</v>
      </c>
      <c r="B172" s="2">
        <f>INDEX('vehicles specifications'!$B$3:$CK$86,MATCH(B156,'vehicles specifications'!$A$3:$A$86,0),MATCH("Range [km]",'vehicles specifications'!$B$2:$CK$2,0))</f>
        <v>301.91998333179805</v>
      </c>
    </row>
    <row r="173" spans="1:2" x14ac:dyDescent="0.3">
      <c r="A173" t="s">
        <v>142</v>
      </c>
      <c r="B173" t="str">
        <f>INDEX('vehicles specifications'!$B$3:$CK$86,MATCH(B156,'vehicles specifications'!$A$3:$A$86,0),MATCH("Emission standard",'vehicles specifications'!$B$2:$CK$2,0))</f>
        <v>EURO-5</v>
      </c>
    </row>
    <row r="174" spans="1:2" x14ac:dyDescent="0.3">
      <c r="A174" t="s">
        <v>144</v>
      </c>
      <c r="B174" s="6">
        <f>INDEX('vehicles specifications'!$B$3:$CK$86,MATCH(B156,'vehicles specifications'!$A$3:$A$86,0),MATCH("Lightweighting rate [%]",'vehicles specifications'!$B$2:$CK$2,0))</f>
        <v>0.05</v>
      </c>
    </row>
    <row r="175" spans="1:2" s="21" customFormat="1" x14ac:dyDescent="0.3">
      <c r="A175" s="21" t="s">
        <v>513</v>
      </c>
      <c r="B175" s="6" t="s">
        <v>514</v>
      </c>
    </row>
    <row r="176" spans="1:2" s="21" customFormat="1" x14ac:dyDescent="0.3">
      <c r="A176" s="21" t="s">
        <v>515</v>
      </c>
      <c r="B176" s="2">
        <v>15900</v>
      </c>
    </row>
    <row r="177" spans="1:8" s="21" customFormat="1" x14ac:dyDescent="0.3">
      <c r="A177" s="21" t="s">
        <v>516</v>
      </c>
      <c r="B177" s="2">
        <v>1000</v>
      </c>
    </row>
    <row r="178" spans="1:8" s="21" customFormat="1"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91 kW. Lifetime: 62100 km. Annual kilometers: 4592 km. Number of passengers: 1.1. Curb mass: 251 kg. Lightweighting of glider: 5%. Emission standard: EURO-5. Service visits throughout lifetime: 1.2. Range: 302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t="s">
        <v>81</v>
      </c>
      <c r="B180" t="s">
        <v>82</v>
      </c>
      <c r="C180" t="s">
        <v>73</v>
      </c>
      <c r="D180" t="s">
        <v>77</v>
      </c>
      <c r="E180" t="s">
        <v>83</v>
      </c>
      <c r="F180" t="s">
        <v>75</v>
      </c>
      <c r="G180" t="s">
        <v>84</v>
      </c>
      <c r="H180" t="s">
        <v>74</v>
      </c>
    </row>
    <row r="181" spans="1:8" x14ac:dyDescent="0.3">
      <c r="A181" s="12" t="str">
        <f>B151</f>
        <v>Motorbike, gasoline, &gt;35kW, EURO-5, 2040</v>
      </c>
      <c r="B181" s="12">
        <v>1</v>
      </c>
      <c r="C181" s="12" t="str">
        <f>B152</f>
        <v>CH</v>
      </c>
      <c r="D181" s="12" t="str">
        <f>B159</f>
        <v>unit</v>
      </c>
      <c r="E181" s="12"/>
      <c r="F181" s="12" t="s">
        <v>85</v>
      </c>
      <c r="G181" s="12" t="s">
        <v>86</v>
      </c>
      <c r="H181" s="12" t="str">
        <f>B153</f>
        <v>Motorbike, gasoline, &gt;35kW,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1.2333333333333334</v>
      </c>
      <c r="C182" s="12" t="str">
        <f>INDEX('ei names mapping'!$B$38:$R$67,MATCH(B153,'ei names mapping'!$A$4:$A$33,0),MATCH(G182,'ei names mapping'!$B$3:$R$3,0))</f>
        <v>RER</v>
      </c>
      <c r="D182" s="12" t="str">
        <f>INDEX('ei names mapping'!$B$104:$R$133,MATCH(B153,'ei names mapping'!$A$104:$A$133,0),MATCH(G182,'ei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1.4444444444444444</v>
      </c>
      <c r="C183" s="12" t="str">
        <f>INDEX('ei names mapping'!$B$38:$R$67,MATCH(B153,'ei names mapping'!$A$4:$A$33,0),MATCH(G183,'ei names mapping'!$B$3:$R$3,0))</f>
        <v>RER</v>
      </c>
      <c r="D183" s="12" t="str">
        <f>INDEX('ei names mapping'!$B$104:$R$133,MATCH(B153,'ei names mapping'!$A$104:$A$133,0),MATCH(G183,'ei names mapping'!$B$3:$R$3,0))</f>
        <v>unit</v>
      </c>
      <c r="E183" s="12"/>
      <c r="F183" s="12" t="s">
        <v>91</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5.5500000000000007</v>
      </c>
      <c r="C184" s="12" t="str">
        <f>INDEX('ei names mapping'!$B$38:$R$67,MATCH(B153,'ei names mapping'!$A$4:$A$33,0),MATCH(G184,'ei names mapping'!$B$3:$R$3,0))</f>
        <v>GLO</v>
      </c>
      <c r="D184" s="12" t="str">
        <f>INDEX('ei names mapping'!$B$104:$R$133,MATCH(B153,'ei names mapping'!$A$104:$A$133,0),MATCH(G184,'ei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2.0249999999999999</v>
      </c>
      <c r="C185" s="12" t="str">
        <f>INDEX('ei names mapping'!$B$38:$R$67,MATCH(B153,'ei names mapping'!$A$4:$A$33,0),MATCH(G185,'ei names mapping'!$B$3:$R$3,0))</f>
        <v>RER</v>
      </c>
      <c r="D185" s="12" t="str">
        <f>INDEX('ei names mapping'!$B$104:$R$133,MATCH(B153,'ei names mapping'!$A$104:$A$133,0),MATCH(G185,'ei names mapping'!$B$3:$R$3,0))</f>
        <v>kilogram</v>
      </c>
      <c r="E185" s="12"/>
      <c r="F185" s="12" t="s">
        <v>91</v>
      </c>
      <c r="G185" t="s">
        <v>24</v>
      </c>
      <c r="H185" s="12" t="str">
        <f>INDEX('ei names mapping'!$B$71:$R$100,MATCH(B153,'ei names mapping'!$A$4:$A$33,0),MATCH(G185,'ei names mapping'!$B$3:$R$3,0))</f>
        <v>polyethylene, high density, granulate</v>
      </c>
    </row>
    <row r="186" spans="1:8" s="21" customFormat="1" x14ac:dyDescent="0.3">
      <c r="A186" s="22" t="s">
        <v>468</v>
      </c>
      <c r="B186" s="21">
        <f>(B166/1000)*B177</f>
        <v>250.97499999999999</v>
      </c>
      <c r="C186" s="21" t="s">
        <v>94</v>
      </c>
      <c r="D186" s="21" t="s">
        <v>243</v>
      </c>
      <c r="F186" s="21" t="s">
        <v>91</v>
      </c>
      <c r="H186" s="22" t="s">
        <v>469</v>
      </c>
    </row>
    <row r="187" spans="1:8" s="21" customFormat="1" x14ac:dyDescent="0.3">
      <c r="A187" s="22" t="s">
        <v>467</v>
      </c>
      <c r="B187" s="2">
        <f>(B166/1000)*B176</f>
        <v>3990.5025000000001</v>
      </c>
      <c r="C187" s="21" t="s">
        <v>98</v>
      </c>
      <c r="D187" s="21" t="s">
        <v>243</v>
      </c>
      <c r="F187" s="21" t="s">
        <v>91</v>
      </c>
      <c r="H187" s="22" t="s">
        <v>467</v>
      </c>
    </row>
    <row r="189" spans="1:8" ht="15.6" x14ac:dyDescent="0.3">
      <c r="A189" s="11" t="s">
        <v>72</v>
      </c>
      <c r="B189" s="9" t="str">
        <f>B191&amp;", "&amp;B193</f>
        <v>Motorbike, gasoline, &gt;35kW, EURO-5, 2050</v>
      </c>
    </row>
    <row r="190" spans="1:8" x14ac:dyDescent="0.3">
      <c r="A190" t="s">
        <v>73</v>
      </c>
      <c r="B190" t="s">
        <v>37</v>
      </c>
    </row>
    <row r="191" spans="1:8" x14ac:dyDescent="0.3">
      <c r="A191" t="s">
        <v>87</v>
      </c>
      <c r="B191" t="s">
        <v>705</v>
      </c>
    </row>
    <row r="192" spans="1:8" x14ac:dyDescent="0.3">
      <c r="A192" t="s">
        <v>88</v>
      </c>
      <c r="B192" s="12"/>
    </row>
    <row r="193" spans="1:2" x14ac:dyDescent="0.3">
      <c r="A193" t="s">
        <v>89</v>
      </c>
      <c r="B193" s="12">
        <v>2050</v>
      </c>
    </row>
    <row r="194" spans="1:2" x14ac:dyDescent="0.3">
      <c r="A194" t="s">
        <v>131</v>
      </c>
      <c r="B194" s="12" t="str">
        <f>B191&amp;" - "&amp;B193&amp;" - "&amp;B190</f>
        <v>Motorbike, gasoline, &gt;35kW, EURO-5 - 2050 - CH</v>
      </c>
    </row>
    <row r="195" spans="1:2" x14ac:dyDescent="0.3">
      <c r="A195" t="s">
        <v>74</v>
      </c>
      <c r="B195" t="str">
        <f>B191</f>
        <v>Motorbike, gasoline, &gt;35kW, EURO-5</v>
      </c>
    </row>
    <row r="196" spans="1:2" x14ac:dyDescent="0.3">
      <c r="A196" t="s">
        <v>75</v>
      </c>
      <c r="B196" t="s">
        <v>76</v>
      </c>
    </row>
    <row r="197" spans="1:2" x14ac:dyDescent="0.3">
      <c r="A197" t="s">
        <v>77</v>
      </c>
      <c r="B197" t="s">
        <v>77</v>
      </c>
    </row>
    <row r="198" spans="1:2" x14ac:dyDescent="0.3">
      <c r="A198" t="s">
        <v>79</v>
      </c>
      <c r="B198" t="s">
        <v>90</v>
      </c>
    </row>
    <row r="199" spans="1:2" x14ac:dyDescent="0.3">
      <c r="A199" t="s">
        <v>132</v>
      </c>
      <c r="B199">
        <f>INDEX('vehicles specifications'!$B$3:$CK$86,MATCH(B194,'vehicles specifications'!$A$3:$A$86,0),MATCH("Lifetime [km]",'vehicles specifications'!$B$2:$CK$2,0))</f>
        <v>62100</v>
      </c>
    </row>
    <row r="200" spans="1:2" x14ac:dyDescent="0.3">
      <c r="A200" t="s">
        <v>133</v>
      </c>
      <c r="B200">
        <f>INDEX('vehicles specifications'!$B$3:$CK$86,MATCH(B194,'vehicles specifications'!$A$3:$A$86,0),MATCH("Passengers [unit]",'vehicles specifications'!$B$2:$CK$2,0))</f>
        <v>1.1000000000000001</v>
      </c>
    </row>
    <row r="201" spans="1:2" x14ac:dyDescent="0.3">
      <c r="A201" t="s">
        <v>134</v>
      </c>
      <c r="B201">
        <f>INDEX('vehicles specifications'!$B$3:$CK$86,MATCH(B194,'vehicles specifications'!$A$3:$A$86,0),MATCH("Servicing [unit]",'vehicles specifications'!$B$2:$CK$2,0))</f>
        <v>1.242</v>
      </c>
    </row>
    <row r="202" spans="1:2" x14ac:dyDescent="0.3">
      <c r="A202" t="s">
        <v>135</v>
      </c>
      <c r="B202">
        <f>INDEX('vehicles specifications'!$B$3:$CK$86,MATCH(B194,'vehicles specifications'!$A$3:$A$86,0),MATCH("Energy battery replacement [unit]",'vehicles specifications'!$B$2:$CK$2,0))</f>
        <v>0</v>
      </c>
    </row>
    <row r="203" spans="1:2" x14ac:dyDescent="0.3">
      <c r="A203" t="s">
        <v>136</v>
      </c>
      <c r="B203">
        <f>INDEX('vehicles specifications'!$B$3:$CK$86,MATCH(B194,'vehicles specifications'!$A$3:$A$86,0),MATCH("Annual kilometers [km]",'vehicles specifications'!$B$2:$CK$2,0))</f>
        <v>4592</v>
      </c>
    </row>
    <row r="204" spans="1:2" x14ac:dyDescent="0.3">
      <c r="A204" t="s">
        <v>137</v>
      </c>
      <c r="B204" s="2">
        <f>INDEX('vehicles specifications'!$B$3:$CK$86,MATCH(B194,'vehicles specifications'!$A$3:$A$86,0),MATCH("Curb mass [kg]",'vehicles specifications'!$B$2:$CK$2,0))</f>
        <v>248.755</v>
      </c>
    </row>
    <row r="205" spans="1:2" x14ac:dyDescent="0.3">
      <c r="A205" t="s">
        <v>138</v>
      </c>
      <c r="B205">
        <f>INDEX('vehicles specifications'!$B$3:$CK$86,MATCH(B194,'vehicles specifications'!$A$3:$A$86,0),MATCH("Power [kW]",'vehicles specifications'!$B$2:$CK$2,0))</f>
        <v>91</v>
      </c>
    </row>
    <row r="206" spans="1:2" x14ac:dyDescent="0.3">
      <c r="A206" t="s">
        <v>139</v>
      </c>
      <c r="B206">
        <f>INDEX('vehicles specifications'!$B$3:$CK$86,MATCH(B194,'vehicles specifications'!$A$3:$A$86,0),MATCH("Energy battery mass [kg]",'vehicles specifications'!$B$2:$CK$2,0))</f>
        <v>0</v>
      </c>
    </row>
    <row r="207" spans="1:2" x14ac:dyDescent="0.3">
      <c r="A207" t="s">
        <v>140</v>
      </c>
      <c r="B207">
        <f>INDEX('vehicles specifications'!$B$3:$CK$86,MATCH(B194,'vehicles specifications'!$A$3:$A$86,0),MATCH("Electric energy available [kWh]",'vehicles specifications'!$B$2:$CK$2,0))</f>
        <v>0</v>
      </c>
    </row>
    <row r="208" spans="1:2" x14ac:dyDescent="0.3">
      <c r="A208" t="s">
        <v>143</v>
      </c>
      <c r="B208" s="2">
        <f>INDEX('vehicles specifications'!$B$3:$CK$86,MATCH(B194,'vehicles specifications'!$A$3:$A$86,0),MATCH("Oxydation energy stored [kWh]",'vehicles specifications'!$B$2:$CK$2,0))</f>
        <v>159</v>
      </c>
    </row>
    <row r="209" spans="1:8" x14ac:dyDescent="0.3">
      <c r="A209" t="s">
        <v>145</v>
      </c>
      <c r="B209">
        <f>INDEX('vehicles specifications'!$B$3:$CK$86,MATCH(B194,'vehicles specifications'!$A$3:$A$86,0),MATCH("Fuel mass [kg]",'vehicles specifications'!$B$2:$CK$2,0))</f>
        <v>13.5</v>
      </c>
    </row>
    <row r="210" spans="1:8" x14ac:dyDescent="0.3">
      <c r="A210" t="s">
        <v>141</v>
      </c>
      <c r="B210" s="2">
        <f>INDEX('vehicles specifications'!$B$3:$CK$86,MATCH(B194,'vehicles specifications'!$A$3:$A$86,0),MATCH("Range [km]",'vehicles specifications'!$B$2:$CK$2,0))</f>
        <v>304.96968013312937</v>
      </c>
    </row>
    <row r="211" spans="1:8" x14ac:dyDescent="0.3">
      <c r="A211" t="s">
        <v>142</v>
      </c>
      <c r="B211" t="str">
        <f>INDEX('vehicles specifications'!$B$3:$CK$86,MATCH(B194,'vehicles specifications'!$A$3:$A$86,0),MATCH("Emission standard",'vehicles specifications'!$B$2:$CK$2,0))</f>
        <v>EURO-5</v>
      </c>
    </row>
    <row r="212" spans="1:8" x14ac:dyDescent="0.3">
      <c r="A212" t="s">
        <v>144</v>
      </c>
      <c r="B212" s="6">
        <f>INDEX('vehicles specifications'!$B$3:$CK$86,MATCH(B194,'vehicles specifications'!$A$3:$A$86,0),MATCH("Lightweighting rate [%]",'vehicles specifications'!$B$2:$CK$2,0))</f>
        <v>7.0000000000000007E-2</v>
      </c>
    </row>
    <row r="213" spans="1:8" s="21" customFormat="1" x14ac:dyDescent="0.3">
      <c r="A213" s="21" t="s">
        <v>513</v>
      </c>
      <c r="B213" s="6" t="s">
        <v>514</v>
      </c>
    </row>
    <row r="214" spans="1:8" s="21" customFormat="1" x14ac:dyDescent="0.3">
      <c r="A214" s="21" t="s">
        <v>515</v>
      </c>
      <c r="B214" s="2">
        <v>15900</v>
      </c>
    </row>
    <row r="215" spans="1:8" s="21" customFormat="1" x14ac:dyDescent="0.3">
      <c r="A215" s="21" t="s">
        <v>516</v>
      </c>
      <c r="B215" s="2">
        <v>1000</v>
      </c>
    </row>
    <row r="216" spans="1:8" s="21" customFormat="1"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91 kW. Lifetime: 62100 km. Annual kilometers: 4592 km. Number of passengers: 1.1. Curb mass: 248.8 kg. Lightweighting of glider: 7%. Emission standard: EURO-5. Service visits throughout lifetime: 1.2. Range: 305 km. Battery capacity: 0 kWh. Battery mass: 0 kg. Battery replacement throughout lifetime: 0. Fuel tank capacity: 159 kWh. Fuel mass: 13.5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t="s">
        <v>81</v>
      </c>
      <c r="B218" t="s">
        <v>82</v>
      </c>
      <c r="C218" t="s">
        <v>73</v>
      </c>
      <c r="D218" t="s">
        <v>77</v>
      </c>
      <c r="E218" t="s">
        <v>83</v>
      </c>
      <c r="F218" t="s">
        <v>75</v>
      </c>
      <c r="G218" t="s">
        <v>84</v>
      </c>
      <c r="H218" t="s">
        <v>74</v>
      </c>
    </row>
    <row r="219" spans="1:8" x14ac:dyDescent="0.3">
      <c r="A219" s="12" t="str">
        <f>B189</f>
        <v>Motorbike, gasoline, &gt;35kW, EURO-5, 2050</v>
      </c>
      <c r="B219" s="12">
        <v>1</v>
      </c>
      <c r="C219" s="12" t="str">
        <f>B190</f>
        <v>CH</v>
      </c>
      <c r="D219" s="12" t="str">
        <f>B197</f>
        <v>unit</v>
      </c>
      <c r="E219" s="12"/>
      <c r="F219" s="12" t="s">
        <v>85</v>
      </c>
      <c r="G219" s="12" t="s">
        <v>86</v>
      </c>
      <c r="H219" s="12" t="str">
        <f>B191</f>
        <v>Motorbike, gasoline, &gt;35kW,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1.2333333333333334</v>
      </c>
      <c r="C220" s="12" t="str">
        <f>INDEX('ei names mapping'!$B$38:$R$67,MATCH(B191,'ei names mapping'!$A$4:$A$33,0),MATCH(G220,'ei names mapping'!$B$3:$R$3,0))</f>
        <v>RER</v>
      </c>
      <c r="D220" s="12" t="str">
        <f>INDEX('ei names mapping'!$B$104:$R$133,MATCH(B191,'ei names mapping'!$A$104:$A$133,0),MATCH(G220,'ei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1.4444444444444444</v>
      </c>
      <c r="C221" s="12" t="str">
        <f>INDEX('ei names mapping'!$B$38:$R$67,MATCH(B191,'ei names mapping'!$A$4:$A$33,0),MATCH(G221,'ei names mapping'!$B$3:$R$3,0))</f>
        <v>RER</v>
      </c>
      <c r="D221" s="12" t="str">
        <f>INDEX('ei names mapping'!$B$104:$R$133,MATCH(B191,'ei names mapping'!$A$104:$A$133,0),MATCH(G221,'ei names mapping'!$B$3:$R$3,0))</f>
        <v>unit</v>
      </c>
      <c r="E221" s="12"/>
      <c r="F221" s="12" t="s">
        <v>91</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7.7700000000000005</v>
      </c>
      <c r="C222" s="12" t="str">
        <f>INDEX('ei names mapping'!$B$38:$R$67,MATCH(B191,'ei names mapping'!$A$4:$A$33,0),MATCH(G222,'ei names mapping'!$B$3:$R$3,0))</f>
        <v>GLO</v>
      </c>
      <c r="D222" s="12" t="str">
        <f>INDEX('ei names mapping'!$B$104:$R$133,MATCH(B191,'ei names mapping'!$A$104:$A$133,0),MATCH(G222,'ei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2.0249999999999999</v>
      </c>
      <c r="C223" s="12" t="str">
        <f>INDEX('ei names mapping'!$B$38:$R$67,MATCH(B191,'ei names mapping'!$A$4:$A$33,0),MATCH(G223,'ei names mapping'!$B$3:$R$3,0))</f>
        <v>RER</v>
      </c>
      <c r="D223" s="12" t="str">
        <f>INDEX('ei names mapping'!$B$104:$R$133,MATCH(B191,'ei names mapping'!$A$104:$A$133,0),MATCH(G223,'ei names mapping'!$B$3:$R$3,0))</f>
        <v>kilogram</v>
      </c>
      <c r="E223" s="12"/>
      <c r="F223" s="12" t="s">
        <v>91</v>
      </c>
      <c r="G223" t="s">
        <v>24</v>
      </c>
      <c r="H223" s="12" t="str">
        <f>INDEX('ei names mapping'!$B$71:$R$100,MATCH(B191,'ei names mapping'!$A$4:$A$33,0),MATCH(G223,'ei names mapping'!$B$3:$R$3,0))</f>
        <v>polyethylene, high density, granulate</v>
      </c>
    </row>
    <row r="224" spans="1:8" s="21" customFormat="1" x14ac:dyDescent="0.3">
      <c r="A224" s="22" t="s">
        <v>468</v>
      </c>
      <c r="B224" s="21">
        <f>(B204/1000)*B215</f>
        <v>248.755</v>
      </c>
      <c r="C224" s="21" t="s">
        <v>94</v>
      </c>
      <c r="D224" s="21" t="s">
        <v>243</v>
      </c>
      <c r="F224" s="21" t="s">
        <v>91</v>
      </c>
      <c r="H224" s="22" t="s">
        <v>469</v>
      </c>
    </row>
    <row r="225" spans="1:8" s="21" customFormat="1" x14ac:dyDescent="0.3">
      <c r="A225" s="22" t="s">
        <v>467</v>
      </c>
      <c r="B225" s="2">
        <f>(B204/1000)*B214</f>
        <v>3955.2045000000003</v>
      </c>
      <c r="C225" s="21" t="s">
        <v>98</v>
      </c>
      <c r="D225" s="21" t="s">
        <v>243</v>
      </c>
      <c r="F225" s="21" t="s">
        <v>91</v>
      </c>
      <c r="H225" s="22" t="s">
        <v>467</v>
      </c>
    </row>
    <row r="227" spans="1:8" ht="15.6" x14ac:dyDescent="0.3">
      <c r="A227" s="11" t="s">
        <v>72</v>
      </c>
      <c r="B227" s="9" t="str">
        <f>"transport, "&amp;B229&amp;", "&amp;B231</f>
        <v>transport, Motorbike, gasoline, &gt;35kW, EURO-3, 2006</v>
      </c>
    </row>
    <row r="228" spans="1:8" x14ac:dyDescent="0.3">
      <c r="A228" t="s">
        <v>73</v>
      </c>
      <c r="B228" t="s">
        <v>37</v>
      </c>
    </row>
    <row r="229" spans="1:8" x14ac:dyDescent="0.3">
      <c r="A229" t="s">
        <v>87</v>
      </c>
      <c r="B229" t="s">
        <v>703</v>
      </c>
    </row>
    <row r="230" spans="1:8" x14ac:dyDescent="0.3">
      <c r="A230" t="s">
        <v>88</v>
      </c>
      <c r="B230" s="12"/>
    </row>
    <row r="231" spans="1:8" x14ac:dyDescent="0.3">
      <c r="A231" t="s">
        <v>89</v>
      </c>
      <c r="B231" s="12">
        <v>2006</v>
      </c>
    </row>
    <row r="232" spans="1:8" x14ac:dyDescent="0.3">
      <c r="A232" t="s">
        <v>131</v>
      </c>
      <c r="B232" s="12" t="str">
        <f>B229&amp;" - "&amp;B231&amp;" - "&amp;B228</f>
        <v>Motorbike, gasoline, &gt;35kW, EURO-3 - 2006 - CH</v>
      </c>
    </row>
    <row r="233" spans="1:8" x14ac:dyDescent="0.3">
      <c r="A233" t="s">
        <v>74</v>
      </c>
      <c r="B233" s="12" t="str">
        <f>"transport, "&amp;B229</f>
        <v>transport, Motorbike, gasoline, &gt;35kW, EURO-3</v>
      </c>
    </row>
    <row r="234" spans="1:8" x14ac:dyDescent="0.3">
      <c r="A234" t="s">
        <v>75</v>
      </c>
      <c r="B234" t="s">
        <v>76</v>
      </c>
    </row>
    <row r="235" spans="1:8" x14ac:dyDescent="0.3">
      <c r="A235" t="s">
        <v>77</v>
      </c>
      <c r="B235" t="s">
        <v>172</v>
      </c>
    </row>
    <row r="236" spans="1:8" x14ac:dyDescent="0.3">
      <c r="A236" t="s">
        <v>79</v>
      </c>
      <c r="B236" t="s">
        <v>90</v>
      </c>
    </row>
    <row r="237" spans="1:8" x14ac:dyDescent="0.3">
      <c r="A237" t="s">
        <v>132</v>
      </c>
      <c r="B237">
        <f>INDEX('vehicles specifications'!$B$3:$CK$86,MATCH(B232,'vehicles specifications'!$A$3:$A$86,0),MATCH("Lifetime [km]",'vehicles specifications'!$B$2:$CK$2,0))</f>
        <v>62100</v>
      </c>
    </row>
    <row r="238" spans="1:8" x14ac:dyDescent="0.3">
      <c r="A238" t="s">
        <v>133</v>
      </c>
      <c r="B238">
        <f>INDEX('vehicles specifications'!$B$3:$CK$86,MATCH(B232,'vehicles specifications'!$A$3:$A$86,0),MATCH("Passengers [unit]",'vehicles specifications'!$B$2:$CK$2,0))</f>
        <v>1.1000000000000001</v>
      </c>
    </row>
    <row r="239" spans="1:8" x14ac:dyDescent="0.3">
      <c r="A239" t="s">
        <v>134</v>
      </c>
      <c r="B239">
        <f>INDEX('vehicles specifications'!$B$3:$CK$86,MATCH(B232,'vehicles specifications'!$A$3:$A$86,0),MATCH("Servicing [unit]",'vehicles specifications'!$B$2:$CK$2,0))</f>
        <v>1.242</v>
      </c>
    </row>
    <row r="240" spans="1:8" x14ac:dyDescent="0.3">
      <c r="A240" t="s">
        <v>135</v>
      </c>
      <c r="B240">
        <f>INDEX('vehicles specifications'!$B$3:$CK$86,MATCH(B232,'vehicles specifications'!$A$3:$A$86,0),MATCH("Energy battery replacement [unit]",'vehicles specifications'!$B$2:$CK$2,0))</f>
        <v>0</v>
      </c>
    </row>
    <row r="241" spans="1:8" x14ac:dyDescent="0.3">
      <c r="A241" t="s">
        <v>136</v>
      </c>
      <c r="B241">
        <f>INDEX('vehicles specifications'!$B$3:$CK$86,MATCH(B232,'vehicles specifications'!$A$3:$A$86,0),MATCH("Annual kilometers [km]",'vehicles specifications'!$B$2:$CK$2,0))</f>
        <v>4592</v>
      </c>
    </row>
    <row r="242" spans="1:8" x14ac:dyDescent="0.3">
      <c r="A242" t="s">
        <v>137</v>
      </c>
      <c r="B242" s="2">
        <f>INDEX('vehicles specifications'!$B$3:$CK$86,MATCH(B232,'vehicles specifications'!$A$3:$A$86,0),MATCH("Curb mass [kg]",'vehicles specifications'!$B$2:$CK$2,0))</f>
        <v>262.07499999999999</v>
      </c>
    </row>
    <row r="243" spans="1:8" x14ac:dyDescent="0.3">
      <c r="A243" t="s">
        <v>138</v>
      </c>
      <c r="B243">
        <f>INDEX('vehicles specifications'!$B$3:$CK$86,MATCH(B232,'vehicles specifications'!$A$3:$A$86,0),MATCH("Power [kW]",'vehicles specifications'!$B$2:$CK$2,0))</f>
        <v>91</v>
      </c>
    </row>
    <row r="244" spans="1:8" x14ac:dyDescent="0.3">
      <c r="A244" t="s">
        <v>139</v>
      </c>
      <c r="B244">
        <f>INDEX('vehicles specifications'!$B$3:$CK$86,MATCH(B232,'vehicles specifications'!$A$3:$A$86,0),MATCH("Energy battery mass [kg]",'vehicles specifications'!$B$2:$CK$2,0))</f>
        <v>0</v>
      </c>
    </row>
    <row r="245" spans="1:8" x14ac:dyDescent="0.3">
      <c r="A245" t="s">
        <v>140</v>
      </c>
      <c r="B245">
        <f>INDEX('vehicles specifications'!$B$3:$CK$86,MATCH(B232,'vehicles specifications'!$A$3:$A$86,0),MATCH("Electric energy available [kWh]",'vehicles specifications'!$B$2:$CK$2,0))</f>
        <v>0</v>
      </c>
    </row>
    <row r="246" spans="1:8" x14ac:dyDescent="0.3">
      <c r="A246" t="s">
        <v>143</v>
      </c>
      <c r="B246" s="2">
        <f>INDEX('vehicles specifications'!$B$3:$CK$86,MATCH(B232,'vehicles specifications'!$A$3:$A$86,0),MATCH("Oxydation energy stored [kWh]",'vehicles specifications'!$B$2:$CK$2,0))</f>
        <v>159</v>
      </c>
    </row>
    <row r="247" spans="1:8" x14ac:dyDescent="0.3">
      <c r="A247" t="s">
        <v>145</v>
      </c>
      <c r="B247">
        <f>INDEX('vehicles specifications'!$B$3:$CK$86,MATCH(B232,'vehicles specifications'!$A$3:$A$86,0),MATCH("Fuel mass [kg]",'vehicles specifications'!$B$2:$CK$2,0))</f>
        <v>13.5</v>
      </c>
    </row>
    <row r="248" spans="1:8" x14ac:dyDescent="0.3">
      <c r="A248" t="s">
        <v>141</v>
      </c>
      <c r="B248" s="2">
        <f>INDEX('vehicles specifications'!$B$3:$CK$86,MATCH(B232,'vehicles specifications'!$A$3:$A$86,0),MATCH("Range [km]",'vehicles specifications'!$B$2:$CK$2,0))</f>
        <v>290.05213654144586</v>
      </c>
    </row>
    <row r="249" spans="1:8" x14ac:dyDescent="0.3">
      <c r="A249" t="s">
        <v>142</v>
      </c>
      <c r="B249" t="str">
        <f>INDEX('vehicles specifications'!$B$3:$CK$86,MATCH(B232,'vehicles specifications'!$A$3:$A$86,0),MATCH("Emission standard",'vehicles specifications'!$B$2:$CK$2,0))</f>
        <v>EURO-3</v>
      </c>
    </row>
    <row r="250" spans="1:8" x14ac:dyDescent="0.3">
      <c r="A250" t="s">
        <v>144</v>
      </c>
      <c r="B250" s="6">
        <f>INDEX('vehicles specifications'!$B$3:$CK$86,MATCH(B232,'vehicles specifications'!$A$3:$A$86,0),MATCH("Lightweighting rate [%]",'vehicles specifications'!$B$2:$CK$2,0))</f>
        <v>-0.05</v>
      </c>
    </row>
    <row r="251" spans="1:8" x14ac:dyDescent="0.3">
      <c r="A25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91 kW. Lifetime: 62100 km. Annual kilometers: 4592 km. Number of passengers: 1.1. Curb mass: 262.1 kg. Lightweighting of glider: -5%. Emission standard: EURO-3. Service visits throughout lifetime: 1.2. Range: 290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t="s">
        <v>81</v>
      </c>
      <c r="B253" t="s">
        <v>82</v>
      </c>
      <c r="C253" t="s">
        <v>73</v>
      </c>
      <c r="D253" t="s">
        <v>77</v>
      </c>
      <c r="E253" t="s">
        <v>83</v>
      </c>
      <c r="F253" t="s">
        <v>75</v>
      </c>
      <c r="G253" t="s">
        <v>84</v>
      </c>
      <c r="H253" t="s">
        <v>74</v>
      </c>
    </row>
    <row r="254" spans="1:8" x14ac:dyDescent="0.3">
      <c r="A254" s="12" t="str">
        <f>B227</f>
        <v>transport, Motorbike, gasoline, &gt;35kW, EURO-3, 2006</v>
      </c>
      <c r="B254" s="12">
        <v>1</v>
      </c>
      <c r="C254" s="12" t="str">
        <f>B228</f>
        <v>CH</v>
      </c>
      <c r="D254" s="12" t="s">
        <v>172</v>
      </c>
      <c r="E254" s="12"/>
      <c r="F254" s="12" t="s">
        <v>85</v>
      </c>
      <c r="G254" s="12" t="s">
        <v>86</v>
      </c>
      <c r="H254" s="12" t="str">
        <f>B233</f>
        <v>transport, Motorbike, gasoline, &gt;35kW, EURO-3</v>
      </c>
    </row>
    <row r="255" spans="1:8" x14ac:dyDescent="0.3">
      <c r="A255" s="12" t="str">
        <f>RIGHT(A254,LEN(A254)-11)</f>
        <v>Motorbike, gasoline, &gt;35kW, EURO-3, 2006</v>
      </c>
      <c r="B255" s="15">
        <f>1/B237</f>
        <v>1.6103059581320449E-5</v>
      </c>
      <c r="C255" s="12" t="str">
        <f>B228</f>
        <v>CH</v>
      </c>
      <c r="D255" s="12" t="s">
        <v>77</v>
      </c>
      <c r="E255" s="12"/>
      <c r="F255" s="12" t="s">
        <v>91</v>
      </c>
      <c r="G255" s="12"/>
      <c r="H255" s="12" t="str">
        <f>RIGHT(H254,LEN(H254)-11)</f>
        <v>Motorbike, gasoline, &gt;35kW, EURO-3</v>
      </c>
    </row>
    <row r="256" spans="1:8" s="21" customFormat="1"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1.8530527499999999E-4</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road maintenance</v>
      </c>
      <c r="B257" s="16">
        <f>INDEX('vehicles specifications'!$B$3:$CK$86,MATCH(B232,'vehicles specifications'!$A$3:$A$86,0),MATCH(G257,'vehicles specifications'!$B$2:$CK$2,0))*INDEX('ei names mapping'!$B$137:$BK$220,MATCH(B232,'ei names mapping'!$A$137:$A$220,0),MATCH(G257,'ei names mapping'!$B$136:$BK$136,0))</f>
        <v>1.2899999999999999E-3</v>
      </c>
      <c r="C257" s="12" t="str">
        <f>INDEX('ei names mapping'!$B$38:$R$67,MATCH(B229,'ei names mapping'!$A$4:$A$33,0),MATCH(G257,'ei names mapping'!$B$3:$R$3,0))</f>
        <v>CH</v>
      </c>
      <c r="D257" s="12" t="str">
        <f>INDEX('ei names mapping'!$B$104:$BK$133,MATCH(B229,'ei names mapping'!$A$4:$A$33,0),MATCH(G257,'ei names mapping'!$B$3:$BK$3,0))</f>
        <v>meter-year</v>
      </c>
      <c r="E257" s="12"/>
      <c r="F257" s="12" t="s">
        <v>91</v>
      </c>
      <c r="G257" t="s">
        <v>117</v>
      </c>
      <c r="H257" s="12" t="str">
        <f>INDEX('ei names mapping'!$B$71:$BK$100,MATCH(B229,'ei names mapping'!$A$4:$A$33,0),MATCH(G257,'ei names mapping'!$B$3:$BK$3,0))</f>
        <v>road maintenance</v>
      </c>
    </row>
    <row r="258" spans="1:8" x14ac:dyDescent="0.3">
      <c r="A258" s="12" t="str">
        <f>INDEX('ei names mapping'!$B$4:$R$33,MATCH(B229,'ei names mapping'!$A$4:$A$33,0),MATCH(G258,'ei names mapping'!$B$3:$R$3,0))</f>
        <v>maintenance, motor scooter</v>
      </c>
      <c r="B258" s="16">
        <f>INDEX('vehicles specifications'!$B$3:$CK$86,MATCH(B232,'vehicles specifications'!$A$3:$A$86,0),MATCH(G258,'vehicles specifications'!$B$2:$CK$2,0))*INDEX('ei names mapping'!$B$137:$BK$220,MATCH(B232,'ei names mapping'!$A$137:$A$220,0),MATCH(G258,'ei names mapping'!$B$136:$BK$136,0))</f>
        <v>1.9999999999999998E-5</v>
      </c>
      <c r="C258" s="12" t="str">
        <f>INDEX('ei names mapping'!$B$38:$BK$67,MATCH(B229,'ei names mapping'!$A$4:$A$33,0),MATCH(G258,'ei names mapping'!$B$3:$BK$3,0))</f>
        <v>CH</v>
      </c>
      <c r="D258" s="12" t="str">
        <f>INDEX('ei names mapping'!$B$104:$BK$133,MATCH(B229,'ei names mapping'!$A$4:$A$33,0),MATCH(G258,'ei names mapping'!$B$3:$BK$3,0))</f>
        <v>unit</v>
      </c>
      <c r="F258" s="12" t="s">
        <v>91</v>
      </c>
      <c r="G258" s="12" t="s">
        <v>123</v>
      </c>
      <c r="H258" s="12" t="str">
        <f>INDEX('ei names mapping'!$B$71:$BK$100,MATCH(B229,'ei names mapping'!$A$4:$A$33,0),MATCH(G258,'ei names mapping'!$B$3:$BK$3,0))</f>
        <v>maintenance, motor scooter</v>
      </c>
    </row>
    <row r="259" spans="1:8" x14ac:dyDescent="0.3">
      <c r="A259" s="12" t="str">
        <f>INDEX('ei names mapping'!$B$4:$R$33,MATCH(B229,'ei names mapping'!$A$4:$A$33,0),MATCH(G259,'ei names mapping'!$B$3:$R$3,0))</f>
        <v>market for petrol, low-sulfur</v>
      </c>
      <c r="B259" s="16">
        <f>INDEX('vehicles specifications'!$B$3:$CK$86,MATCH(B232,'vehicles specifications'!$A$3:$A$86,0),MATCH(G259,'vehicles specifications'!$B$2:$CK$2,0))*INDEX('ei names mapping'!$B$137:$BK$220,MATCH(B232,'ei names mapping'!$A$137:$A$220,0),MATCH(G259,'ei names mapping'!$B$136:$BK$136,0))</f>
        <v>4.6543356518496018E-2</v>
      </c>
      <c r="C259" s="12" t="str">
        <f>INDEX('ei names mapping'!$B$38:$BK$67,MATCH(B229,'ei names mapping'!$A$4:$A$33,0),MATCH(G259,'ei names mapping'!$B$3:$BK$3,0))</f>
        <v>CH</v>
      </c>
      <c r="D259" s="12" t="str">
        <f>INDEX('ei names mapping'!$B$104:$BK$133,MATCH(B229,'ei names mapping'!$A$4:$A$33,0),MATCH(G259,'ei names mapping'!$B$3:$BK$3,0))</f>
        <v>kilogram</v>
      </c>
      <c r="F259" s="12" t="s">
        <v>91</v>
      </c>
      <c r="G259" s="12" t="s">
        <v>27</v>
      </c>
      <c r="H259" s="12" t="str">
        <f>INDEX('ei names mapping'!$B$71:$BK$100,MATCH(B229,'ei names mapping'!$A$4:$A$33,0),MATCH(G259,'ei names mapping'!$B$3:$BK$3,0))</f>
        <v>petrol, low-sulfur</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0.14800787372881735</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7.4469370429593623E-7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7.237951507199054E-6</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1.6720380300830153E-5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2.9373204293002417E-4</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8.8002001583316587E-7</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8.8002001583316587E-7</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3.1128530669022286E-5</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2.2000500395829146E-6</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s="21" customFormat="1"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5.8368079533990228E-5</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s="21" customFormat="1"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4.1156979158582854E-6</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s="21" customFormat="1"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8.3862183238491708E-7</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s="21" customFormat="1"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6.7605821564568703E-6</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s="21" customFormat="1"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2.7739029840424182E-6</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s="21" customFormat="1"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2.0772017694457178E-6</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s="21" customFormat="1"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1.4708136752597006E-6</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s="21" customFormat="1"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9.5473870148436736E-7</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s="21" customFormat="1"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9.4183682713998361E-6</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s="21" customFormat="1"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4.928515999554436E-6</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s="21" customFormat="1"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1.4192061778821673E-7</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s="21" customFormat="1"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1.4166258030132906E-5</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s="21" customFormat="1"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7.0057177690001534E-6</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s="21" customFormat="1"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2.9158236018306349E-6</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s="21" customFormat="1"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2.1933186385451676E-6</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s="21" customFormat="1"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9.6764057582875035E-7</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s="21" customFormat="1"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2.8384123557643346E-7</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s="21" customFormat="1"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7.8701433500738386E-7</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s="21" customFormat="1"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6.4509371721916699E-8</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s="21" customFormat="1"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2.4513561254328344E-7</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s="21" customFormat="1"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1.3030893087827173E-6</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s="21" customFormat="1"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6.8675653410171242E-8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s="21" customFormat="1"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5.9203149491526932E-10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s="21" customFormat="1"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3.9468766327684625E-10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s="21" customFormat="1"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4.2626267633899395E-6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s="21" customFormat="1"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8.2884409288137703E-8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s="21" customFormat="1"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2.5654698112995006E-8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s="21" customFormat="1"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3.1575013062147705E-8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s="21" customFormat="1"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6.3150026124295389E-11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s="21" customFormat="1"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1.7168913352542811E-8</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s="21" customFormat="1"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2.1313133816949698E-8</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-7.3669999999999991E-6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-8.3499999999999997E-6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Motorbike, gasoline, &gt;35kW, EURO-4, 2016</v>
      </c>
    </row>
    <row r="305" spans="1:2" x14ac:dyDescent="0.3">
      <c r="A305" t="s">
        <v>73</v>
      </c>
      <c r="B305" t="s">
        <v>37</v>
      </c>
    </row>
    <row r="306" spans="1:2" x14ac:dyDescent="0.3">
      <c r="A306" t="s">
        <v>87</v>
      </c>
      <c r="B306" t="s">
        <v>704</v>
      </c>
    </row>
    <row r="307" spans="1:2" x14ac:dyDescent="0.3">
      <c r="A307" t="s">
        <v>88</v>
      </c>
      <c r="B307" s="12"/>
    </row>
    <row r="308" spans="1:2" x14ac:dyDescent="0.3">
      <c r="A308" t="s">
        <v>89</v>
      </c>
      <c r="B308" s="12">
        <v>2016</v>
      </c>
    </row>
    <row r="309" spans="1:2" x14ac:dyDescent="0.3">
      <c r="A309" t="s">
        <v>131</v>
      </c>
      <c r="B309" s="12" t="str">
        <f>B306&amp;" - "&amp;B308&amp;" - "&amp;B305</f>
        <v>Motorbike, gasoline, &gt;35kW, EURO-4 - 2016 - CH</v>
      </c>
    </row>
    <row r="310" spans="1:2" x14ac:dyDescent="0.3">
      <c r="A310" t="s">
        <v>74</v>
      </c>
      <c r="B310" s="12" t="str">
        <f>"transport, "&amp;B306</f>
        <v>transport, Motorbike, gasoline, &gt;35kW, EURO-4</v>
      </c>
    </row>
    <row r="311" spans="1:2" x14ac:dyDescent="0.3">
      <c r="A311" t="s">
        <v>75</v>
      </c>
      <c r="B311" t="s">
        <v>76</v>
      </c>
    </row>
    <row r="312" spans="1:2" x14ac:dyDescent="0.3">
      <c r="A312" t="s">
        <v>77</v>
      </c>
      <c r="B312" t="s">
        <v>172</v>
      </c>
    </row>
    <row r="313" spans="1:2" x14ac:dyDescent="0.3">
      <c r="A313" t="s">
        <v>79</v>
      </c>
      <c r="B313" t="s">
        <v>90</v>
      </c>
    </row>
    <row r="314" spans="1:2" x14ac:dyDescent="0.3">
      <c r="A314" t="s">
        <v>132</v>
      </c>
      <c r="B314">
        <f>INDEX('vehicles specifications'!$B$3:$CK$86,MATCH(B309,'vehicles specifications'!$A$3:$A$86,0),MATCH("Lifetime [km]",'vehicles specifications'!$B$2:$CK$2,0))</f>
        <v>62100</v>
      </c>
    </row>
    <row r="315" spans="1:2" x14ac:dyDescent="0.3">
      <c r="A315" t="s">
        <v>133</v>
      </c>
      <c r="B315">
        <f>INDEX('vehicles specifications'!$B$3:$CK$86,MATCH(B309,'vehicles specifications'!$A$3:$A$86,0),MATCH("Passengers [unit]",'vehicles specifications'!$B$2:$CK$2,0))</f>
        <v>1.1000000000000001</v>
      </c>
    </row>
    <row r="316" spans="1:2" x14ac:dyDescent="0.3">
      <c r="A316" t="s">
        <v>134</v>
      </c>
      <c r="B316">
        <f>INDEX('vehicles specifications'!$B$3:$CK$86,MATCH(B309,'vehicles specifications'!$A$3:$A$86,0),MATCH("Servicing [unit]",'vehicles specifications'!$B$2:$CK$2,0))</f>
        <v>1.242</v>
      </c>
    </row>
    <row r="317" spans="1:2" x14ac:dyDescent="0.3">
      <c r="A317" t="s">
        <v>135</v>
      </c>
      <c r="B317">
        <f>INDEX('vehicles specifications'!$B$3:$CK$86,MATCH(B309,'vehicles specifications'!$A$3:$A$86,0),MATCH("Energy battery replacement [unit]",'vehicles specifications'!$B$2:$CK$2,0))</f>
        <v>0</v>
      </c>
    </row>
    <row r="318" spans="1:2" x14ac:dyDescent="0.3">
      <c r="A318" t="s">
        <v>136</v>
      </c>
      <c r="B318">
        <f>INDEX('vehicles specifications'!$B$3:$CK$86,MATCH(B309,'vehicles specifications'!$A$3:$A$86,0),MATCH("Annual kilometers [km]",'vehicles specifications'!$B$2:$CK$2,0))</f>
        <v>4592</v>
      </c>
    </row>
    <row r="319" spans="1:2" x14ac:dyDescent="0.3">
      <c r="A319" t="s">
        <v>137</v>
      </c>
      <c r="B319" s="2">
        <f>INDEX('vehicles specifications'!$B$3:$CK$86,MATCH(B309,'vehicles specifications'!$A$3:$A$86,0),MATCH("Curb mass [kg]",'vehicles specifications'!$B$2:$CK$2,0))</f>
        <v>258.745</v>
      </c>
    </row>
    <row r="320" spans="1:2" x14ac:dyDescent="0.3">
      <c r="A320" t="s">
        <v>138</v>
      </c>
      <c r="B320">
        <f>INDEX('vehicles specifications'!$B$3:$CK$86,MATCH(B309,'vehicles specifications'!$A$3:$A$86,0),MATCH("Power [kW]",'vehicles specifications'!$B$2:$CK$2,0))</f>
        <v>91</v>
      </c>
    </row>
    <row r="321" spans="1:8" x14ac:dyDescent="0.3">
      <c r="A321" t="s">
        <v>139</v>
      </c>
      <c r="B321">
        <f>INDEX('vehicles specifications'!$B$3:$CK$86,MATCH(B309,'vehicles specifications'!$A$3:$A$86,0),MATCH("Energy battery mass [kg]",'vehicles specifications'!$B$2:$CK$2,0))</f>
        <v>0</v>
      </c>
    </row>
    <row r="322" spans="1:8" x14ac:dyDescent="0.3">
      <c r="A322" t="s">
        <v>140</v>
      </c>
      <c r="B322">
        <f>INDEX('vehicles specifications'!$B$3:$CK$86,MATCH(B309,'vehicles specifications'!$A$3:$A$86,0),MATCH("Electric energy available [kWh]",'vehicles specifications'!$B$2:$CK$2,0))</f>
        <v>0</v>
      </c>
    </row>
    <row r="323" spans="1:8" x14ac:dyDescent="0.3">
      <c r="A323" t="s">
        <v>143</v>
      </c>
      <c r="B323" s="2">
        <f>INDEX('vehicles specifications'!$B$3:$CK$86,MATCH(B309,'vehicles specifications'!$A$3:$A$86,0),MATCH("Oxydation energy stored [kWh]",'vehicles specifications'!$B$2:$CK$2,0))</f>
        <v>159</v>
      </c>
    </row>
    <row r="324" spans="1:8" x14ac:dyDescent="0.3">
      <c r="A324" t="s">
        <v>145</v>
      </c>
      <c r="B324">
        <f>INDEX('vehicles specifications'!$B$3:$CK$86,MATCH(B309,'vehicles specifications'!$A$3:$A$86,0),MATCH("Fuel mass [kg]",'vehicles specifications'!$B$2:$CK$2,0))</f>
        <v>13.5</v>
      </c>
    </row>
    <row r="325" spans="1:8" x14ac:dyDescent="0.3">
      <c r="A325" t="s">
        <v>141</v>
      </c>
      <c r="B325" s="2">
        <f>INDEX('vehicles specifications'!$B$3:$CK$86,MATCH(B309,'vehicles specifications'!$A$3:$A$86,0),MATCH("Range [km]",'vehicles specifications'!$B$2:$CK$2,0))</f>
        <v>292.95265790686028</v>
      </c>
    </row>
    <row r="326" spans="1:8" x14ac:dyDescent="0.3">
      <c r="A326" t="s">
        <v>142</v>
      </c>
      <c r="B326" t="str">
        <f>INDEX('vehicles specifications'!$B$3:$CK$86,MATCH(B309,'vehicles specifications'!$A$3:$A$86,0),MATCH("Emission standard",'vehicles specifications'!$B$2:$CK$2,0))</f>
        <v>EURO-4</v>
      </c>
    </row>
    <row r="327" spans="1:8" x14ac:dyDescent="0.3">
      <c r="A327" t="s">
        <v>144</v>
      </c>
      <c r="B327" s="6">
        <f>INDEX('vehicles specifications'!$B$3:$CK$86,MATCH(B309,'vehicles specifications'!$A$3:$A$86,0),MATCH("Lightweighting rate [%]",'vehicles specifications'!$B$2:$CK$2,0))</f>
        <v>-0.02</v>
      </c>
    </row>
    <row r="328" spans="1:8" x14ac:dyDescent="0.3">
      <c r="A328"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91 kW. Lifetime: 62100 km. Annual kilometers: 4592 km. Number of passengers: 1.1. Curb mass: 258.7 kg. Lightweighting of glider: -2%. Emission standard: EURO-4. Service visits throughout lifetime: 1.2. Range: 293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t="s">
        <v>81</v>
      </c>
      <c r="B330" t="s">
        <v>82</v>
      </c>
      <c r="C330" t="s">
        <v>73</v>
      </c>
      <c r="D330" t="s">
        <v>77</v>
      </c>
      <c r="E330" t="s">
        <v>83</v>
      </c>
      <c r="F330" t="s">
        <v>75</v>
      </c>
      <c r="G330" t="s">
        <v>84</v>
      </c>
      <c r="H330" t="s">
        <v>74</v>
      </c>
    </row>
    <row r="331" spans="1:8" x14ac:dyDescent="0.3">
      <c r="A331" s="12" t="str">
        <f>B304</f>
        <v>transport, Motorbike, gasoline, &gt;35kW, EURO-4, 2016</v>
      </c>
      <c r="B331" s="12">
        <v>1</v>
      </c>
      <c r="C331" s="12" t="str">
        <f>B305</f>
        <v>CH</v>
      </c>
      <c r="D331" s="12" t="s">
        <v>172</v>
      </c>
      <c r="E331" s="12"/>
      <c r="F331" s="12" t="s">
        <v>85</v>
      </c>
      <c r="G331" s="12" t="s">
        <v>86</v>
      </c>
      <c r="H331" s="12" t="str">
        <f>B310</f>
        <v>transport, Motorbike, gasoline, &gt;35kW, EURO-4</v>
      </c>
    </row>
    <row r="332" spans="1:8" x14ac:dyDescent="0.3">
      <c r="A332" s="12" t="str">
        <f>RIGHT(A331,LEN(A331)-11)</f>
        <v>Motorbike, gasoline, &gt;35kW, EURO-4, 2016</v>
      </c>
      <c r="B332" s="12">
        <f>1/B314</f>
        <v>1.6103059581320449E-5</v>
      </c>
      <c r="C332" s="12" t="str">
        <f>B305</f>
        <v>CH</v>
      </c>
      <c r="D332" s="12" t="s">
        <v>77</v>
      </c>
      <c r="E332" s="12"/>
      <c r="F332" s="12" t="s">
        <v>91</v>
      </c>
      <c r="G332" s="12"/>
      <c r="H332" s="12" t="str">
        <f>RIGHT(H331,LEN(H331)-11)</f>
        <v>Motorbike, gasoline, &gt;35kW, EURO-4</v>
      </c>
    </row>
    <row r="333" spans="1:8" s="21" customFormat="1"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1.83517065E-4</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road maintenance</v>
      </c>
      <c r="B334" s="16">
        <f>INDEX('vehicles specifications'!$B$3:$CK$86,MATCH(B309,'vehicles specifications'!$A$3:$A$86,0),MATCH(G334,'vehicles specifications'!$B$2:$CK$2,0))*INDEX('ei names mapping'!$B$137:$BK$220,MATCH(B309,'ei names mapping'!$A$137:$A$220,0),MATCH(G334,'ei names mapping'!$B$136:$BK$136,0))</f>
        <v>1.2899999999999999E-3</v>
      </c>
      <c r="C334" s="12" t="str">
        <f>INDEX('ei names mapping'!$B$38:$R$67,MATCH(B306,'ei names mapping'!$A$4:$A$33,0),MATCH(G334,'ei names mapping'!$B$3:$R$3,0))</f>
        <v>CH</v>
      </c>
      <c r="D334" s="12" t="str">
        <f>INDEX('ei names mapping'!$B$104:$BK$133,MATCH(B306,'ei names mapping'!$A$4:$A$33,0),MATCH(G334,'ei names mapping'!$B$3:$BK$3,0))</f>
        <v>meter-year</v>
      </c>
      <c r="E334" s="12"/>
      <c r="F334" s="12" t="s">
        <v>91</v>
      </c>
      <c r="G334" t="s">
        <v>117</v>
      </c>
      <c r="H334" s="12" t="str">
        <f>INDEX('ei names mapping'!$B$71:$BK$100,MATCH(B306,'ei names mapping'!$A$4:$A$33,0),MATCH(G334,'ei names mapping'!$B$3:$BK$3,0))</f>
        <v>road maintenance</v>
      </c>
    </row>
    <row r="335" spans="1:8" x14ac:dyDescent="0.3">
      <c r="A335" s="12" t="str">
        <f>INDEX('ei names mapping'!$B$4:$R$33,MATCH(B306,'ei names mapping'!$A$4:$A$33,0),MATCH(G335,'ei names mapping'!$B$3:$R$3,0))</f>
        <v>maintenance, motor scooter</v>
      </c>
      <c r="B335" s="16">
        <f>INDEX('vehicles specifications'!$B$3:$CK$86,MATCH(B309,'vehicles specifications'!$A$3:$A$86,0),MATCH(G335,'vehicles specifications'!$B$2:$CK$2,0))*INDEX('ei names mapping'!$B$137:$BK$220,MATCH(B309,'ei names mapping'!$A$137:$A$220,0),MATCH(G335,'ei names mapping'!$B$136:$BK$136,0))</f>
        <v>1.9999999999999998E-5</v>
      </c>
      <c r="C335" s="12" t="str">
        <f>INDEX('ei names mapping'!$B$38:$BK$67,MATCH(B306,'ei names mapping'!$A$4:$A$33,0),MATCH(G335,'ei names mapping'!$B$3:$BK$3,0))</f>
        <v>CH</v>
      </c>
      <c r="D335" s="12" t="str">
        <f>INDEX('ei names mapping'!$B$104:$BK$133,MATCH(B306,'ei names mapping'!$A$4:$A$33,0),MATCH(G335,'ei names mapping'!$B$3:$BK$3,0))</f>
        <v>unit</v>
      </c>
      <c r="F335" s="12" t="s">
        <v>91</v>
      </c>
      <c r="G335" s="12" t="s">
        <v>123</v>
      </c>
      <c r="H335" s="12" t="str">
        <f>INDEX('ei names mapping'!$B$71:$BK$100,MATCH(B306,'ei names mapping'!$A$4:$A$33,0),MATCH(G335,'ei names mapping'!$B$3:$BK$3,0))</f>
        <v>maintenance, motor scooter</v>
      </c>
    </row>
    <row r="336" spans="1:8" x14ac:dyDescent="0.3">
      <c r="A336" s="12" t="str">
        <f>INDEX('ei names mapping'!$B$4:$R$33,MATCH(B306,'ei names mapping'!$A$4:$A$33,0),MATCH(G336,'ei names mapping'!$B$3:$R$3,0))</f>
        <v>market for petrol, low-sulfur</v>
      </c>
      <c r="B336" s="16">
        <f>INDEX('vehicles specifications'!$B$3:$CK$86,MATCH(B309,'vehicles specifications'!$A$3:$A$86,0),MATCH(G336,'vehicles specifications'!$B$2:$CK$2,0))*INDEX('ei names mapping'!$B$137:$BK$220,MATCH(B309,'ei names mapping'!$A$137:$A$220,0),MATCH(G336,'ei names mapping'!$B$136:$BK$136,0))</f>
        <v>4.6082531206431701E-2</v>
      </c>
      <c r="C336" s="12" t="str">
        <f>INDEX('ei names mapping'!$B$38:$BK$67,MATCH(B306,'ei names mapping'!$A$4:$A$33,0),MATCH(G336,'ei names mapping'!$B$3:$BK$3,0))</f>
        <v>CH</v>
      </c>
      <c r="D336" s="12" t="str">
        <f>INDEX('ei names mapping'!$B$104:$BK$133,MATCH(B306,'ei names mapping'!$A$4:$A$33,0),MATCH(G336,'ei names mapping'!$B$3:$BK$3,0))</f>
        <v>kilogram</v>
      </c>
      <c r="F336" s="12" t="s">
        <v>91</v>
      </c>
      <c r="G336" s="12" t="s">
        <v>27</v>
      </c>
      <c r="H336" s="12" t="str">
        <f>INDEX('ei names mapping'!$B$71:$BK$100,MATCH(B306,'ei names mapping'!$A$4:$A$33,0),MATCH(G336,'ei names mapping'!$B$3:$BK$3,0))</f>
        <v>petrol, low-sulfur</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0.14654244923645282</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7.3732049930290719E-7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2.5284474658107934E-6</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2.0986931709545604E-5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1.8591280332931159E-4</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1.1045753531339791E-6</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1.1045753531339791E-6</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1.3774566377073175E-5</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2.7614383828349475E-6</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s="21" customFormat="1"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2.0389833039800411E-5</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s="21" customFormat="1"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1.4377446374218237E-6</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s="21" customFormat="1"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2.9295737126150013E-7</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s="21" customFormat="1"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2.3616871160157862E-6</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s="21" customFormat="1"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9.6901284340342343E-7</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s="21" customFormat="1"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7.2563287343233113E-7</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s="21" customFormat="1"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5.1380215882786179E-7</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s="21" customFormat="1"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3.335206995900156E-7</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s="21" customFormat="1"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3.2901366310906936E-6</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s="21" customFormat="1"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1.7216879357214317E-6</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s="21" customFormat="1"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4.9577401290407721E-8</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s="21" customFormat="1"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4.9487260560788793E-6</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s="21" customFormat="1"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2.4473208091537626E-6</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s="21" customFormat="1"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1.0185902446938312E-6</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s="21" customFormat="1"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7.6619620176084655E-7</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s="21" customFormat="1"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3.3802773607096173E-7</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s="21" customFormat="1"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9.9154802580815442E-8</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s="21" customFormat="1"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2.7492922533771551E-7</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s="21" customFormat="1"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s="21" customFormat="1"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8.5633693137976965E-8</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s="21" customFormat="1"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4.5521068457556175E-7</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s="21" customFormat="1"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6.7995696445714102E-8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s="21" customFormat="1"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5.8616979694581115E-10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s="21" customFormat="1"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3.907798646305408E-10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s="21" customFormat="1"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4.2204225380098405E-6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s="21" customFormat="1"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8.2063771572413566E-8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s="21" customFormat="1"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2.5400691200985153E-8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s="21" customFormat="1"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3.1262389170443272E-8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s="21" customFormat="1"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6.252477834088652E-11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s="21" customFormat="1"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1.6998924111428525E-8</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s="21" customFormat="1"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2.1102112690049203E-8</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-7.3669999999999991E-6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-8.3499999999999997E-6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Motorbike, gasoline, &gt;35kW, EURO-5, 2020</v>
      </c>
    </row>
    <row r="382" spans="1:8" x14ac:dyDescent="0.3">
      <c r="A382" t="s">
        <v>73</v>
      </c>
      <c r="B382" t="s">
        <v>37</v>
      </c>
    </row>
    <row r="383" spans="1:8" x14ac:dyDescent="0.3">
      <c r="A383" t="s">
        <v>87</v>
      </c>
      <c r="B383" t="s">
        <v>705</v>
      </c>
    </row>
    <row r="384" spans="1:8" x14ac:dyDescent="0.3">
      <c r="A384" t="s">
        <v>88</v>
      </c>
      <c r="B384" s="12"/>
    </row>
    <row r="385" spans="1:2" x14ac:dyDescent="0.3">
      <c r="A385" t="s">
        <v>89</v>
      </c>
      <c r="B385" s="12">
        <v>2020</v>
      </c>
    </row>
    <row r="386" spans="1:2" x14ac:dyDescent="0.3">
      <c r="A386" t="s">
        <v>131</v>
      </c>
      <c r="B386" s="12" t="str">
        <f>B383&amp;" - "&amp;B385&amp;" - "&amp;B382</f>
        <v>Motorbike, gasoline, &gt;35kW, EURO-5 - 2020 - CH</v>
      </c>
    </row>
    <row r="387" spans="1:2" x14ac:dyDescent="0.3">
      <c r="A387" t="s">
        <v>74</v>
      </c>
      <c r="B387" s="12" t="str">
        <f>"transport, "&amp;B383</f>
        <v>transport, Motorbike, gasoline, &gt;35kW, EURO-5</v>
      </c>
    </row>
    <row r="388" spans="1:2" x14ac:dyDescent="0.3">
      <c r="A388" t="s">
        <v>75</v>
      </c>
      <c r="B388" t="s">
        <v>76</v>
      </c>
    </row>
    <row r="389" spans="1:2" x14ac:dyDescent="0.3">
      <c r="A389" t="s">
        <v>77</v>
      </c>
      <c r="B389" t="s">
        <v>172</v>
      </c>
    </row>
    <row r="390" spans="1:2" x14ac:dyDescent="0.3">
      <c r="A390" t="s">
        <v>79</v>
      </c>
      <c r="B390" t="s">
        <v>90</v>
      </c>
    </row>
    <row r="391" spans="1:2" x14ac:dyDescent="0.3">
      <c r="A391" t="s">
        <v>132</v>
      </c>
      <c r="B391">
        <f>INDEX('vehicles specifications'!$B$3:$CK$86,MATCH(B386,'vehicles specifications'!$A$3:$A$86,0),MATCH("Lifetime [km]",'vehicles specifications'!$B$2:$CK$2,0))</f>
        <v>62100</v>
      </c>
    </row>
    <row r="392" spans="1:2" x14ac:dyDescent="0.3">
      <c r="A392" t="s">
        <v>133</v>
      </c>
      <c r="B392">
        <f>INDEX('vehicles specifications'!$B$3:$CK$86,MATCH(B386,'vehicles specifications'!$A$3:$A$86,0),MATCH("Passengers [unit]",'vehicles specifications'!$B$2:$CK$2,0))</f>
        <v>1.1000000000000001</v>
      </c>
    </row>
    <row r="393" spans="1:2" x14ac:dyDescent="0.3">
      <c r="A393" t="s">
        <v>134</v>
      </c>
      <c r="B393">
        <f>INDEX('vehicles specifications'!$B$3:$CK$86,MATCH(B386,'vehicles specifications'!$A$3:$A$86,0),MATCH("Servicing [unit]",'vehicles specifications'!$B$2:$CK$2,0))</f>
        <v>1.242</v>
      </c>
    </row>
    <row r="394" spans="1:2" x14ac:dyDescent="0.3">
      <c r="A394" t="s">
        <v>135</v>
      </c>
      <c r="B394">
        <f>INDEX('vehicles specifications'!$B$3:$CK$86,MATCH(B386,'vehicles specifications'!$A$3:$A$86,0),MATCH("Energy battery replacement [unit]",'vehicles specifications'!$B$2:$CK$2,0))</f>
        <v>0</v>
      </c>
    </row>
    <row r="395" spans="1:2" x14ac:dyDescent="0.3">
      <c r="A395" t="s">
        <v>136</v>
      </c>
      <c r="B395">
        <f>INDEX('vehicles specifications'!$B$3:$CK$86,MATCH(B386,'vehicles specifications'!$A$3:$A$86,0),MATCH("Annual kilometers [km]",'vehicles specifications'!$B$2:$CK$2,0))</f>
        <v>4592</v>
      </c>
    </row>
    <row r="396" spans="1:2" x14ac:dyDescent="0.3">
      <c r="A396" t="s">
        <v>137</v>
      </c>
      <c r="B396" s="2">
        <f>INDEX('vehicles specifications'!$B$3:$CK$86,MATCH(B386,'vehicles specifications'!$A$3:$A$86,0),MATCH("Curb mass [kg]",'vehicles specifications'!$B$2:$CK$2,0))</f>
        <v>256.52499999999998</v>
      </c>
    </row>
    <row r="397" spans="1:2" x14ac:dyDescent="0.3">
      <c r="A397" t="s">
        <v>138</v>
      </c>
      <c r="B397">
        <f>INDEX('vehicles specifications'!$B$3:$CK$86,MATCH(B386,'vehicles specifications'!$A$3:$A$86,0),MATCH("Power [kW]",'vehicles specifications'!$B$2:$CK$2,0))</f>
        <v>91</v>
      </c>
    </row>
    <row r="398" spans="1:2" x14ac:dyDescent="0.3">
      <c r="A398" t="s">
        <v>139</v>
      </c>
      <c r="B398">
        <f>INDEX('vehicles specifications'!$B$3:$CK$86,MATCH(B386,'vehicles specifications'!$A$3:$A$86,0),MATCH("Energy battery mass [kg]",'vehicles specifications'!$B$2:$CK$2,0))</f>
        <v>0</v>
      </c>
    </row>
    <row r="399" spans="1:2" x14ac:dyDescent="0.3">
      <c r="A399" t="s">
        <v>140</v>
      </c>
      <c r="B399">
        <f>INDEX('vehicles specifications'!$B$3:$CK$86,MATCH(B386,'vehicles specifications'!$A$3:$A$86,0),MATCH("Electric energy available [kWh]",'vehicles specifications'!$B$2:$CK$2,0))</f>
        <v>0</v>
      </c>
    </row>
    <row r="400" spans="1:2" x14ac:dyDescent="0.3">
      <c r="A400" t="s">
        <v>143</v>
      </c>
      <c r="B400" s="2">
        <f>INDEX('vehicles specifications'!$B$3:$CK$86,MATCH(B386,'vehicles specifications'!$A$3:$A$86,0),MATCH("Oxydation energy stored [kWh]",'vehicles specifications'!$B$2:$CK$2,0))</f>
        <v>159</v>
      </c>
    </row>
    <row r="401" spans="1:8" x14ac:dyDescent="0.3">
      <c r="A401" t="s">
        <v>145</v>
      </c>
      <c r="B401">
        <f>INDEX('vehicles specifications'!$B$3:$CK$86,MATCH(B386,'vehicles specifications'!$A$3:$A$86,0),MATCH("Fuel mass [kg]",'vehicles specifications'!$B$2:$CK$2,0))</f>
        <v>13.5</v>
      </c>
    </row>
    <row r="402" spans="1:8" x14ac:dyDescent="0.3">
      <c r="A402" t="s">
        <v>141</v>
      </c>
      <c r="B402" s="2">
        <f>INDEX('vehicles specifications'!$B$3:$CK$86,MATCH(B386,'vehicles specifications'!$A$3:$A$86,0),MATCH("Range [km]",'vehicles specifications'!$B$2:$CK$2,0))</f>
        <v>295.91177566349529</v>
      </c>
    </row>
    <row r="403" spans="1:8" x14ac:dyDescent="0.3">
      <c r="A403" t="s">
        <v>142</v>
      </c>
      <c r="B403" t="str">
        <f>INDEX('vehicles specifications'!$B$3:$CK$86,MATCH(B386,'vehicles specifications'!$A$3:$A$86,0),MATCH("Emission standard",'vehicles specifications'!$B$2:$CK$2,0))</f>
        <v>EURO-5</v>
      </c>
    </row>
    <row r="404" spans="1:8" x14ac:dyDescent="0.3">
      <c r="A404" t="s">
        <v>144</v>
      </c>
      <c r="B404" s="6">
        <f>INDEX('vehicles specifications'!$B$3:$CK$86,MATCH(B386,'vehicles specifications'!$A$3:$A$86,0),MATCH("Lightweighting rate [%]",'vehicles specifications'!$B$2:$CK$2,0))</f>
        <v>0</v>
      </c>
    </row>
    <row r="405" spans="1:8" x14ac:dyDescent="0.3">
      <c r="A405"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91 kW. Lifetime: 62100 km. Annual kilometers: 4592 km. Number of passengers: 1.1. Curb mass: 256.5 kg. Lightweighting of glider: 0%. Emission standard: EURO-5. Service visits throughout lifetime: 1.2. Range: 296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t="s">
        <v>81</v>
      </c>
      <c r="B407" t="s">
        <v>82</v>
      </c>
      <c r="C407" t="s">
        <v>73</v>
      </c>
      <c r="D407" t="s">
        <v>77</v>
      </c>
      <c r="E407" t="s">
        <v>83</v>
      </c>
      <c r="F407" t="s">
        <v>75</v>
      </c>
      <c r="G407" t="s">
        <v>84</v>
      </c>
      <c r="H407" t="s">
        <v>74</v>
      </c>
    </row>
    <row r="408" spans="1:8" x14ac:dyDescent="0.3">
      <c r="A408" s="12" t="str">
        <f>B381</f>
        <v>transport, Motorbike, gasoline, &gt;35kW, EURO-5, 2020</v>
      </c>
      <c r="B408" s="12">
        <v>1</v>
      </c>
      <c r="C408" s="12" t="str">
        <f>B382</f>
        <v>CH</v>
      </c>
      <c r="D408" s="12" t="s">
        <v>172</v>
      </c>
      <c r="E408" s="12"/>
      <c r="F408" s="12" t="s">
        <v>85</v>
      </c>
      <c r="G408" s="12" t="s">
        <v>86</v>
      </c>
      <c r="H408" s="12" t="str">
        <f>B387</f>
        <v>transport, Motorbike, gasoline, &gt;35kW, EURO-5</v>
      </c>
    </row>
    <row r="409" spans="1:8" x14ac:dyDescent="0.3">
      <c r="A409" s="12" t="str">
        <f>RIGHT(A408,LEN(A408)-11)</f>
        <v>Motorbike, gasoline, &gt;35kW, EURO-5, 2020</v>
      </c>
      <c r="B409" s="12">
        <f>1/B391</f>
        <v>1.6103059581320449E-5</v>
      </c>
      <c r="C409" s="12" t="str">
        <f>B382</f>
        <v>CH</v>
      </c>
      <c r="D409" s="12" t="s">
        <v>77</v>
      </c>
      <c r="E409" s="12"/>
      <c r="F409" s="12" t="s">
        <v>91</v>
      </c>
      <c r="G409" s="12"/>
      <c r="H409" s="12" t="str">
        <f>RIGHT(H408,LEN(H408)-11)</f>
        <v>Motorbike, gasoline, &gt;35kW, EURO-5</v>
      </c>
    </row>
    <row r="410" spans="1:8" s="21" customFormat="1"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1.82324925E-4</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road maintenance</v>
      </c>
      <c r="B411" s="16">
        <f>INDEX('vehicles specifications'!$B$3:$CK$86,MATCH(B386,'vehicles specifications'!$A$3:$A$86,0),MATCH(G411,'vehicles specifications'!$B$2:$CK$2,0))*INDEX('ei names mapping'!$B$137:$BK$220,MATCH(B386,'ei names mapping'!$A$137:$A$220,0),MATCH(G411,'ei names mapping'!$B$136:$BK$136,0))</f>
        <v>1.2899999999999999E-3</v>
      </c>
      <c r="C411" s="12" t="str">
        <f>INDEX('ei names mapping'!$B$38:$R$67,MATCH(B383,'ei names mapping'!$A$4:$A$33,0),MATCH(G411,'ei names mapping'!$B$3:$R$3,0))</f>
        <v>CH</v>
      </c>
      <c r="D411" s="12" t="str">
        <f>INDEX('ei names mapping'!$B$104:$BK$133,MATCH(B383,'ei names mapping'!$A$4:$A$33,0),MATCH(G411,'ei names mapping'!$B$3:$BK$3,0))</f>
        <v>meter-year</v>
      </c>
      <c r="E411" s="12"/>
      <c r="F411" s="12" t="s">
        <v>91</v>
      </c>
      <c r="G411" t="s">
        <v>117</v>
      </c>
      <c r="H411" s="12" t="str">
        <f>INDEX('ei names mapping'!$B$71:$BK$100,MATCH(B383,'ei names mapping'!$A$4:$A$33,0),MATCH(G411,'ei names mapping'!$B$3:$BK$3,0))</f>
        <v>road maintenance</v>
      </c>
    </row>
    <row r="412" spans="1:8" x14ac:dyDescent="0.3">
      <c r="A412" s="12" t="str">
        <f>INDEX('ei names mapping'!$B$4:$R$33,MATCH(B383,'ei names mapping'!$A$4:$A$33,0),MATCH(G412,'ei names mapping'!$B$3:$R$3,0))</f>
        <v>maintenance, motor scooter</v>
      </c>
      <c r="B412" s="16">
        <f>INDEX('vehicles specifications'!$B$3:$CK$86,MATCH(B386,'vehicles specifications'!$A$3:$A$86,0),MATCH(G412,'vehicles specifications'!$B$2:$CK$2,0))*INDEX('ei names mapping'!$B$137:$BK$220,MATCH(B386,'ei names mapping'!$A$137:$A$220,0),MATCH(G412,'ei names mapping'!$B$136:$BK$136,0))</f>
        <v>1.9999999999999998E-5</v>
      </c>
      <c r="C412" s="12" t="str">
        <f>INDEX('ei names mapping'!$B$38:$BK$67,MATCH(B383,'ei names mapping'!$A$4:$A$33,0),MATCH(G412,'ei names mapping'!$B$3:$BK$3,0))</f>
        <v>CH</v>
      </c>
      <c r="D412" s="12" t="str">
        <f>INDEX('ei names mapping'!$B$104:$BK$133,MATCH(B383,'ei names mapping'!$A$4:$A$33,0),MATCH(G412,'ei names mapping'!$B$3:$BK$3,0))</f>
        <v>unit</v>
      </c>
      <c r="F412" s="12" t="s">
        <v>91</v>
      </c>
      <c r="G412" s="12" t="s">
        <v>123</v>
      </c>
      <c r="H412" s="12" t="str">
        <f>INDEX('ei names mapping'!$B$71:$BK$100,MATCH(B383,'ei names mapping'!$A$4:$A$33,0),MATCH(G412,'ei names mapping'!$B$3:$BK$3,0))</f>
        <v>maintenance, motor scooter</v>
      </c>
    </row>
    <row r="413" spans="1:8" x14ac:dyDescent="0.3">
      <c r="A413" s="12" t="str">
        <f>INDEX('ei names mapping'!$B$4:$R$33,MATCH(B383,'ei names mapping'!$A$4:$A$33,0),MATCH(G413,'ei names mapping'!$B$3:$R$3,0))</f>
        <v>market for petrol, low-sulfur</v>
      </c>
      <c r="B413" s="16">
        <f>INDEX('vehicles specifications'!$B$3:$CK$86,MATCH(B386,'vehicles specifications'!$A$3:$A$86,0),MATCH(G413,'vehicles specifications'!$B$2:$CK$2,0))*INDEX('ei names mapping'!$B$137:$BK$220,MATCH(B386,'ei names mapping'!$A$137:$A$220,0),MATCH(G413,'ei names mapping'!$B$136:$BK$136,0))</f>
        <v>4.5621705894367384E-2</v>
      </c>
      <c r="C413" s="12" t="str">
        <f>INDEX('ei names mapping'!$B$38:$BK$67,MATCH(B383,'ei names mapping'!$A$4:$A$33,0),MATCH(G413,'ei names mapping'!$B$3:$BK$3,0))</f>
        <v>CH</v>
      </c>
      <c r="D413" s="12" t="str">
        <f>INDEX('ei names mapping'!$B$104:$BK$133,MATCH(B383,'ei names mapping'!$A$4:$A$33,0),MATCH(G413,'ei names mapping'!$B$3:$BK$3,0))</f>
        <v>kilogram</v>
      </c>
      <c r="F413" s="12" t="s">
        <v>91</v>
      </c>
      <c r="G413" s="12" t="s">
        <v>27</v>
      </c>
      <c r="H413" s="12" t="str">
        <f>INDEX('ei names mapping'!$B$71:$BK$100,MATCH(B383,'ei names mapping'!$A$4:$A$33,0),MATCH(G413,'ei names mapping'!$B$3:$BK$3,0))</f>
        <v>petrol, low-sulfur</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0.14507702474408829</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7.2994729430987814E-7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1.4740138315818797E-6</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2.0777062392450149E-5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1.6143029994865083E-4</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1.0935295996026393E-6</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1.0935295996026393E-6</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9.2040080028458703E-6</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2.7338239990065983E-6</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s="21" customFormat="1"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1.18866997755373E-5</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s="21" customFormat="1"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8.381647277622453E-7</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s="21" customFormat="1"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1.7078591631519106E-7</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s="21" customFormat="1"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1.3767972330640017E-6</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s="21" customFormat="1"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5.6490726165793968E-7</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s="21" customFormat="1"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4.2302357733455016E-7</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s="21" customFormat="1"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2.9953222246048898E-7</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s="21" customFormat="1"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1.9443319703575599E-7</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s="21" customFormat="1"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1.9180572140013763E-6</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s="21" customFormat="1"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1.0036956928061999E-6</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s="21" customFormat="1"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2.8902231991801569E-8</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s="21" customFormat="1"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2.8849682479089193E-6</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s="21" customFormat="1"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1.42671927014075E-6</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s="21" customFormat="1"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5.9380949364974125E-7</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s="21" customFormat="1"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4.4667085805511511E-7</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s="21" customFormat="1"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1.970606726713743E-7</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s="21" customFormat="1"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5.7804463983603138E-8</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s="21" customFormat="1"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1.6027601377271776E-7</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s="21" customFormat="1"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s="21" customFormat="1"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4.992203707674815E-8</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s="21" customFormat="1"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2.6537503919745075E-7</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s="21" customFormat="1"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6.7315739481256961E-8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s="21" customFormat="1"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5.8030809897635308E-10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s="21" customFormat="1"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3.8687206598423541E-10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s="21" customFormat="1"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4.1782183126297423E-6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s="21" customFormat="1"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8.1243133856689428E-8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s="21" customFormat="1"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2.5146684288975301E-8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s="21" customFormat="1"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3.094976527873884E-8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s="21" customFormat="1"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6.1899530557477664E-11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s="21" customFormat="1"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1.682893487031424E-8</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s="21" customFormat="1"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2.0891091563148711E-8</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-7.3669999999999991E-6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-8.3499999999999997E-6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Motorbike, gasoline, &gt;35kW, EURO-5, 2030</v>
      </c>
    </row>
    <row r="459" spans="1:8" x14ac:dyDescent="0.3">
      <c r="A459" t="s">
        <v>73</v>
      </c>
      <c r="B459" t="s">
        <v>37</v>
      </c>
    </row>
    <row r="460" spans="1:8" x14ac:dyDescent="0.3">
      <c r="A460" t="s">
        <v>87</v>
      </c>
      <c r="B460" t="s">
        <v>705</v>
      </c>
    </row>
    <row r="461" spans="1:8" x14ac:dyDescent="0.3">
      <c r="A461" t="s">
        <v>88</v>
      </c>
      <c r="B461" s="12"/>
    </row>
    <row r="462" spans="1:8" x14ac:dyDescent="0.3">
      <c r="A462" t="s">
        <v>89</v>
      </c>
      <c r="B462" s="12">
        <v>2030</v>
      </c>
    </row>
    <row r="463" spans="1:8" x14ac:dyDescent="0.3">
      <c r="A463" t="s">
        <v>131</v>
      </c>
      <c r="B463" s="12" t="str">
        <f>B460&amp;" - "&amp;B462&amp;" - "&amp;B459</f>
        <v>Motorbike, gasoline, &gt;35kW, EURO-5 - 2030 - CH</v>
      </c>
    </row>
    <row r="464" spans="1:8" x14ac:dyDescent="0.3">
      <c r="A464" t="s">
        <v>74</v>
      </c>
      <c r="B464" s="12" t="str">
        <f>"transport, "&amp;B460</f>
        <v>transport, Motorbike, gasoline, &gt;35kW, EURO-5</v>
      </c>
    </row>
    <row r="465" spans="1:2" x14ac:dyDescent="0.3">
      <c r="A465" t="s">
        <v>75</v>
      </c>
      <c r="B465" t="s">
        <v>76</v>
      </c>
    </row>
    <row r="466" spans="1:2" x14ac:dyDescent="0.3">
      <c r="A466" t="s">
        <v>77</v>
      </c>
      <c r="B466" t="s">
        <v>172</v>
      </c>
    </row>
    <row r="467" spans="1:2" x14ac:dyDescent="0.3">
      <c r="A467" t="s">
        <v>79</v>
      </c>
      <c r="B467" t="s">
        <v>90</v>
      </c>
    </row>
    <row r="468" spans="1:2" x14ac:dyDescent="0.3">
      <c r="A468" t="s">
        <v>132</v>
      </c>
      <c r="B468">
        <f>INDEX('vehicles specifications'!$B$3:$CK$86,MATCH(B463,'vehicles specifications'!$A$3:$A$86,0),MATCH("Lifetime [km]",'vehicles specifications'!$B$2:$CK$2,0))</f>
        <v>62100</v>
      </c>
    </row>
    <row r="469" spans="1:2" x14ac:dyDescent="0.3">
      <c r="A469" t="s">
        <v>133</v>
      </c>
      <c r="B469">
        <f>INDEX('vehicles specifications'!$B$3:$CK$86,MATCH(B463,'vehicles specifications'!$A$3:$A$86,0),MATCH("Passengers [unit]",'vehicles specifications'!$B$2:$CK$2,0))</f>
        <v>1.1000000000000001</v>
      </c>
    </row>
    <row r="470" spans="1:2" x14ac:dyDescent="0.3">
      <c r="A470" t="s">
        <v>134</v>
      </c>
      <c r="B470">
        <f>INDEX('vehicles specifications'!$B$3:$CK$86,MATCH(B463,'vehicles specifications'!$A$3:$A$86,0),MATCH("Servicing [unit]",'vehicles specifications'!$B$2:$CK$2,0))</f>
        <v>1.242</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4592</v>
      </c>
    </row>
    <row r="473" spans="1:2" x14ac:dyDescent="0.3">
      <c r="A473" t="s">
        <v>137</v>
      </c>
      <c r="B473" s="2">
        <f>INDEX('vehicles specifications'!$B$3:$CK$86,MATCH(B463,'vehicles specifications'!$A$3:$A$86,0),MATCH("Curb mass [kg]",'vehicles specifications'!$B$2:$CK$2,0))</f>
        <v>253.19500000000002</v>
      </c>
    </row>
    <row r="474" spans="1:2" x14ac:dyDescent="0.3">
      <c r="A474" t="s">
        <v>138</v>
      </c>
      <c r="B474">
        <f>INDEX('vehicles specifications'!$B$3:$CK$86,MATCH(B463,'vehicles specifications'!$A$3:$A$86,0),MATCH("Power [kW]",'vehicles specifications'!$B$2:$CK$2,0))</f>
        <v>91</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s="2">
        <f>INDEX('vehicles specifications'!$B$3:$CK$86,MATCH(B463,'vehicles specifications'!$A$3:$A$86,0),MATCH("Oxydation energy stored [kWh]",'vehicles specifications'!$B$2:$CK$2,0))</f>
        <v>159</v>
      </c>
    </row>
    <row r="478" spans="1:2" x14ac:dyDescent="0.3">
      <c r="A478" t="s">
        <v>145</v>
      </c>
      <c r="B478">
        <f>INDEX('vehicles specifications'!$B$3:$CK$86,MATCH(B463,'vehicles specifications'!$A$3:$A$86,0),MATCH("Fuel mass [kg]",'vehicles specifications'!$B$2:$CK$2,0))</f>
        <v>13.5</v>
      </c>
    </row>
    <row r="479" spans="1:2" x14ac:dyDescent="0.3">
      <c r="A479" t="s">
        <v>141</v>
      </c>
      <c r="B479" s="2">
        <f>INDEX('vehicles specifications'!$B$3:$CK$86,MATCH(B463,'vehicles specifications'!$A$3:$A$86,0),MATCH("Range [km]",'vehicles specifications'!$B$2:$CK$2,0))</f>
        <v>298.90078349848005</v>
      </c>
    </row>
    <row r="480" spans="1:2" x14ac:dyDescent="0.3">
      <c r="A480" t="s">
        <v>142</v>
      </c>
      <c r="B480" t="str">
        <f>INDEX('vehicles specifications'!$B$3:$CK$86,MATCH(B463,'vehicles specifications'!$A$3:$A$86,0),MATCH("Emission standard",'vehicles specifications'!$B$2:$CK$2,0))</f>
        <v>EURO-5</v>
      </c>
    </row>
    <row r="481" spans="1:8" x14ac:dyDescent="0.3">
      <c r="A481" t="s">
        <v>144</v>
      </c>
      <c r="B481" s="6">
        <f>INDEX('vehicles specifications'!$B$3:$CK$86,MATCH(B463,'vehicles specifications'!$A$3:$A$86,0),MATCH("Lightweighting rate [%]",'vehicles specifications'!$B$2:$CK$2,0))</f>
        <v>0.03</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91 kW. Lifetime: 62100 km. Annual kilometers: 4592 km. Number of passengers: 1.1. Curb mass: 253.2 kg. Lightweighting of glider: 3%. Emission standard: EURO-5. Service visits throughout lifetime: 1.2. Range: 299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Motorbike, gasoline, &gt;35kW, EURO-5, 2030</v>
      </c>
      <c r="B485" s="12">
        <v>1</v>
      </c>
      <c r="C485" s="12" t="str">
        <f>B459</f>
        <v>CH</v>
      </c>
      <c r="D485" s="12" t="s">
        <v>172</v>
      </c>
      <c r="E485" s="12"/>
      <c r="F485" s="12" t="s">
        <v>85</v>
      </c>
      <c r="G485" s="12" t="s">
        <v>86</v>
      </c>
      <c r="H485" s="12" t="str">
        <f>B464</f>
        <v>transport, Motorbike, gasoline, &gt;35kW, EURO-5</v>
      </c>
    </row>
    <row r="486" spans="1:8" x14ac:dyDescent="0.3">
      <c r="A486" s="12" t="str">
        <f>RIGHT(A485,LEN(A485)-11)</f>
        <v>Motorbike, gasoline, &gt;35kW, EURO-5, 2030</v>
      </c>
      <c r="B486" s="12">
        <f>1/B468</f>
        <v>1.6103059581320449E-5</v>
      </c>
      <c r="C486" s="12" t="str">
        <f>B459</f>
        <v>CH</v>
      </c>
      <c r="D486" s="12" t="s">
        <v>77</v>
      </c>
      <c r="E486" s="12"/>
      <c r="F486" s="12" t="s">
        <v>91</v>
      </c>
      <c r="G486" s="12"/>
      <c r="H486" s="12" t="str">
        <f>RIGHT(H485,LEN(H485)-11)</f>
        <v>Motorbike, gasoline, &gt;35kW, EURO-5</v>
      </c>
    </row>
    <row r="487" spans="1:8" s="21" customFormat="1"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1.8053671500000004E-4</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road maintenance</v>
      </c>
      <c r="B488" s="16">
        <f>INDEX('vehicles specifications'!$B$3:$CK$86,MATCH(B463,'vehicles specifications'!$A$3:$A$86,0),MATCH(G488,'vehicles specifications'!$B$2:$CK$2,0))*INDEX('ei names mapping'!$B$137:$BK$220,MATCH(B463,'ei names mapping'!$A$137:$A$220,0),MATCH(G488,'ei names mapping'!$B$136:$BK$136,0))</f>
        <v>1.2899999999999999E-3</v>
      </c>
      <c r="C488" s="12" t="str">
        <f>INDEX('ei names mapping'!$B$38:$R$67,MATCH(B460,'ei names mapping'!$A$4:$A$33,0),MATCH(G488,'ei names mapping'!$B$3:$R$3,0))</f>
        <v>CH</v>
      </c>
      <c r="D488" s="12" t="str">
        <f>INDEX('ei names mapping'!$B$104:$BK$133,MATCH(B460,'ei names mapping'!$A$4:$A$33,0),MATCH(G488,'ei names mapping'!$B$3:$BK$3,0))</f>
        <v>meter-year</v>
      </c>
      <c r="E488" s="12"/>
      <c r="F488" s="12" t="s">
        <v>91</v>
      </c>
      <c r="G488" t="s">
        <v>117</v>
      </c>
      <c r="H488" s="12" t="str">
        <f>INDEX('ei names mapping'!$B$71:$BK$100,MATCH(B460,'ei names mapping'!$A$4:$A$33,0),MATCH(G488,'ei names mapping'!$B$3:$BK$3,0))</f>
        <v>road maintenance</v>
      </c>
    </row>
    <row r="489" spans="1:8" x14ac:dyDescent="0.3">
      <c r="A489" s="12" t="str">
        <f>INDEX('ei names mapping'!$B$4:$R$33,MATCH(B460,'ei names mapping'!$A$4:$A$33,0),MATCH(G489,'ei names mapping'!$B$3:$R$3,0))</f>
        <v>maintenance, motor scooter</v>
      </c>
      <c r="B489" s="16">
        <f>INDEX('vehicles specifications'!$B$3:$CK$86,MATCH(B463,'vehicles specifications'!$A$3:$A$86,0),MATCH(G489,'vehicles specifications'!$B$2:$CK$2,0))*INDEX('ei names mapping'!$B$137:$BK$220,MATCH(B463,'ei names mapping'!$A$137:$A$220,0),MATCH(G489,'ei names mapping'!$B$136:$BK$136,0))</f>
        <v>1.9999999999999998E-5</v>
      </c>
      <c r="C489" s="12" t="str">
        <f>INDEX('ei names mapping'!$B$38:$BK$67,MATCH(B460,'ei names mapping'!$A$4:$A$33,0),MATCH(G489,'ei names mapping'!$B$3:$BK$3,0))</f>
        <v>CH</v>
      </c>
      <c r="D489" s="12" t="str">
        <f>INDEX('ei names mapping'!$B$104:$BK$133,MATCH(B460,'ei names mapping'!$A$4:$A$33,0),MATCH(G489,'ei names mapping'!$B$3:$BK$3,0))</f>
        <v>unit</v>
      </c>
      <c r="F489" s="12" t="s">
        <v>91</v>
      </c>
      <c r="G489" s="12" t="s">
        <v>123</v>
      </c>
      <c r="H489" s="12" t="str">
        <f>INDEX('ei names mapping'!$B$71:$BK$100,MATCH(B460,'ei names mapping'!$A$4:$A$33,0),MATCH(G489,'ei names mapping'!$B$3:$BK$3,0))</f>
        <v>maintenance, motor scooter</v>
      </c>
    </row>
    <row r="490" spans="1:8" x14ac:dyDescent="0.3">
      <c r="A490" s="12" t="str">
        <f>INDEX('ei names mapping'!$B$4:$R$33,MATCH(B460,'ei names mapping'!$A$4:$A$33,0),MATCH(G490,'ei names mapping'!$B$3:$R$3,0))</f>
        <v>market for petrol, low-sulfur</v>
      </c>
      <c r="B490" s="16">
        <f>INDEX('vehicles specifications'!$B$3:$CK$86,MATCH(B463,'vehicles specifications'!$A$3:$A$86,0),MATCH(G490,'vehicles specifications'!$B$2:$CK$2,0))*INDEX('ei names mapping'!$B$137:$BK$220,MATCH(B463,'ei names mapping'!$A$137:$A$220,0),MATCH(G490,'ei names mapping'!$B$136:$BK$136,0))</f>
        <v>4.5165488835423706E-2</v>
      </c>
      <c r="C490" s="12" t="str">
        <f>INDEX('ei names mapping'!$B$38:$BK$67,MATCH(B460,'ei names mapping'!$A$4:$A$33,0),MATCH(G490,'ei names mapping'!$B$3:$BK$3,0))</f>
        <v>CH</v>
      </c>
      <c r="D490" s="12" t="str">
        <f>INDEX('ei names mapping'!$B$104:$BK$133,MATCH(B460,'ei names mapping'!$A$4:$A$33,0),MATCH(G490,'ei names mapping'!$B$3:$BK$3,0))</f>
        <v>kilogram</v>
      </c>
      <c r="F490" s="12" t="s">
        <v>91</v>
      </c>
      <c r="G490" s="12" t="s">
        <v>27</v>
      </c>
      <c r="H490" s="12" t="str">
        <f>INDEX('ei names mapping'!$B$71:$BK$100,MATCH(B460,'ei names mapping'!$A$4:$A$33,0),MATCH(G490,'ei names mapping'!$B$3:$BK$3,0))</f>
        <v>petrol, low-sulfur</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0.1436262544966474</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7.2264782136677925E-7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1.459273693266061E-6</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2.0569291768525646E-5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1.5981599694916431E-4</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1.0825943036066128E-6</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1.0825943036066128E-6</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9.1119679228174102E-6</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2.7064857590165319E-6</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s="21" customFormat="1"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1.1767832777781926E-5</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s="21" customFormat="1"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8.2978308048462282E-7</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s="21" customFormat="1"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1.6907805715203913E-7</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s="21" customFormat="1"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1.3630292607333617E-6</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s="21" customFormat="1"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5.5925818904136034E-7</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s="21" customFormat="1"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4.1879334156120465E-7</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s="21" customFormat="1"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2.9653690023588408E-7</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s="21" customFormat="1"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1.9248886506539842E-7</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s="21" customFormat="1"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1.8988766418613624E-6</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s="21" customFormat="1"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9.9365873587813773E-7</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s="21" customFormat="1"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2.8613209671883554E-8</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s="21" customFormat="1"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2.8561185654298302E-6</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s="21" customFormat="1"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1.4124520774393426E-6</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s="21" customFormat="1"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5.878713987132438E-7</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s="21" customFormat="1"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4.4220414947456396E-7</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s="21" customFormat="1"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1.9509006594466054E-7</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s="21" customFormat="1"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5.7226419343767108E-8</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s="21" customFormat="1"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1.5867325363499058E-7</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s="21" customFormat="1"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s="21" customFormat="1"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4.9422816705980673E-8</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s="21" customFormat="1"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2.6272128880547621E-7</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s="21" customFormat="1"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6.6642582086444387E-8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s="21" customFormat="1"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5.7450501798658951E-10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s="21" customFormat="1"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3.8300334532439302E-10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s="21" customFormat="1"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4.136436129503445E-6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s="21" customFormat="1"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8.0430702518122528E-8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s="21" customFormat="1"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2.4895217446085546E-8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s="21" customFormat="1"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3.0640267625951449E-8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s="21" customFormat="1"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6.1280535251902888E-11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s="21" customFormat="1"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1.6660645521611097E-8</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s="21" customFormat="1"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2.0682180647517226E-8</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-7.3669999999999991E-6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-8.3499999999999997E-6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Motorbike, gasoline, &gt;35kW, EURO-5, 2040</v>
      </c>
    </row>
    <row r="536" spans="1:8" x14ac:dyDescent="0.3">
      <c r="A536" t="s">
        <v>73</v>
      </c>
      <c r="B536" t="s">
        <v>37</v>
      </c>
    </row>
    <row r="537" spans="1:8" x14ac:dyDescent="0.3">
      <c r="A537" t="s">
        <v>87</v>
      </c>
      <c r="B537" t="s">
        <v>705</v>
      </c>
    </row>
    <row r="538" spans="1:8" x14ac:dyDescent="0.3">
      <c r="A538" t="s">
        <v>88</v>
      </c>
      <c r="B538" s="12"/>
    </row>
    <row r="539" spans="1:8" x14ac:dyDescent="0.3">
      <c r="A539" t="s">
        <v>89</v>
      </c>
      <c r="B539" s="12">
        <v>2040</v>
      </c>
    </row>
    <row r="540" spans="1:8" x14ac:dyDescent="0.3">
      <c r="A540" t="s">
        <v>131</v>
      </c>
      <c r="B540" s="12" t="str">
        <f>B537&amp;" - "&amp;B539&amp;" - "&amp;B536</f>
        <v>Motorbike, gasoline, &gt;35kW, EURO-5 - 2040 - CH</v>
      </c>
    </row>
    <row r="541" spans="1:8" x14ac:dyDescent="0.3">
      <c r="A541" t="s">
        <v>74</v>
      </c>
      <c r="B541" s="12" t="str">
        <f>"transport, "&amp;B537</f>
        <v>transport, Motorbike, gasoline, &gt;35kW, EURO-5</v>
      </c>
    </row>
    <row r="542" spans="1:8" x14ac:dyDescent="0.3">
      <c r="A542" t="s">
        <v>75</v>
      </c>
      <c r="B542" t="s">
        <v>76</v>
      </c>
    </row>
    <row r="543" spans="1:8" x14ac:dyDescent="0.3">
      <c r="A543" t="s">
        <v>77</v>
      </c>
      <c r="B543" t="s">
        <v>172</v>
      </c>
    </row>
    <row r="544" spans="1:8" x14ac:dyDescent="0.3">
      <c r="A544" t="s">
        <v>79</v>
      </c>
      <c r="B544" t="s">
        <v>90</v>
      </c>
    </row>
    <row r="545" spans="1:2" x14ac:dyDescent="0.3">
      <c r="A545" t="s">
        <v>132</v>
      </c>
      <c r="B545">
        <f>INDEX('vehicles specifications'!$B$3:$CK$86,MATCH(B540,'vehicles specifications'!$A$3:$A$86,0),MATCH("Lifetime [km]",'vehicles specifications'!$B$2:$CK$2,0))</f>
        <v>62100</v>
      </c>
    </row>
    <row r="546" spans="1:2" x14ac:dyDescent="0.3">
      <c r="A546" t="s">
        <v>133</v>
      </c>
      <c r="B546">
        <f>INDEX('vehicles specifications'!$B$3:$CK$86,MATCH(B540,'vehicles specifications'!$A$3:$A$86,0),MATCH("Passengers [unit]",'vehicles specifications'!$B$2:$CK$2,0))</f>
        <v>1.1000000000000001</v>
      </c>
    </row>
    <row r="547" spans="1:2" x14ac:dyDescent="0.3">
      <c r="A547" t="s">
        <v>134</v>
      </c>
      <c r="B547">
        <f>INDEX('vehicles specifications'!$B$3:$CK$86,MATCH(B540,'vehicles specifications'!$A$3:$A$86,0),MATCH("Servicing [unit]",'vehicles specifications'!$B$2:$CK$2,0))</f>
        <v>1.242</v>
      </c>
    </row>
    <row r="548" spans="1:2" x14ac:dyDescent="0.3">
      <c r="A548" t="s">
        <v>135</v>
      </c>
      <c r="B548">
        <f>INDEX('vehicles specifications'!$B$3:$CK$86,MATCH(B540,'vehicles specifications'!$A$3:$A$86,0),MATCH("Energy battery replacement [unit]",'vehicles specifications'!$B$2:$CK$2,0))</f>
        <v>0</v>
      </c>
    </row>
    <row r="549" spans="1:2" x14ac:dyDescent="0.3">
      <c r="A549" t="s">
        <v>136</v>
      </c>
      <c r="B549">
        <f>INDEX('vehicles specifications'!$B$3:$CK$86,MATCH(B540,'vehicles specifications'!$A$3:$A$86,0),MATCH("Annual kilometers [km]",'vehicles specifications'!$B$2:$CK$2,0))</f>
        <v>4592</v>
      </c>
    </row>
    <row r="550" spans="1:2" x14ac:dyDescent="0.3">
      <c r="A550" t="s">
        <v>137</v>
      </c>
      <c r="B550" s="2">
        <f>INDEX('vehicles specifications'!$B$3:$CK$86,MATCH(B540,'vehicles specifications'!$A$3:$A$86,0),MATCH("Curb mass [kg]",'vehicles specifications'!$B$2:$CK$2,0))</f>
        <v>250.97499999999999</v>
      </c>
    </row>
    <row r="551" spans="1:2" x14ac:dyDescent="0.3">
      <c r="A551" t="s">
        <v>138</v>
      </c>
      <c r="B551">
        <f>INDEX('vehicles specifications'!$B$3:$CK$86,MATCH(B540,'vehicles specifications'!$A$3:$A$86,0),MATCH("Power [kW]",'vehicles specifications'!$B$2:$CK$2,0))</f>
        <v>91</v>
      </c>
    </row>
    <row r="552" spans="1:2" x14ac:dyDescent="0.3">
      <c r="A552" t="s">
        <v>139</v>
      </c>
      <c r="B552">
        <f>INDEX('vehicles specifications'!$B$3:$CK$86,MATCH(B540,'vehicles specifications'!$A$3:$A$86,0),MATCH("Energy battery mass [kg]",'vehicles specifications'!$B$2:$CK$2,0))</f>
        <v>0</v>
      </c>
    </row>
    <row r="553" spans="1:2" x14ac:dyDescent="0.3">
      <c r="A553" t="s">
        <v>140</v>
      </c>
      <c r="B553">
        <f>INDEX('vehicles specifications'!$B$3:$CK$86,MATCH(B540,'vehicles specifications'!$A$3:$A$86,0),MATCH("Electric energy available [kWh]",'vehicles specifications'!$B$2:$CK$2,0))</f>
        <v>0</v>
      </c>
    </row>
    <row r="554" spans="1:2" x14ac:dyDescent="0.3">
      <c r="A554" t="s">
        <v>143</v>
      </c>
      <c r="B554" s="2">
        <f>INDEX('vehicles specifications'!$B$3:$CK$86,MATCH(B540,'vehicles specifications'!$A$3:$A$86,0),MATCH("Oxydation energy stored [kWh]",'vehicles specifications'!$B$2:$CK$2,0))</f>
        <v>159</v>
      </c>
    </row>
    <row r="555" spans="1:2" x14ac:dyDescent="0.3">
      <c r="A555" t="s">
        <v>145</v>
      </c>
      <c r="B555">
        <f>INDEX('vehicles specifications'!$B$3:$CK$86,MATCH(B540,'vehicles specifications'!$A$3:$A$86,0),MATCH("Fuel mass [kg]",'vehicles specifications'!$B$2:$CK$2,0))</f>
        <v>13.5</v>
      </c>
    </row>
    <row r="556" spans="1:2" x14ac:dyDescent="0.3">
      <c r="A556" t="s">
        <v>141</v>
      </c>
      <c r="B556" s="2">
        <f>INDEX('vehicles specifications'!$B$3:$CK$86,MATCH(B540,'vehicles specifications'!$A$3:$A$86,0),MATCH("Range [km]",'vehicles specifications'!$B$2:$CK$2,0))</f>
        <v>301.91998333179805</v>
      </c>
    </row>
    <row r="557" spans="1:2" x14ac:dyDescent="0.3">
      <c r="A557" t="s">
        <v>142</v>
      </c>
      <c r="B557" t="str">
        <f>INDEX('vehicles specifications'!$B$3:$CK$86,MATCH(B540,'vehicles specifications'!$A$3:$A$86,0),MATCH("Emission standard",'vehicles specifications'!$B$2:$CK$2,0))</f>
        <v>EURO-5</v>
      </c>
    </row>
    <row r="558" spans="1:2" x14ac:dyDescent="0.3">
      <c r="A558" t="s">
        <v>144</v>
      </c>
      <c r="B558" s="6">
        <f>INDEX('vehicles specifications'!$B$3:$CK$86,MATCH(B540,'vehicles specifications'!$A$3:$A$86,0),MATCH("Lightweighting rate [%]",'vehicles specifications'!$B$2:$CK$2,0))</f>
        <v>0.05</v>
      </c>
    </row>
    <row r="559" spans="1:2" x14ac:dyDescent="0.3">
      <c r="A559"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91 kW. Lifetime: 62100 km. Annual kilometers: 4592 km. Number of passengers: 1.1. Curb mass: 251 kg. Lightweighting of glider: 5%. Emission standard: EURO-5. Service visits throughout lifetime: 1.2. Range: 302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t="s">
        <v>81</v>
      </c>
      <c r="B561" t="s">
        <v>82</v>
      </c>
      <c r="C561" t="s">
        <v>73</v>
      </c>
      <c r="D561" t="s">
        <v>77</v>
      </c>
      <c r="E561" t="s">
        <v>83</v>
      </c>
      <c r="F561" t="s">
        <v>75</v>
      </c>
      <c r="G561" t="s">
        <v>84</v>
      </c>
      <c r="H561" t="s">
        <v>74</v>
      </c>
    </row>
    <row r="562" spans="1:8" x14ac:dyDescent="0.3">
      <c r="A562" s="12" t="str">
        <f>B535</f>
        <v>transport, Motorbike, gasoline, &gt;35kW, EURO-5, 2040</v>
      </c>
      <c r="B562" s="12">
        <v>1</v>
      </c>
      <c r="C562" s="12" t="str">
        <f>B536</f>
        <v>CH</v>
      </c>
      <c r="D562" s="12" t="s">
        <v>172</v>
      </c>
      <c r="E562" s="12"/>
      <c r="F562" s="12" t="s">
        <v>85</v>
      </c>
      <c r="G562" s="12" t="s">
        <v>86</v>
      </c>
      <c r="H562" s="12" t="str">
        <f>B541</f>
        <v>transport, Motorbike, gasoline, &gt;35kW, EURO-5</v>
      </c>
    </row>
    <row r="563" spans="1:8" x14ac:dyDescent="0.3">
      <c r="A563" s="12" t="str">
        <f>RIGHT(A562,LEN(A562)-11)</f>
        <v>Motorbike, gasoline, &gt;35kW, EURO-5, 2040</v>
      </c>
      <c r="B563" s="12">
        <f>1/B545</f>
        <v>1.6103059581320449E-5</v>
      </c>
      <c r="C563" s="12" t="str">
        <f>B536</f>
        <v>CH</v>
      </c>
      <c r="D563" s="12" t="s">
        <v>77</v>
      </c>
      <c r="E563" s="12"/>
      <c r="F563" s="12" t="s">
        <v>91</v>
      </c>
      <c r="G563" s="12"/>
      <c r="H563" s="12" t="str">
        <f>RIGHT(H562,LEN(H562)-11)</f>
        <v>Motorbike, gasoline, &gt;35kW, EURO-5</v>
      </c>
    </row>
    <row r="564" spans="1:8" s="21" customFormat="1"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1.7934457500000002E-4</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road maintenance</v>
      </c>
      <c r="B565" s="16">
        <f>INDEX('vehicles specifications'!$B$3:$CK$86,MATCH(B540,'vehicles specifications'!$A$3:$A$86,0),MATCH(G565,'vehicles specifications'!$B$2:$CK$2,0))*INDEX('ei names mapping'!$B$137:$BK$220,MATCH(B540,'ei names mapping'!$A$137:$A$220,0),MATCH(G565,'ei names mapping'!$B$136:$BK$136,0))</f>
        <v>1.2899999999999999E-3</v>
      </c>
      <c r="C565" s="12" t="str">
        <f>INDEX('ei names mapping'!$B$38:$R$67,MATCH(B537,'ei names mapping'!$A$4:$A$33,0),MATCH(G565,'ei names mapping'!$B$3:$R$3,0))</f>
        <v>CH</v>
      </c>
      <c r="D565" s="12" t="str">
        <f>INDEX('ei names mapping'!$B$104:$BK$133,MATCH(B537,'ei names mapping'!$A$4:$A$33,0),MATCH(G565,'ei names mapping'!$B$3:$BK$3,0))</f>
        <v>meter-year</v>
      </c>
      <c r="E565" s="12"/>
      <c r="F565" s="12" t="s">
        <v>91</v>
      </c>
      <c r="G565" t="s">
        <v>117</v>
      </c>
      <c r="H565" s="12" t="str">
        <f>INDEX('ei names mapping'!$B$71:$BK$100,MATCH(B537,'ei names mapping'!$A$4:$A$33,0),MATCH(G565,'ei names mapping'!$B$3:$BK$3,0))</f>
        <v>road maintenance</v>
      </c>
    </row>
    <row r="566" spans="1:8" x14ac:dyDescent="0.3">
      <c r="A566" s="12" t="str">
        <f>INDEX('ei names mapping'!$B$4:$R$33,MATCH(B537,'ei names mapping'!$A$4:$A$33,0),MATCH(G566,'ei names mapping'!$B$3:$R$3,0))</f>
        <v>maintenance, motor scooter</v>
      </c>
      <c r="B566" s="16">
        <f>INDEX('vehicles specifications'!$B$3:$CK$86,MATCH(B540,'vehicles specifications'!$A$3:$A$86,0),MATCH(G566,'vehicles specifications'!$B$2:$CK$2,0))*INDEX('ei names mapping'!$B$137:$BK$220,MATCH(B540,'ei names mapping'!$A$137:$A$220,0),MATCH(G566,'ei names mapping'!$B$136:$BK$136,0))</f>
        <v>1.9999999999999998E-5</v>
      </c>
      <c r="C566" s="12" t="str">
        <f>INDEX('ei names mapping'!$B$38:$BK$67,MATCH(B537,'ei names mapping'!$A$4:$A$33,0),MATCH(G566,'ei names mapping'!$B$3:$BK$3,0))</f>
        <v>CH</v>
      </c>
      <c r="D566" s="12" t="str">
        <f>INDEX('ei names mapping'!$B$104:$BK$133,MATCH(B537,'ei names mapping'!$A$4:$A$33,0),MATCH(G566,'ei names mapping'!$B$3:$BK$3,0))</f>
        <v>unit</v>
      </c>
      <c r="F566" s="12" t="s">
        <v>91</v>
      </c>
      <c r="G566" s="12" t="s">
        <v>123</v>
      </c>
      <c r="H566" s="12" t="str">
        <f>INDEX('ei names mapping'!$B$71:$BK$100,MATCH(B537,'ei names mapping'!$A$4:$A$33,0),MATCH(G566,'ei names mapping'!$B$3:$BK$3,0))</f>
        <v>maintenance, motor scooter</v>
      </c>
    </row>
    <row r="567" spans="1:8" x14ac:dyDescent="0.3">
      <c r="A567" s="12" t="str">
        <f>INDEX('ei names mapping'!$B$4:$R$33,MATCH(B537,'ei names mapping'!$A$4:$A$33,0),MATCH(G567,'ei names mapping'!$B$3:$R$3,0))</f>
        <v>market for petrol, low-sulfur</v>
      </c>
      <c r="B567" s="16">
        <f>INDEX('vehicles specifications'!$B$3:$CK$86,MATCH(B540,'vehicles specifications'!$A$3:$A$86,0),MATCH(G567,'vehicles specifications'!$B$2:$CK$2,0))*INDEX('ei names mapping'!$B$137:$BK$220,MATCH(B540,'ei names mapping'!$A$137:$A$220,0),MATCH(G567,'ei names mapping'!$B$136:$BK$136,0))</f>
        <v>4.4713833947069466E-2</v>
      </c>
      <c r="C567" s="12" t="str">
        <f>INDEX('ei names mapping'!$B$38:$BK$67,MATCH(B537,'ei names mapping'!$A$4:$A$33,0),MATCH(G567,'ei names mapping'!$B$3:$BK$3,0))</f>
        <v>CH</v>
      </c>
      <c r="D567" s="12" t="str">
        <f>INDEX('ei names mapping'!$B$104:$BK$133,MATCH(B537,'ei names mapping'!$A$4:$A$33,0),MATCH(G567,'ei names mapping'!$B$3:$BK$3,0))</f>
        <v>kilogram</v>
      </c>
      <c r="F567" s="12" t="s">
        <v>91</v>
      </c>
      <c r="G567" s="12" t="s">
        <v>27</v>
      </c>
      <c r="H567" s="12" t="str">
        <f>INDEX('ei names mapping'!$B$71:$BK$100,MATCH(B537,'ei names mapping'!$A$4:$A$33,0),MATCH(G567,'ei names mapping'!$B$3:$BK$3,0))</f>
        <v>petrol, low-sulfur</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0.14218999195168092</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7.1542134315311146E-7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1.4446809563334003E-6</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2.0363598850840388E-5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1.5821783697967266E-4</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1.0717683605705466E-6</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1.0717683605705466E-6</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9.0208482435892366E-6</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2.6794209014263668E-6</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s="21" customFormat="1"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1.1650154450004105E-5</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s="21" customFormat="1"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8.2148524967977661E-7</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s="21" customFormat="1"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1.6738727658051873E-7</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s="21" customFormat="1"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1.3493989681260279E-6</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s="21" customFormat="1"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5.5366560715094662E-7</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s="21" customFormat="1"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4.1460540814559257E-7</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s="21" customFormat="1"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2.9357153123352523E-7</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s="21" customFormat="1"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1.9056397641474442E-7</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s="21" customFormat="1"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1.8798878754427487E-6</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s="21" customFormat="1"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9.8372214851935643E-7</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s="21" customFormat="1"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2.8327077575164717E-8</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s="21" customFormat="1"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2.8275573797755318E-6</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s="21" customFormat="1"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1.3983275566649491E-6</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s="21" customFormat="1"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5.819926847261114E-7</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s="21" customFormat="1"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4.3778210797981829E-7</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s="21" customFormat="1"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1.9313916528521392E-7</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s="21" customFormat="1"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5.6654155150329434E-8</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s="21" customFormat="1"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1.5708652109864066E-7</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s="21" customFormat="1"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s="21" customFormat="1"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4.8928588538920863E-8</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s="21" customFormat="1"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2.6009407591742145E-7</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s="21" customFormat="1"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6.5976156265579933E-8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s="21" customFormat="1"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5.6875996780672355E-10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s="21" customFormat="1"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3.7917331187114909E-10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s="21" customFormat="1"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4.09507176820841E-6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s="21" customFormat="1"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7.9626395492941297E-8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s="21" customFormat="1"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2.4646265271624692E-8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s="21" customFormat="1"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3.0333864949691933E-8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s="21" customFormat="1"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6.0667729899383848E-11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s="21" customFormat="1"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1.6494039066394983E-8</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s="21" customFormat="1"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2.047535884104205E-8</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-7.3669999999999991E-6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-8.3499999999999997E-6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Motorbike, gasoline, &gt;35kW, EURO-5, 2050</v>
      </c>
    </row>
    <row r="613" spans="1:8" x14ac:dyDescent="0.3">
      <c r="A613" t="s">
        <v>73</v>
      </c>
      <c r="B613" t="s">
        <v>37</v>
      </c>
    </row>
    <row r="614" spans="1:8" x14ac:dyDescent="0.3">
      <c r="A614" t="s">
        <v>87</v>
      </c>
      <c r="B614" t="s">
        <v>705</v>
      </c>
    </row>
    <row r="615" spans="1:8" x14ac:dyDescent="0.3">
      <c r="A615" t="s">
        <v>88</v>
      </c>
      <c r="B615" s="12"/>
    </row>
    <row r="616" spans="1:8" x14ac:dyDescent="0.3">
      <c r="A616" t="s">
        <v>89</v>
      </c>
      <c r="B616" s="12">
        <v>2050</v>
      </c>
    </row>
    <row r="617" spans="1:8" x14ac:dyDescent="0.3">
      <c r="A617" t="s">
        <v>131</v>
      </c>
      <c r="B617" s="12" t="str">
        <f>B614&amp;" - "&amp;B616&amp;" - "&amp;B613</f>
        <v>Motorbike, gasoline, &gt;35kW, EURO-5 - 2050 - CH</v>
      </c>
    </row>
    <row r="618" spans="1:8" x14ac:dyDescent="0.3">
      <c r="A618" t="s">
        <v>74</v>
      </c>
      <c r="B618" s="12" t="str">
        <f>"transport, "&amp;B614</f>
        <v>transport, Motorbike, gasoline, &gt;35kW, EURO-5</v>
      </c>
    </row>
    <row r="619" spans="1:8" x14ac:dyDescent="0.3">
      <c r="A619" t="s">
        <v>75</v>
      </c>
      <c r="B619" t="s">
        <v>76</v>
      </c>
    </row>
    <row r="620" spans="1:8" x14ac:dyDescent="0.3">
      <c r="A620" t="s">
        <v>77</v>
      </c>
      <c r="B620" t="s">
        <v>172</v>
      </c>
    </row>
    <row r="621" spans="1:8" x14ac:dyDescent="0.3">
      <c r="A621" t="s">
        <v>79</v>
      </c>
      <c r="B621" t="s">
        <v>90</v>
      </c>
    </row>
    <row r="622" spans="1:8" x14ac:dyDescent="0.3">
      <c r="A622" t="s">
        <v>132</v>
      </c>
      <c r="B622">
        <f>INDEX('vehicles specifications'!$B$3:$CK$86,MATCH(B617,'vehicles specifications'!$A$3:$A$86,0),MATCH("Lifetime [km]",'vehicles specifications'!$B$2:$CK$2,0))</f>
        <v>62100</v>
      </c>
    </row>
    <row r="623" spans="1:8" x14ac:dyDescent="0.3">
      <c r="A623" t="s">
        <v>133</v>
      </c>
      <c r="B623">
        <f>INDEX('vehicles specifications'!$B$3:$CK$86,MATCH(B617,'vehicles specifications'!$A$3:$A$86,0),MATCH("Passengers [unit]",'vehicles specifications'!$B$2:$CK$2,0))</f>
        <v>1.1000000000000001</v>
      </c>
    </row>
    <row r="624" spans="1:8" x14ac:dyDescent="0.3">
      <c r="A624" t="s">
        <v>134</v>
      </c>
      <c r="B624">
        <f>INDEX('vehicles specifications'!$B$3:$CK$86,MATCH(B617,'vehicles specifications'!$A$3:$A$86,0),MATCH("Servicing [unit]",'vehicles specifications'!$B$2:$CK$2,0))</f>
        <v>1.242</v>
      </c>
    </row>
    <row r="625" spans="1:8" x14ac:dyDescent="0.3">
      <c r="A625" t="s">
        <v>135</v>
      </c>
      <c r="B625">
        <f>INDEX('vehicles specifications'!$B$3:$CK$86,MATCH(B617,'vehicles specifications'!$A$3:$A$86,0),MATCH("Energy battery replacement [unit]",'vehicles specifications'!$B$2:$CK$2,0))</f>
        <v>0</v>
      </c>
    </row>
    <row r="626" spans="1:8" x14ac:dyDescent="0.3">
      <c r="A626" t="s">
        <v>136</v>
      </c>
      <c r="B626">
        <f>INDEX('vehicles specifications'!$B$3:$CK$86,MATCH(B617,'vehicles specifications'!$A$3:$A$86,0),MATCH("Annual kilometers [km]",'vehicles specifications'!$B$2:$CK$2,0))</f>
        <v>4592</v>
      </c>
    </row>
    <row r="627" spans="1:8" x14ac:dyDescent="0.3">
      <c r="A627" t="s">
        <v>137</v>
      </c>
      <c r="B627" s="2">
        <f>INDEX('vehicles specifications'!$B$3:$CK$86,MATCH(B617,'vehicles specifications'!$A$3:$A$86,0),MATCH("Curb mass [kg]",'vehicles specifications'!$B$2:$CK$2,0))</f>
        <v>248.755</v>
      </c>
    </row>
    <row r="628" spans="1:8" x14ac:dyDescent="0.3">
      <c r="A628" t="s">
        <v>138</v>
      </c>
      <c r="B628">
        <f>INDEX('vehicles specifications'!$B$3:$CK$86,MATCH(B617,'vehicles specifications'!$A$3:$A$86,0),MATCH("Power [kW]",'vehicles specifications'!$B$2:$CK$2,0))</f>
        <v>91</v>
      </c>
    </row>
    <row r="629" spans="1:8" x14ac:dyDescent="0.3">
      <c r="A629" t="s">
        <v>139</v>
      </c>
      <c r="B629">
        <f>INDEX('vehicles specifications'!$B$3:$CK$86,MATCH(B617,'vehicles specifications'!$A$3:$A$86,0),MATCH("Energy battery mass [kg]",'vehicles specifications'!$B$2:$CK$2,0))</f>
        <v>0</v>
      </c>
    </row>
    <row r="630" spans="1:8" x14ac:dyDescent="0.3">
      <c r="A630" t="s">
        <v>140</v>
      </c>
      <c r="B630">
        <f>INDEX('vehicles specifications'!$B$3:$CK$86,MATCH(B617,'vehicles specifications'!$A$3:$A$86,0),MATCH("Electric energy available [kWh]",'vehicles specifications'!$B$2:$CK$2,0))</f>
        <v>0</v>
      </c>
    </row>
    <row r="631" spans="1:8" x14ac:dyDescent="0.3">
      <c r="A631" t="s">
        <v>143</v>
      </c>
      <c r="B631" s="2">
        <f>INDEX('vehicles specifications'!$B$3:$CK$86,MATCH(B617,'vehicles specifications'!$A$3:$A$86,0),MATCH("Oxydation energy stored [kWh]",'vehicles specifications'!$B$2:$CK$2,0))</f>
        <v>159</v>
      </c>
    </row>
    <row r="632" spans="1:8" x14ac:dyDescent="0.3">
      <c r="A632" t="s">
        <v>145</v>
      </c>
      <c r="B632">
        <f>INDEX('vehicles specifications'!$B$3:$CK$86,MATCH(B617,'vehicles specifications'!$A$3:$A$86,0),MATCH("Fuel mass [kg]",'vehicles specifications'!$B$2:$CK$2,0))</f>
        <v>13.5</v>
      </c>
    </row>
    <row r="633" spans="1:8" x14ac:dyDescent="0.3">
      <c r="A633" t="s">
        <v>141</v>
      </c>
      <c r="B633" s="2">
        <f>INDEX('vehicles specifications'!$B$3:$CK$86,MATCH(B617,'vehicles specifications'!$A$3:$A$86,0),MATCH("Range [km]",'vehicles specifications'!$B$2:$CK$2,0))</f>
        <v>304.96968013312937</v>
      </c>
    </row>
    <row r="634" spans="1:8" x14ac:dyDescent="0.3">
      <c r="A634" t="s">
        <v>142</v>
      </c>
      <c r="B634" t="str">
        <f>INDEX('vehicles specifications'!$B$3:$CK$86,MATCH(B617,'vehicles specifications'!$A$3:$A$86,0),MATCH("Emission standard",'vehicles specifications'!$B$2:$CK$2,0))</f>
        <v>EURO-5</v>
      </c>
    </row>
    <row r="635" spans="1:8" x14ac:dyDescent="0.3">
      <c r="A635" t="s">
        <v>144</v>
      </c>
      <c r="B635" s="6">
        <f>INDEX('vehicles specifications'!$B$3:$CK$86,MATCH(B617,'vehicles specifications'!$A$3:$A$86,0),MATCH("Lightweighting rate [%]",'vehicles specifications'!$B$2:$CK$2,0))</f>
        <v>7.0000000000000007E-2</v>
      </c>
    </row>
    <row r="636" spans="1:8" x14ac:dyDescent="0.3">
      <c r="A636"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91 kW. Lifetime: 62100 km. Annual kilometers: 4592 km. Number of passengers: 1.1. Curb mass: 248.8 kg. Lightweighting of glider: 7%. Emission standard: EURO-5. Service visits throughout lifetime: 1.2. Range: 305 km. Battery capacity: 0 kWh. Battery mass: 0 kg. Battery replacement throughout lifetime: 0. Fuel tank capacity: 159 kWh. Fuel mass: 13.5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t="s">
        <v>81</v>
      </c>
      <c r="B638" t="s">
        <v>82</v>
      </c>
      <c r="C638" t="s">
        <v>73</v>
      </c>
      <c r="D638" t="s">
        <v>77</v>
      </c>
      <c r="E638" t="s">
        <v>83</v>
      </c>
      <c r="F638" t="s">
        <v>75</v>
      </c>
      <c r="G638" t="s">
        <v>84</v>
      </c>
      <c r="H638" t="s">
        <v>74</v>
      </c>
    </row>
    <row r="639" spans="1:8" x14ac:dyDescent="0.3">
      <c r="A639" s="12" t="str">
        <f>B612</f>
        <v>transport, Motorbike, gasoline, &gt;35kW, EURO-5, 2050</v>
      </c>
      <c r="B639" s="12">
        <v>1</v>
      </c>
      <c r="C639" s="12" t="str">
        <f>B613</f>
        <v>CH</v>
      </c>
      <c r="D639" s="12" t="s">
        <v>172</v>
      </c>
      <c r="E639" s="12"/>
      <c r="F639" s="12" t="s">
        <v>85</v>
      </c>
      <c r="G639" s="12" t="s">
        <v>86</v>
      </c>
      <c r="H639" s="12" t="str">
        <f>B618</f>
        <v>transport, Motorbike, gasoline, &gt;35kW, EURO-5</v>
      </c>
    </row>
    <row r="640" spans="1:8" x14ac:dyDescent="0.3">
      <c r="A640" s="12" t="str">
        <f>RIGHT(A639,LEN(A639)-11)</f>
        <v>Motorbike, gasoline, &gt;35kW, EURO-5, 2050</v>
      </c>
      <c r="B640" s="12">
        <f>1/B622</f>
        <v>1.6103059581320449E-5</v>
      </c>
      <c r="C640" s="12" t="str">
        <f>B613</f>
        <v>CH</v>
      </c>
      <c r="D640" s="12" t="s">
        <v>77</v>
      </c>
      <c r="E640" s="12"/>
      <c r="F640" s="12" t="s">
        <v>91</v>
      </c>
      <c r="G640" s="12"/>
      <c r="H640" s="12" t="str">
        <f>RIGHT(H639,LEN(H639)-11)</f>
        <v>Motorbike, gasoline, &gt;35kW, EURO-5</v>
      </c>
    </row>
    <row r="641" spans="1:8" s="21" customFormat="1"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1.7815243499999999E-4</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road maintenance</v>
      </c>
      <c r="B642" s="16">
        <f>INDEX('vehicles specifications'!$B$3:$CK$86,MATCH(B617,'vehicles specifications'!$A$3:$A$86,0),MATCH(G642,'vehicles specifications'!$B$2:$CK$2,0))*INDEX('ei names mapping'!$B$137:$BK$220,MATCH(B617,'ei names mapping'!$A$137:$A$220,0),MATCH(G642,'ei names mapping'!$B$136:$BK$136,0))</f>
        <v>1.2899999999999999E-3</v>
      </c>
      <c r="C642" s="12" t="str">
        <f>INDEX('ei names mapping'!$B$38:$R$67,MATCH(B614,'ei names mapping'!$A$4:$A$33,0),MATCH(G642,'ei names mapping'!$B$3:$R$3,0))</f>
        <v>CH</v>
      </c>
      <c r="D642" s="12" t="str">
        <f>INDEX('ei names mapping'!$B$104:$BK$133,MATCH(B614,'ei names mapping'!$A$4:$A$33,0),MATCH(G642,'ei names mapping'!$B$3:$BK$3,0))</f>
        <v>meter-year</v>
      </c>
      <c r="E642" s="12"/>
      <c r="F642" s="12" t="s">
        <v>91</v>
      </c>
      <c r="G642" t="s">
        <v>117</v>
      </c>
      <c r="H642" s="12" t="str">
        <f>INDEX('ei names mapping'!$B$71:$BK$100,MATCH(B614,'ei names mapping'!$A$4:$A$33,0),MATCH(G642,'ei names mapping'!$B$3:$BK$3,0))</f>
        <v>road maintenance</v>
      </c>
    </row>
    <row r="643" spans="1:8" x14ac:dyDescent="0.3">
      <c r="A643" s="12" t="str">
        <f>INDEX('ei names mapping'!$B$4:$R$33,MATCH(B614,'ei names mapping'!$A$4:$A$33,0),MATCH(G643,'ei names mapping'!$B$3:$R$3,0))</f>
        <v>maintenance, motor scooter</v>
      </c>
      <c r="B643" s="16">
        <f>INDEX('vehicles specifications'!$B$3:$CK$86,MATCH(B617,'vehicles specifications'!$A$3:$A$86,0),MATCH(G643,'vehicles specifications'!$B$2:$CK$2,0))*INDEX('ei names mapping'!$B$137:$BK$220,MATCH(B617,'ei names mapping'!$A$137:$A$220,0),MATCH(G643,'ei names mapping'!$B$136:$BK$136,0))</f>
        <v>1.9999999999999998E-5</v>
      </c>
      <c r="C643" s="12" t="str">
        <f>INDEX('ei names mapping'!$B$38:$BK$67,MATCH(B614,'ei names mapping'!$A$4:$A$33,0),MATCH(G643,'ei names mapping'!$B$3:$BK$3,0))</f>
        <v>CH</v>
      </c>
      <c r="D643" s="12" t="str">
        <f>INDEX('ei names mapping'!$B$104:$BK$133,MATCH(B614,'ei names mapping'!$A$4:$A$33,0),MATCH(G643,'ei names mapping'!$B$3:$BK$3,0))</f>
        <v>unit</v>
      </c>
      <c r="F643" s="12" t="s">
        <v>91</v>
      </c>
      <c r="G643" s="12" t="s">
        <v>123</v>
      </c>
      <c r="H643" s="12" t="str">
        <f>INDEX('ei names mapping'!$B$71:$BK$100,MATCH(B614,'ei names mapping'!$A$4:$A$33,0),MATCH(G643,'ei names mapping'!$B$3:$BK$3,0))</f>
        <v>maintenance, motor scooter</v>
      </c>
    </row>
    <row r="644" spans="1:8" x14ac:dyDescent="0.3">
      <c r="A644" s="12" t="str">
        <f>INDEX('ei names mapping'!$B$4:$R$33,MATCH(B614,'ei names mapping'!$A$4:$A$33,0),MATCH(G644,'ei names mapping'!$B$3:$R$3,0))</f>
        <v>market for petrol, low-sulfur</v>
      </c>
      <c r="B644" s="16">
        <f>INDEX('vehicles specifications'!$B$3:$CK$86,MATCH(B617,'vehicles specifications'!$A$3:$A$86,0),MATCH(G644,'vehicles specifications'!$B$2:$CK$2,0))*INDEX('ei names mapping'!$B$137:$BK$220,MATCH(B617,'ei names mapping'!$A$137:$A$220,0),MATCH(G644,'ei names mapping'!$B$136:$BK$136,0))</f>
        <v>4.4266695607598772E-2</v>
      </c>
      <c r="C644" s="12" t="str">
        <f>INDEX('ei names mapping'!$B$38:$BK$67,MATCH(B614,'ei names mapping'!$A$4:$A$33,0),MATCH(G644,'ei names mapping'!$B$3:$BK$3,0))</f>
        <v>CH</v>
      </c>
      <c r="D644" s="12" t="str">
        <f>INDEX('ei names mapping'!$B$104:$BK$133,MATCH(B614,'ei names mapping'!$A$4:$A$33,0),MATCH(G644,'ei names mapping'!$B$3:$BK$3,0))</f>
        <v>kilogram</v>
      </c>
      <c r="F644" s="12" t="s">
        <v>91</v>
      </c>
      <c r="G644" s="12" t="s">
        <v>27</v>
      </c>
      <c r="H644" s="12" t="str">
        <f>INDEX('ei names mapping'!$B$71:$BK$100,MATCH(B614,'ei names mapping'!$A$4:$A$33,0),MATCH(G644,'ei names mapping'!$B$3:$BK$3,0))</f>
        <v>petrol, low-sulfur</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0.14076809203216409</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7.0826712972158032E-7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1.4302341467700663E-6</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2.0159962862331985E-5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1.5663565860987594E-4</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1.0610506769648412E-6</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1.0610506769648412E-6</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8.9306397611533445E-6</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2.6526266924121032E-6</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s="21" customFormat="1"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1.1533652905504065E-5</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s="21" customFormat="1"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8.132703971829788E-7</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s="21" customFormat="1"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1.6571340381471356E-7</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s="21" customFormat="1"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1.3359049784447677E-6</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s="21" customFormat="1"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5.4812895107943716E-7</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s="21" customFormat="1"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4.1045935406413667E-7</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s="21" customFormat="1"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2.9063581592118997E-7</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s="21" customFormat="1"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1.8865833665059698E-7</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s="21" customFormat="1"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1.8610889966883214E-6</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s="21" customFormat="1"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9.7388492703416292E-7</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s="21" customFormat="1"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2.804380679941307E-8</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s="21" customFormat="1"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2.7992818059777767E-6</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s="21" customFormat="1"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1.3843442810982995E-6</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s="21" customFormat="1"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5.761727578788502E-7</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s="21" customFormat="1"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4.3340428690002014E-7</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s="21" customFormat="1"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1.9120777363236179E-7</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s="21" customFormat="1"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5.608761359882614E-8</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s="21" customFormat="1"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1.5551565588765426E-7</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s="21" customFormat="1"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s="21" customFormat="1"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4.843930265353165E-8</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s="21" customFormat="1"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2.5749313515824725E-7</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s="21" customFormat="1"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6.5316394702924136E-8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s="21" customFormat="1"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5.6307236812865639E-10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s="21" customFormat="1"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3.7538157875243757E-10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s="21" customFormat="1"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4.0541210505263257E-6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s="21" customFormat="1"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7.8830131538011886E-8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s="21" customFormat="1"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2.4399802618908446E-8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s="21" customFormat="1"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3.0030526300195015E-8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s="21" customFormat="1"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6.0061052600390007E-11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s="21" customFormat="1"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1.6329098675731034E-8</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s="21" customFormat="1"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2.027060525263163E-8</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-7.3669999999999991E-6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-8.3499999999999997E-6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workbookViewId="0">
      <selection activeCell="B16" sqref="B16"/>
    </sheetView>
  </sheetViews>
  <sheetFormatPr defaultRowHeight="14.4" x14ac:dyDescent="0.3"/>
  <cols>
    <col min="1" max="1" width="48.21875" style="21" bestFit="1" customWidth="1"/>
    <col min="2" max="2" width="15.6640625" style="21" bestFit="1" customWidth="1"/>
    <col min="3" max="6" width="8.88671875" style="21"/>
    <col min="7" max="7" width="32" style="21" bestFit="1" customWidth="1"/>
    <col min="8" max="16384" width="8.88671875" style="21"/>
  </cols>
  <sheetData>
    <row r="1" spans="1:2" ht="15.6" x14ac:dyDescent="0.3">
      <c r="A1" s="11" t="s">
        <v>72</v>
      </c>
      <c r="B1" s="9" t="str">
        <f>B3&amp;", "&amp;B5</f>
        <v>Scooter, gasoline, &lt;4kW, EURO-3, 2006</v>
      </c>
    </row>
    <row r="2" spans="1:2" x14ac:dyDescent="0.3">
      <c r="A2" s="21" t="s">
        <v>73</v>
      </c>
      <c r="B2" s="21" t="s">
        <v>37</v>
      </c>
    </row>
    <row r="3" spans="1:2" x14ac:dyDescent="0.3">
      <c r="A3" s="21" t="s">
        <v>87</v>
      </c>
      <c r="B3" s="21" t="s">
        <v>675</v>
      </c>
    </row>
    <row r="4" spans="1:2" x14ac:dyDescent="0.3">
      <c r="A4" s="21" t="s">
        <v>88</v>
      </c>
      <c r="B4" s="12"/>
    </row>
    <row r="5" spans="1:2" x14ac:dyDescent="0.3">
      <c r="A5" s="21" t="s">
        <v>89</v>
      </c>
      <c r="B5" s="12">
        <v>2006</v>
      </c>
    </row>
    <row r="6" spans="1:2" x14ac:dyDescent="0.3">
      <c r="A6" s="21" t="s">
        <v>131</v>
      </c>
      <c r="B6" s="12" t="str">
        <f>B3&amp;" - "&amp;B5&amp;" - "&amp;B2</f>
        <v>Scooter, gasoline, &lt;4kW, EURO-3 - 2006 - CH</v>
      </c>
    </row>
    <row r="7" spans="1:2" x14ac:dyDescent="0.3">
      <c r="A7" s="21" t="s">
        <v>74</v>
      </c>
      <c r="B7" s="21" t="str">
        <f>B3</f>
        <v>Scooter, gasoline, &lt;4kW, EURO-3</v>
      </c>
    </row>
    <row r="8" spans="1:2" x14ac:dyDescent="0.3">
      <c r="A8" s="21" t="s">
        <v>75</v>
      </c>
      <c r="B8" s="21" t="s">
        <v>76</v>
      </c>
    </row>
    <row r="9" spans="1:2" x14ac:dyDescent="0.3">
      <c r="A9" s="21" t="s">
        <v>77</v>
      </c>
      <c r="B9" s="21" t="s">
        <v>77</v>
      </c>
    </row>
    <row r="10" spans="1:2" x14ac:dyDescent="0.3">
      <c r="A10" s="21" t="s">
        <v>79</v>
      </c>
      <c r="B10" s="21" t="s">
        <v>90</v>
      </c>
    </row>
    <row r="11" spans="1:2" x14ac:dyDescent="0.3">
      <c r="A11" s="21" t="s">
        <v>132</v>
      </c>
      <c r="B11" s="21">
        <f>INDEX('vehicles specifications'!$B$3:$CK$86,MATCH(B6,'vehicles specifications'!$A$3:$A$86,0),MATCH("Lifetime [km]",'vehicles specifications'!$B$2:$CK$2,0))</f>
        <v>33400</v>
      </c>
    </row>
    <row r="12" spans="1:2" x14ac:dyDescent="0.3">
      <c r="A12" s="21" t="s">
        <v>133</v>
      </c>
      <c r="B12" s="21">
        <f>INDEX('vehicles specifications'!$B$3:$CK$86,MATCH(B6,'vehicles specifications'!$A$3:$A$86,0),MATCH("Passengers [unit]",'vehicles specifications'!$B$2:$CK$2,0))</f>
        <v>1</v>
      </c>
    </row>
    <row r="13" spans="1:2" x14ac:dyDescent="0.3">
      <c r="A13" s="21" t="s">
        <v>134</v>
      </c>
      <c r="B13" s="21">
        <f>INDEX('vehicles specifications'!$B$3:$CK$86,MATCH(B6,'vehicles specifications'!$A$3:$A$86,0),MATCH("Servicing [unit]",'vehicles specifications'!$B$2:$CK$2,0))</f>
        <v>1</v>
      </c>
    </row>
    <row r="14" spans="1:2" x14ac:dyDescent="0.3">
      <c r="A14" s="21" t="s">
        <v>135</v>
      </c>
      <c r="B14" s="21">
        <f>INDEX('vehicles specifications'!$B$3:$CK$86,MATCH(B6,'vehicles specifications'!$A$3:$A$86,0),MATCH("Energy battery replacement [unit]",'vehicles specifications'!$B$2:$CK$2,0))</f>
        <v>0</v>
      </c>
    </row>
    <row r="15" spans="1:2" x14ac:dyDescent="0.3">
      <c r="A15" s="21" t="s">
        <v>136</v>
      </c>
      <c r="B15" s="21">
        <f>INDEX('vehicles specifications'!$B$3:$CK$86,MATCH(B6,'vehicles specifications'!$A$3:$A$86,0),MATCH("Annual kilometers [km]",'vehicles specifications'!$B$2:$CK$2,0))</f>
        <v>2553</v>
      </c>
    </row>
    <row r="16" spans="1:2" x14ac:dyDescent="0.3">
      <c r="A16" s="21" t="s">
        <v>137</v>
      </c>
      <c r="B16" s="2">
        <f>INDEX('vehicles specifications'!$B$3:$CK$86,MATCH(B6,'vehicles specifications'!$A$3:$A$86,0),MATCH("Curb mass [kg]",'vehicles specifications'!$B$2:$CK$2,0))</f>
        <v>93.6875</v>
      </c>
    </row>
    <row r="17" spans="1:8" x14ac:dyDescent="0.3">
      <c r="A17" s="21" t="s">
        <v>138</v>
      </c>
      <c r="B17" s="21">
        <f>INDEX('vehicles specifications'!$B$3:$CK$86,MATCH(B6,'vehicles specifications'!$A$3:$A$86,0),MATCH("Power [kW]",'vehicles specifications'!$B$2:$CK$2,0))</f>
        <v>2.8</v>
      </c>
    </row>
    <row r="18" spans="1:8" x14ac:dyDescent="0.3">
      <c r="A18" s="21" t="s">
        <v>139</v>
      </c>
      <c r="B18" s="21">
        <f>INDEX('vehicles specifications'!$B$3:$CK$86,MATCH(B6,'vehicles specifications'!$A$3:$A$86,0),MATCH("Energy battery mass [kg]",'vehicles specifications'!$B$2:$CK$2,0))</f>
        <v>0</v>
      </c>
    </row>
    <row r="19" spans="1:8" x14ac:dyDescent="0.3">
      <c r="A19" s="21" t="s">
        <v>140</v>
      </c>
      <c r="B19" s="21">
        <f>INDEX('vehicles specifications'!$B$3:$CK$86,MATCH(B6,'vehicles specifications'!$A$3:$A$86,0),MATCH("Electric energy available [kWh]",'vehicles specifications'!$B$2:$CK$2,0))</f>
        <v>0</v>
      </c>
    </row>
    <row r="20" spans="1:8" x14ac:dyDescent="0.3">
      <c r="A20" s="21" t="s">
        <v>143</v>
      </c>
      <c r="B20" s="2">
        <f>INDEX('vehicles specifications'!$B$3:$CK$86,MATCH(B6,'vehicles specifications'!$A$3:$A$86,0),MATCH("Oxydation energy stored [kWh]",'vehicles specifications'!$B$2:$CK$2,0))</f>
        <v>61.833333333333329</v>
      </c>
    </row>
    <row r="21" spans="1:8" x14ac:dyDescent="0.3">
      <c r="A21" s="21" t="s">
        <v>145</v>
      </c>
      <c r="B21" s="21">
        <f>INDEX('vehicles specifications'!$B$3:$CK$86,MATCH(B6,'vehicles specifications'!$A$3:$A$86,0),MATCH("Fuel mass [kg]",'vehicles specifications'!$B$2:$CK$2,0))</f>
        <v>5.25</v>
      </c>
    </row>
    <row r="22" spans="1:8" x14ac:dyDescent="0.3">
      <c r="A22" s="21" t="s">
        <v>141</v>
      </c>
      <c r="B22" s="2">
        <f>INDEX('vehicles specifications'!$B$3:$CK$86,MATCH(B6,'vehicles specifications'!$A$3:$A$86,0),MATCH("Range [km]",'vehicles specifications'!$B$2:$CK$2,0))</f>
        <v>161.34686394551844</v>
      </c>
    </row>
    <row r="23" spans="1:8" x14ac:dyDescent="0.3">
      <c r="A23" s="21" t="s">
        <v>142</v>
      </c>
      <c r="B23" s="21" t="str">
        <f>INDEX('vehicles specifications'!$B$3:$CK$86,MATCH(B6,'vehicles specifications'!$A$3:$A$86,0),MATCH("Emission standard",'vehicles specifications'!$B$2:$CK$2,0))</f>
        <v>EURO-5</v>
      </c>
    </row>
    <row r="24" spans="1:8" x14ac:dyDescent="0.3">
      <c r="A24" s="21" t="s">
        <v>144</v>
      </c>
      <c r="B24" s="6">
        <f>INDEX('vehicles specifications'!$B$3:$CK$86,MATCH(B6,'vehicles specifications'!$A$3:$A$86,0),MATCH("Lightweighting rate [%]",'vehicles specifications'!$B$2:$CK$2,0))</f>
        <v>-0.05</v>
      </c>
    </row>
    <row r="25" spans="1:8" x14ac:dyDescent="0.3">
      <c r="A25" s="21" t="s">
        <v>513</v>
      </c>
      <c r="B25" s="6" t="s">
        <v>514</v>
      </c>
    </row>
    <row r="26" spans="1:8" x14ac:dyDescent="0.3">
      <c r="A26" s="21" t="s">
        <v>515</v>
      </c>
      <c r="B26" s="2">
        <v>15900</v>
      </c>
    </row>
    <row r="27" spans="1:8" x14ac:dyDescent="0.3">
      <c r="A27" s="21" t="s">
        <v>516</v>
      </c>
      <c r="B27" s="2">
        <v>1000</v>
      </c>
    </row>
    <row r="28" spans="1:8"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2.8 kW. Lifetime: 33400 km. Annual kilometers: 2553 km. Number of passengers: 1. Curb mass: 93.7 kg. Lightweighting of glider: -5%. Emission standard: EURO-5. Service visits throughout lifetime: 1. Range: 161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s="21" t="s">
        <v>81</v>
      </c>
      <c r="B30" s="21" t="s">
        <v>82</v>
      </c>
      <c r="C30" s="21" t="s">
        <v>73</v>
      </c>
      <c r="D30" s="21" t="s">
        <v>77</v>
      </c>
      <c r="E30" s="21" t="s">
        <v>83</v>
      </c>
      <c r="F30" s="21" t="s">
        <v>75</v>
      </c>
      <c r="G30" s="21" t="s">
        <v>84</v>
      </c>
      <c r="H30" s="21" t="s">
        <v>74</v>
      </c>
    </row>
    <row r="31" spans="1:8" x14ac:dyDescent="0.3">
      <c r="A31" s="12" t="str">
        <f>B1</f>
        <v>Scooter, gasoline, &lt;4kW, EURO-3, 2006</v>
      </c>
      <c r="B31" s="12">
        <v>1</v>
      </c>
      <c r="C31" s="12" t="str">
        <f>B2</f>
        <v>CH</v>
      </c>
      <c r="D31" s="12" t="str">
        <f>B9</f>
        <v>unit</v>
      </c>
      <c r="E31" s="12"/>
      <c r="F31" s="12" t="s">
        <v>85</v>
      </c>
      <c r="G31" s="12" t="s">
        <v>86</v>
      </c>
      <c r="H31" s="12" t="str">
        <f>B3</f>
        <v>Scooter, gasoline, &lt;4kW,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0.58888888888888891</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0.35555555555555557</v>
      </c>
      <c r="C33" s="12" t="str">
        <f>INDEX('ei names mapping'!$B$38:$R$67,MATCH(B3,'ei names mapping'!$A$4:$A$33,0),MATCH(G33,'ei names mapping'!$B$3:$R$3,0))</f>
        <v>RER</v>
      </c>
      <c r="D33" s="12" t="str">
        <f>INDEX('ei names mapping'!$B$104:$R$133,MATCH($B$3,'ei names mapping'!$A$4:$A$33,0),MATCH(G33,'ei names mapping'!$B$3:$R$3,0))</f>
        <v>unit</v>
      </c>
      <c r="E33" s="12"/>
      <c r="F33" s="12" t="s">
        <v>91</v>
      </c>
      <c r="G33" s="21"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0.78749999999999998</v>
      </c>
      <c r="C34" s="12" t="str">
        <f>INDEX('ei names mapping'!$B$38:$R$67,MATCH(B3,'ei names mapping'!$A$4:$A$33,0),MATCH(G34,'ei names mapping'!$B$3:$R$3,0))</f>
        <v>RER</v>
      </c>
      <c r="D34" s="12" t="str">
        <f>INDEX('ei names mapping'!$B$104:$R$133,MATCH($B$3,'ei names mapping'!$A$4:$A$33,0),MATCH(G34,'ei names mapping'!$B$3:$R$3,0))</f>
        <v>kilogram</v>
      </c>
      <c r="E34" s="12"/>
      <c r="F34" s="12" t="s">
        <v>91</v>
      </c>
      <c r="G34" s="21" t="s">
        <v>24</v>
      </c>
      <c r="H34" s="12" t="str">
        <f>INDEX('ei names mapping'!$B$71:$R$100,MATCH(B3,'ei names mapping'!$A$4:$A$33,0),MATCH(G34,'ei names mapping'!$B$3:$R$3,0))</f>
        <v>polyethylene, high density, granulate</v>
      </c>
    </row>
    <row r="35" spans="1:8" x14ac:dyDescent="0.3">
      <c r="A35" s="22" t="s">
        <v>468</v>
      </c>
      <c r="B35" s="21">
        <f>(B16/1000)*B27</f>
        <v>93.6875</v>
      </c>
      <c r="C35" s="21" t="s">
        <v>94</v>
      </c>
      <c r="D35" s="21" t="s">
        <v>243</v>
      </c>
      <c r="F35" s="21" t="s">
        <v>91</v>
      </c>
      <c r="H35" s="22" t="s">
        <v>469</v>
      </c>
    </row>
    <row r="36" spans="1:8" x14ac:dyDescent="0.3">
      <c r="A36" s="22" t="s">
        <v>467</v>
      </c>
      <c r="B36" s="2">
        <f>(B16/1000)*B26</f>
        <v>1489.6312500000001</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Scooter, gasoline, &lt;4kW, EURO-4, 2016</v>
      </c>
    </row>
    <row r="39" spans="1:8" x14ac:dyDescent="0.3">
      <c r="A39" s="21" t="s">
        <v>73</v>
      </c>
      <c r="B39" s="21" t="s">
        <v>37</v>
      </c>
    </row>
    <row r="40" spans="1:8" x14ac:dyDescent="0.3">
      <c r="A40" s="21" t="s">
        <v>87</v>
      </c>
      <c r="B40" s="21" t="s">
        <v>676</v>
      </c>
    </row>
    <row r="41" spans="1:8" x14ac:dyDescent="0.3">
      <c r="A41" s="21" t="s">
        <v>88</v>
      </c>
      <c r="B41" s="12"/>
    </row>
    <row r="42" spans="1:8" x14ac:dyDescent="0.3">
      <c r="A42" s="21" t="s">
        <v>89</v>
      </c>
      <c r="B42" s="12">
        <v>2016</v>
      </c>
    </row>
    <row r="43" spans="1:8" x14ac:dyDescent="0.3">
      <c r="A43" s="21" t="s">
        <v>131</v>
      </c>
      <c r="B43" s="12" t="str">
        <f>B40&amp;" - "&amp;B42&amp;" - "&amp;B39</f>
        <v>Scooter, gasoline, &lt;4kW, EURO-4 - 2016 - CH</v>
      </c>
    </row>
    <row r="44" spans="1:8" x14ac:dyDescent="0.3">
      <c r="A44" s="21" t="s">
        <v>74</v>
      </c>
      <c r="B44" s="21" t="str">
        <f>B40</f>
        <v>Scooter, gasoline, &lt;4kW, EURO-4</v>
      </c>
    </row>
    <row r="45" spans="1:8" x14ac:dyDescent="0.3">
      <c r="A45" s="21" t="s">
        <v>75</v>
      </c>
      <c r="B45" s="21" t="s">
        <v>76</v>
      </c>
    </row>
    <row r="46" spans="1:8" x14ac:dyDescent="0.3">
      <c r="A46" s="21" t="s">
        <v>77</v>
      </c>
      <c r="B46" s="21" t="s">
        <v>77</v>
      </c>
    </row>
    <row r="47" spans="1:8" x14ac:dyDescent="0.3">
      <c r="A47" s="21" t="s">
        <v>79</v>
      </c>
      <c r="B47" s="21" t="s">
        <v>90</v>
      </c>
    </row>
    <row r="48" spans="1:8" x14ac:dyDescent="0.3">
      <c r="A48" s="21" t="s">
        <v>132</v>
      </c>
      <c r="B48" s="21">
        <f>INDEX('vehicles specifications'!$B$3:$CK$86,MATCH(B43,'vehicles specifications'!$A$3:$A$86,0),MATCH("Lifetime [km]",'vehicles specifications'!$B$2:$CK$2,0))</f>
        <v>33400</v>
      </c>
    </row>
    <row r="49" spans="1:2" x14ac:dyDescent="0.3">
      <c r="A49" s="21" t="s">
        <v>133</v>
      </c>
      <c r="B49" s="21">
        <f>INDEX('vehicles specifications'!$B$3:$CK$86,MATCH(B43,'vehicles specifications'!$A$3:$A$86,0),MATCH("Passengers [unit]",'vehicles specifications'!$B$2:$CK$2,0))</f>
        <v>1</v>
      </c>
    </row>
    <row r="50" spans="1:2" x14ac:dyDescent="0.3">
      <c r="A50" s="21" t="s">
        <v>134</v>
      </c>
      <c r="B50" s="21">
        <f>INDEX('vehicles specifications'!$B$3:$CK$86,MATCH(B43,'vehicles specifications'!$A$3:$A$86,0),MATCH("Servicing [unit]",'vehicles specifications'!$B$2:$CK$2,0))</f>
        <v>1</v>
      </c>
    </row>
    <row r="51" spans="1:2" x14ac:dyDescent="0.3">
      <c r="A51" s="21" t="s">
        <v>135</v>
      </c>
      <c r="B51" s="21">
        <f>INDEX('vehicles specifications'!$B$3:$CK$86,MATCH(B43,'vehicles specifications'!$A$3:$A$86,0),MATCH("Energy battery replacement [unit]",'vehicles specifications'!$B$2:$CK$2,0))</f>
        <v>0</v>
      </c>
    </row>
    <row r="52" spans="1:2" x14ac:dyDescent="0.3">
      <c r="A52" s="21" t="s">
        <v>136</v>
      </c>
      <c r="B52" s="21">
        <f>INDEX('vehicles specifications'!$B$3:$CK$86,MATCH(B43,'vehicles specifications'!$A$3:$A$86,0),MATCH("Annual kilometers [km]",'vehicles specifications'!$B$2:$CK$2,0))</f>
        <v>2553</v>
      </c>
    </row>
    <row r="53" spans="1:2" x14ac:dyDescent="0.3">
      <c r="A53" s="21" t="s">
        <v>137</v>
      </c>
      <c r="B53" s="2">
        <f>INDEX('vehicles specifications'!$B$3:$CK$86,MATCH(B43,'vehicles specifications'!$A$3:$A$86,0),MATCH("Curb mass [kg]",'vehicles specifications'!$B$2:$CK$2,0))</f>
        <v>92.097499999999997</v>
      </c>
    </row>
    <row r="54" spans="1:2" x14ac:dyDescent="0.3">
      <c r="A54" s="21" t="s">
        <v>138</v>
      </c>
      <c r="B54" s="21">
        <f>INDEX('vehicles specifications'!$B$3:$CK$86,MATCH(B43,'vehicles specifications'!$A$3:$A$86,0),MATCH("Power [kW]",'vehicles specifications'!$B$2:$CK$2,0))</f>
        <v>2.8</v>
      </c>
    </row>
    <row r="55" spans="1:2" x14ac:dyDescent="0.3">
      <c r="A55" s="21" t="s">
        <v>139</v>
      </c>
      <c r="B55" s="21">
        <f>INDEX('vehicles specifications'!$B$3:$CK$86,MATCH(B43,'vehicles specifications'!$A$3:$A$86,0),MATCH("Energy battery mass [kg]",'vehicles specifications'!$B$2:$CK$2,0))</f>
        <v>0</v>
      </c>
    </row>
    <row r="56" spans="1:2" x14ac:dyDescent="0.3">
      <c r="A56" s="21" t="s">
        <v>140</v>
      </c>
      <c r="B56" s="21">
        <f>INDEX('vehicles specifications'!$B$3:$CK$86,MATCH(B43,'vehicles specifications'!$A$3:$A$86,0),MATCH("Electric energy available [kWh]",'vehicles specifications'!$B$2:$CK$2,0))</f>
        <v>0</v>
      </c>
    </row>
    <row r="57" spans="1:2" x14ac:dyDescent="0.3">
      <c r="A57" s="21" t="s">
        <v>143</v>
      </c>
      <c r="B57" s="2">
        <f>INDEX('vehicles specifications'!$B$3:$CK$86,MATCH(B43,'vehicles specifications'!$A$3:$A$86,0),MATCH("Oxydation energy stored [kWh]",'vehicles specifications'!$B$2:$CK$2,0))</f>
        <v>61.833333333333329</v>
      </c>
    </row>
    <row r="58" spans="1:2" x14ac:dyDescent="0.3">
      <c r="A58" s="21" t="s">
        <v>145</v>
      </c>
      <c r="B58" s="21">
        <f>INDEX('vehicles specifications'!$B$3:$CK$86,MATCH(B43,'vehicles specifications'!$A$3:$A$86,0),MATCH("Fuel mass [kg]",'vehicles specifications'!$B$2:$CK$2,0))</f>
        <v>5.25</v>
      </c>
    </row>
    <row r="59" spans="1:2" x14ac:dyDescent="0.3">
      <c r="A59" s="21" t="s">
        <v>141</v>
      </c>
      <c r="B59" s="2">
        <f>INDEX('vehicles specifications'!$B$3:$CK$86,MATCH(B43,'vehicles specifications'!$A$3:$A$86,0),MATCH("Range [km]",'vehicles specifications'!$B$2:$CK$2,0))</f>
        <v>171.02767578224956</v>
      </c>
    </row>
    <row r="60" spans="1:2" x14ac:dyDescent="0.3">
      <c r="A60" s="21" t="s">
        <v>142</v>
      </c>
      <c r="B60" s="21" t="str">
        <f>INDEX('vehicles specifications'!$B$3:$CK$86,MATCH(B43,'vehicles specifications'!$A$3:$A$86,0),MATCH("Emission standard",'vehicles specifications'!$B$2:$CK$2,0))</f>
        <v>EURO-4</v>
      </c>
    </row>
    <row r="61" spans="1:2" x14ac:dyDescent="0.3">
      <c r="A61" s="21" t="s">
        <v>144</v>
      </c>
      <c r="B61" s="6">
        <f>INDEX('vehicles specifications'!$B$3:$CK$86,MATCH(B43,'vehicles specifications'!$A$3:$A$86,0),MATCH("Lightweighting rate [%]",'vehicles specifications'!$B$2:$CK$2,0))</f>
        <v>-0.02</v>
      </c>
    </row>
    <row r="62" spans="1:2" x14ac:dyDescent="0.3">
      <c r="A62" s="21" t="s">
        <v>513</v>
      </c>
      <c r="B62" s="6" t="s">
        <v>514</v>
      </c>
    </row>
    <row r="63" spans="1:2" x14ac:dyDescent="0.3">
      <c r="A63" s="21" t="s">
        <v>515</v>
      </c>
      <c r="B63" s="2">
        <v>15900</v>
      </c>
    </row>
    <row r="64" spans="1:2" x14ac:dyDescent="0.3">
      <c r="A64" s="21" t="s">
        <v>516</v>
      </c>
      <c r="B64" s="2">
        <v>1000</v>
      </c>
    </row>
    <row r="65" spans="1:8"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2.8 kW. Lifetime: 33400 km. Annual kilometers: 2553 km. Number of passengers: 1. Curb mass: 92.1 kg. Lightweighting of glider: -2%. Emission standard: EURO-4. Service visits throughout lifetime: 1. Range: 171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s="21" t="s">
        <v>81</v>
      </c>
      <c r="B67" s="21" t="s">
        <v>82</v>
      </c>
      <c r="C67" s="21" t="s">
        <v>73</v>
      </c>
      <c r="D67" s="21" t="s">
        <v>77</v>
      </c>
      <c r="E67" s="21" t="s">
        <v>83</v>
      </c>
      <c r="F67" s="21" t="s">
        <v>75</v>
      </c>
      <c r="G67" s="21" t="s">
        <v>84</v>
      </c>
      <c r="H67" s="21" t="s">
        <v>74</v>
      </c>
    </row>
    <row r="68" spans="1:8" x14ac:dyDescent="0.3">
      <c r="A68" s="12" t="str">
        <f>B38</f>
        <v>Scooter, gasoline, &lt;4kW, EURO-4, 2016</v>
      </c>
      <c r="B68" s="12">
        <v>1</v>
      </c>
      <c r="C68" s="12" t="str">
        <f>B39</f>
        <v>CH</v>
      </c>
      <c r="D68" s="12" t="str">
        <f>B46</f>
        <v>unit</v>
      </c>
      <c r="E68" s="12"/>
      <c r="F68" s="12" t="s">
        <v>85</v>
      </c>
      <c r="G68" s="12" t="s">
        <v>86</v>
      </c>
      <c r="H68" s="12" t="str">
        <f>B40</f>
        <v>Scooter, gasoline, &lt;4kW,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0.58888888888888891</v>
      </c>
      <c r="C69" s="12" t="str">
        <f>INDEX('ei names mapping'!$B$38:$R$67,MATCH(B40,'ei names mapping'!$A$4:$A$33,0),MATCH(G69,'ei names mapping'!$B$3:$R$3,0))</f>
        <v>RER</v>
      </c>
      <c r="D69" s="12" t="str">
        <f>INDEX('ei names mapping'!$B$104:$R$133,MATCH($B$3,'ei names mapping'!$A$4:$A$33,0),MATCH(G69,'ei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0.35555555555555557</v>
      </c>
      <c r="C70" s="12" t="str">
        <f>INDEX('ei names mapping'!$B$38:$R$67,MATCH(B40,'ei names mapping'!$A$4:$A$33,0),MATCH(G70,'ei names mapping'!$B$3:$R$3,0))</f>
        <v>RER</v>
      </c>
      <c r="D70" s="12" t="str">
        <f>INDEX('ei names mapping'!$B$104:$R$133,MATCH($B$3,'ei names mapping'!$A$4:$A$33,0),MATCH(G70,'ei names mapping'!$B$3:$R$3,0))</f>
        <v>unit</v>
      </c>
      <c r="E70" s="12"/>
      <c r="F70" s="12" t="s">
        <v>91</v>
      </c>
      <c r="G70" s="21"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0.78749999999999998</v>
      </c>
      <c r="C71" s="12" t="str">
        <f>INDEX('ei names mapping'!$B$38:$R$67,MATCH(B40,'ei names mapping'!$A$4:$A$33,0),MATCH(G71,'ei names mapping'!$B$3:$R$3,0))</f>
        <v>RER</v>
      </c>
      <c r="D71" s="12" t="str">
        <f>INDEX('ei names mapping'!$B$104:$R$133,MATCH($B$3,'ei names mapping'!$A$4:$A$33,0),MATCH(G71,'ei names mapping'!$B$3:$R$3,0))</f>
        <v>kilogram</v>
      </c>
      <c r="E71" s="12"/>
      <c r="F71" s="12" t="s">
        <v>91</v>
      </c>
      <c r="G71" s="21" t="s">
        <v>24</v>
      </c>
      <c r="H71" s="12" t="str">
        <f>INDEX('ei names mapping'!$B$71:$R$100,MATCH(B40,'ei names mapping'!$A$4:$A$33,0),MATCH(G71,'ei names mapping'!$B$3:$R$3,0))</f>
        <v>polyethylene, high density, granulate</v>
      </c>
    </row>
    <row r="72" spans="1:8" x14ac:dyDescent="0.3">
      <c r="A72" s="22" t="s">
        <v>468</v>
      </c>
      <c r="B72" s="21">
        <f>(B53/1000)*B64</f>
        <v>92.097499999999997</v>
      </c>
      <c r="C72" s="21" t="s">
        <v>94</v>
      </c>
      <c r="D72" s="21" t="s">
        <v>243</v>
      </c>
      <c r="F72" s="21" t="s">
        <v>91</v>
      </c>
      <c r="H72" s="22" t="s">
        <v>469</v>
      </c>
    </row>
    <row r="73" spans="1:8" x14ac:dyDescent="0.3">
      <c r="A73" s="22" t="s">
        <v>467</v>
      </c>
      <c r="B73" s="2">
        <f>(B53/1000)*B63</f>
        <v>1464.35025</v>
      </c>
      <c r="C73" s="21" t="s">
        <v>98</v>
      </c>
      <c r="D73" s="21" t="s">
        <v>243</v>
      </c>
      <c r="F73" s="21" t="s">
        <v>91</v>
      </c>
      <c r="H73" s="22" t="s">
        <v>467</v>
      </c>
    </row>
    <row r="75" spans="1:8" ht="15.6" x14ac:dyDescent="0.3">
      <c r="A75" s="11" t="s">
        <v>72</v>
      </c>
      <c r="B75" s="9" t="str">
        <f>B77&amp;", "&amp;B79</f>
        <v>Scooter, gasoline, &lt;4kW, EURO-5, 2020</v>
      </c>
    </row>
    <row r="76" spans="1:8" x14ac:dyDescent="0.3">
      <c r="A76" s="21" t="s">
        <v>73</v>
      </c>
      <c r="B76" s="21" t="s">
        <v>37</v>
      </c>
    </row>
    <row r="77" spans="1:8" x14ac:dyDescent="0.3">
      <c r="A77" s="21" t="s">
        <v>87</v>
      </c>
      <c r="B77" s="21" t="s">
        <v>677</v>
      </c>
    </row>
    <row r="78" spans="1:8" x14ac:dyDescent="0.3">
      <c r="A78" s="21" t="s">
        <v>88</v>
      </c>
      <c r="B78" s="12"/>
    </row>
    <row r="79" spans="1:8" x14ac:dyDescent="0.3">
      <c r="A79" s="21" t="s">
        <v>89</v>
      </c>
      <c r="B79" s="12">
        <v>2020</v>
      </c>
    </row>
    <row r="80" spans="1:8" x14ac:dyDescent="0.3">
      <c r="A80" s="21" t="s">
        <v>131</v>
      </c>
      <c r="B80" s="12" t="str">
        <f>B77&amp;" - "&amp;B79&amp;" - "&amp;B76</f>
        <v>Scooter, gasoline, &lt;4kW, EURO-5 - 2020 - CH</v>
      </c>
    </row>
    <row r="81" spans="1:2" x14ac:dyDescent="0.3">
      <c r="A81" s="21" t="s">
        <v>74</v>
      </c>
      <c r="B81" s="21" t="str">
        <f>B77</f>
        <v>Scooter, gasoline, &lt;4kW, EURO-5</v>
      </c>
    </row>
    <row r="82" spans="1:2" x14ac:dyDescent="0.3">
      <c r="A82" s="21" t="s">
        <v>75</v>
      </c>
      <c r="B82" s="21" t="s">
        <v>76</v>
      </c>
    </row>
    <row r="83" spans="1:2" x14ac:dyDescent="0.3">
      <c r="A83" s="21" t="s">
        <v>77</v>
      </c>
      <c r="B83" s="21" t="s">
        <v>77</v>
      </c>
    </row>
    <row r="84" spans="1:2" x14ac:dyDescent="0.3">
      <c r="A84" s="21" t="s">
        <v>79</v>
      </c>
      <c r="B84" s="21" t="s">
        <v>90</v>
      </c>
    </row>
    <row r="85" spans="1:2" x14ac:dyDescent="0.3">
      <c r="A85" s="21" t="s">
        <v>132</v>
      </c>
      <c r="B85" s="21">
        <f>INDEX('vehicles specifications'!$B$3:$CK$86,MATCH(B80,'vehicles specifications'!$A$3:$A$86,0),MATCH("Lifetime [km]",'vehicles specifications'!$B$2:$CK$2,0))</f>
        <v>33400</v>
      </c>
    </row>
    <row r="86" spans="1:2" x14ac:dyDescent="0.3">
      <c r="A86" s="21" t="s">
        <v>133</v>
      </c>
      <c r="B86" s="21">
        <f>INDEX('vehicles specifications'!$B$3:$CK$86,MATCH(B80,'vehicles specifications'!$A$3:$A$86,0),MATCH("Passengers [unit]",'vehicles specifications'!$B$2:$CK$2,0))</f>
        <v>1</v>
      </c>
    </row>
    <row r="87" spans="1:2" x14ac:dyDescent="0.3">
      <c r="A87" s="21" t="s">
        <v>134</v>
      </c>
      <c r="B87" s="21">
        <f>INDEX('vehicles specifications'!$B$3:$CK$86,MATCH(B80,'vehicles specifications'!$A$3:$A$86,0),MATCH("Servicing [unit]",'vehicles specifications'!$B$2:$CK$2,0))</f>
        <v>1</v>
      </c>
    </row>
    <row r="88" spans="1:2" x14ac:dyDescent="0.3">
      <c r="A88" s="21" t="s">
        <v>135</v>
      </c>
      <c r="B88" s="21">
        <f>INDEX('vehicles specifications'!$B$3:$CK$86,MATCH(B80,'vehicles specifications'!$A$3:$A$86,0),MATCH("Energy battery replacement [unit]",'vehicles specifications'!$B$2:$CK$2,0))</f>
        <v>0</v>
      </c>
    </row>
    <row r="89" spans="1:2" x14ac:dyDescent="0.3">
      <c r="A89" s="21" t="s">
        <v>136</v>
      </c>
      <c r="B89" s="21">
        <f>INDEX('vehicles specifications'!$B$3:$CK$86,MATCH(B80,'vehicles specifications'!$A$3:$A$86,0),MATCH("Annual kilometers [km]",'vehicles specifications'!$B$2:$CK$2,0))</f>
        <v>2553</v>
      </c>
    </row>
    <row r="90" spans="1:2" x14ac:dyDescent="0.3">
      <c r="A90" s="21" t="s">
        <v>137</v>
      </c>
      <c r="B90" s="2">
        <f>INDEX('vehicles specifications'!$B$3:$CK$86,MATCH(B80,'vehicles specifications'!$A$3:$A$86,0),MATCH("Curb mass [kg]",'vehicles specifications'!$B$2:$CK$2,0))</f>
        <v>91.037499999999994</v>
      </c>
    </row>
    <row r="91" spans="1:2" x14ac:dyDescent="0.3">
      <c r="A91" s="21" t="s">
        <v>138</v>
      </c>
      <c r="B91" s="21">
        <f>INDEX('vehicles specifications'!$B$3:$CK$86,MATCH(B80,'vehicles specifications'!$A$3:$A$86,0),MATCH("Power [kW]",'vehicles specifications'!$B$2:$CK$2,0))</f>
        <v>2.8</v>
      </c>
    </row>
    <row r="92" spans="1:2" x14ac:dyDescent="0.3">
      <c r="A92" s="21" t="s">
        <v>139</v>
      </c>
      <c r="B92" s="21">
        <f>INDEX('vehicles specifications'!$B$3:$CK$86,MATCH(B80,'vehicles specifications'!$A$3:$A$86,0),MATCH("Energy battery mass [kg]",'vehicles specifications'!$B$2:$CK$2,0))</f>
        <v>0</v>
      </c>
    </row>
    <row r="93" spans="1:2" x14ac:dyDescent="0.3">
      <c r="A93" s="21" t="s">
        <v>140</v>
      </c>
      <c r="B93" s="21">
        <f>INDEX('vehicles specifications'!$B$3:$CK$86,MATCH(B80,'vehicles specifications'!$A$3:$A$86,0),MATCH("Electric energy available [kWh]",'vehicles specifications'!$B$2:$CK$2,0))</f>
        <v>0</v>
      </c>
    </row>
    <row r="94" spans="1:2" x14ac:dyDescent="0.3">
      <c r="A94" s="21" t="s">
        <v>143</v>
      </c>
      <c r="B94" s="2">
        <f>INDEX('vehicles specifications'!$B$3:$CK$86,MATCH(B80,'vehicles specifications'!$A$3:$A$86,0),MATCH("Oxydation energy stored [kWh]",'vehicles specifications'!$B$2:$CK$2,0))</f>
        <v>61.833333333333329</v>
      </c>
    </row>
    <row r="95" spans="1:2" x14ac:dyDescent="0.3">
      <c r="A95" s="21" t="s">
        <v>145</v>
      </c>
      <c r="B95" s="21">
        <f>INDEX('vehicles specifications'!$B$3:$CK$86,MATCH(B80,'vehicles specifications'!$A$3:$A$86,0),MATCH("Fuel mass [kg]",'vehicles specifications'!$B$2:$CK$2,0))</f>
        <v>5.25</v>
      </c>
    </row>
    <row r="96" spans="1:2" x14ac:dyDescent="0.3">
      <c r="A96" s="21" t="s">
        <v>141</v>
      </c>
      <c r="B96" s="2">
        <f>INDEX('vehicles specifications'!$B$3:$CK$86,MATCH(B80,'vehicles specifications'!$A$3:$A$86,0),MATCH("Range [km]",'vehicles specifications'!$B$2:$CK$2,0))</f>
        <v>172.75522806287836</v>
      </c>
    </row>
    <row r="97" spans="1:8" x14ac:dyDescent="0.3">
      <c r="A97" s="21" t="s">
        <v>142</v>
      </c>
      <c r="B97" s="21" t="str">
        <f>INDEX('vehicles specifications'!$B$3:$CK$86,MATCH(B80,'vehicles specifications'!$A$3:$A$86,0),MATCH("Emission standard",'vehicles specifications'!$B$2:$CK$2,0))</f>
        <v>EURO-5</v>
      </c>
    </row>
    <row r="98" spans="1:8" x14ac:dyDescent="0.3">
      <c r="A98" s="21" t="s">
        <v>144</v>
      </c>
      <c r="B98" s="6">
        <f>INDEX('vehicles specifications'!$B$3:$CK$86,MATCH(B80,'vehicles specifications'!$A$3:$A$86,0),MATCH("Lightweighting rate [%]",'vehicles specifications'!$B$2:$CK$2,0))</f>
        <v>0</v>
      </c>
    </row>
    <row r="99" spans="1:8" x14ac:dyDescent="0.3">
      <c r="A99" s="21" t="s">
        <v>513</v>
      </c>
      <c r="B99" s="6" t="s">
        <v>514</v>
      </c>
    </row>
    <row r="100" spans="1:8" x14ac:dyDescent="0.3">
      <c r="A100" s="21" t="s">
        <v>515</v>
      </c>
      <c r="B100" s="2">
        <v>15900</v>
      </c>
    </row>
    <row r="101" spans="1:8" x14ac:dyDescent="0.3">
      <c r="A101" s="21" t="s">
        <v>516</v>
      </c>
      <c r="B101" s="2">
        <v>1000</v>
      </c>
    </row>
    <row r="102" spans="1:8"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2.8 kW. Lifetime: 33400 km. Annual kilometers: 2553 km. Number of passengers: 1. Curb mass: 91 kg. Lightweighting of glider: 0%. Emission standard: EURO-5. Service visits throughout lifetime: 1. Range: 173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s="21" t="s">
        <v>81</v>
      </c>
      <c r="B104" s="21" t="s">
        <v>82</v>
      </c>
      <c r="C104" s="21" t="s">
        <v>73</v>
      </c>
      <c r="D104" s="21" t="s">
        <v>77</v>
      </c>
      <c r="E104" s="21" t="s">
        <v>83</v>
      </c>
      <c r="F104" s="21" t="s">
        <v>75</v>
      </c>
      <c r="G104" s="21" t="s">
        <v>84</v>
      </c>
      <c r="H104" s="21" t="s">
        <v>74</v>
      </c>
    </row>
    <row r="105" spans="1:8" x14ac:dyDescent="0.3">
      <c r="A105" s="12" t="str">
        <f>B75</f>
        <v>Scooter, gasoline, &lt;4kW, EURO-5, 2020</v>
      </c>
      <c r="B105" s="12">
        <v>1</v>
      </c>
      <c r="C105" s="12" t="str">
        <f>B76</f>
        <v>CH</v>
      </c>
      <c r="D105" s="12" t="str">
        <f>B83</f>
        <v>unit</v>
      </c>
      <c r="E105" s="12"/>
      <c r="F105" s="12" t="s">
        <v>85</v>
      </c>
      <c r="G105" s="12" t="s">
        <v>86</v>
      </c>
      <c r="H105" s="12" t="str">
        <f>B77</f>
        <v>Scooter, gasoline, &lt;4kW,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0.58888888888888891</v>
      </c>
      <c r="C106" s="12" t="str">
        <f>INDEX('ei names mapping'!$B$38:$R$67,MATCH(B77,'ei names mapping'!$A$4:$A$33,0),MATCH(G106,'ei names mapping'!$B$3:$R$3,0))</f>
        <v>RER</v>
      </c>
      <c r="D106" s="12" t="str">
        <f>INDEX('ei names mapping'!$B$104:$R$133,MATCH($B$3,'ei names mapping'!$A$4:$A$33,0),MATCH(G106,'ei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0.35555555555555557</v>
      </c>
      <c r="C107" s="12" t="str">
        <f>INDEX('ei names mapping'!$B$38:$R$67,MATCH(B77,'ei names mapping'!$A$4:$A$33,0),MATCH(G107,'ei names mapping'!$B$3:$R$3,0))</f>
        <v>RER</v>
      </c>
      <c r="D107" s="12" t="str">
        <f>INDEX('ei names mapping'!$B$104:$R$133,MATCH($B$3,'ei names mapping'!$A$4:$A$33,0),MATCH(G107,'ei names mapping'!$B$3:$R$3,0))</f>
        <v>unit</v>
      </c>
      <c r="E107" s="12"/>
      <c r="F107" s="12" t="s">
        <v>91</v>
      </c>
      <c r="G107" s="21" t="s">
        <v>16</v>
      </c>
      <c r="H107" s="12" t="str">
        <f>INDEX('ei names mapping'!$B$71:$R$100,MATCH(B77,'ei names mapping'!$A$4:$A$33,0),MATCH(G107,'ei names mapping'!$B$3:$R$3,0))</f>
        <v>motor scooter, 50 cubic cm engine</v>
      </c>
    </row>
    <row r="108" spans="1:8"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mapping'!$A$4:$A$33,0),MATCH(G108,'ei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0.78749999999999998</v>
      </c>
      <c r="C109" s="12" t="str">
        <f>INDEX('ei names mapping'!$B$38:$R$67,MATCH(B77,'ei names mapping'!$A$4:$A$33,0),MATCH(G109,'ei names mapping'!$B$3:$R$3,0))</f>
        <v>RER</v>
      </c>
      <c r="D109" s="12" t="str">
        <f>INDEX('ei names mapping'!$B$104:$R$133,MATCH($B$3,'ei names mapping'!$A$4:$A$33,0),MATCH(G109,'ei names mapping'!$B$3:$R$3,0))</f>
        <v>kilogram</v>
      </c>
      <c r="E109" s="12"/>
      <c r="F109" s="12" t="s">
        <v>91</v>
      </c>
      <c r="G109" s="21" t="s">
        <v>24</v>
      </c>
      <c r="H109" s="12" t="str">
        <f>INDEX('ei names mapping'!$B$71:$R$100,MATCH(B77,'ei names mapping'!$A$4:$A$33,0),MATCH(G109,'ei names mapping'!$B$3:$R$3,0))</f>
        <v>polyethylene, high density, granulate</v>
      </c>
    </row>
    <row r="110" spans="1:8" x14ac:dyDescent="0.3">
      <c r="A110" s="22" t="s">
        <v>468</v>
      </c>
      <c r="B110" s="21">
        <f>(B90/1000)*B101</f>
        <v>91.037499999999994</v>
      </c>
      <c r="C110" s="21" t="s">
        <v>94</v>
      </c>
      <c r="D110" s="21" t="s">
        <v>243</v>
      </c>
      <c r="F110" s="21" t="s">
        <v>91</v>
      </c>
      <c r="H110" s="22" t="s">
        <v>469</v>
      </c>
    </row>
    <row r="111" spans="1:8" x14ac:dyDescent="0.3">
      <c r="A111" s="22" t="s">
        <v>467</v>
      </c>
      <c r="B111" s="2">
        <f>(B90/1000)*B100</f>
        <v>1447.4962499999999</v>
      </c>
      <c r="C111" s="21" t="s">
        <v>98</v>
      </c>
      <c r="D111" s="21" t="s">
        <v>243</v>
      </c>
      <c r="F111" s="21" t="s">
        <v>91</v>
      </c>
      <c r="H111" s="22" t="s">
        <v>467</v>
      </c>
    </row>
    <row r="113" spans="1:2" ht="15.6" x14ac:dyDescent="0.3">
      <c r="A113" s="11" t="s">
        <v>72</v>
      </c>
      <c r="B113" s="9" t="str">
        <f>B115&amp;", "&amp;B117</f>
        <v>Scooter, gasoline, &lt;4kW, EURO-5, 2030</v>
      </c>
    </row>
    <row r="114" spans="1:2" x14ac:dyDescent="0.3">
      <c r="A114" s="21" t="s">
        <v>73</v>
      </c>
      <c r="B114" s="21" t="s">
        <v>37</v>
      </c>
    </row>
    <row r="115" spans="1:2" x14ac:dyDescent="0.3">
      <c r="A115" s="21" t="s">
        <v>87</v>
      </c>
      <c r="B115" s="21" t="s">
        <v>677</v>
      </c>
    </row>
    <row r="116" spans="1:2" x14ac:dyDescent="0.3">
      <c r="A116" s="21" t="s">
        <v>88</v>
      </c>
      <c r="B116" s="12"/>
    </row>
    <row r="117" spans="1:2" x14ac:dyDescent="0.3">
      <c r="A117" s="21" t="s">
        <v>89</v>
      </c>
      <c r="B117" s="12">
        <v>2030</v>
      </c>
    </row>
    <row r="118" spans="1:2" x14ac:dyDescent="0.3">
      <c r="A118" s="21" t="s">
        <v>131</v>
      </c>
      <c r="B118" s="12" t="str">
        <f>B115&amp;" - "&amp;B117&amp;" - "&amp;B114</f>
        <v>Scooter, gasoline, &lt;4kW, EURO-5 - 2030 - CH</v>
      </c>
    </row>
    <row r="119" spans="1:2" x14ac:dyDescent="0.3">
      <c r="A119" s="21" t="s">
        <v>74</v>
      </c>
      <c r="B119" s="21" t="str">
        <f>B115</f>
        <v>Scooter, gasoline, &lt;4kW, EURO-5</v>
      </c>
    </row>
    <row r="120" spans="1:2" x14ac:dyDescent="0.3">
      <c r="A120" s="21" t="s">
        <v>75</v>
      </c>
      <c r="B120" s="21" t="s">
        <v>76</v>
      </c>
    </row>
    <row r="121" spans="1:2" x14ac:dyDescent="0.3">
      <c r="A121" s="21" t="s">
        <v>77</v>
      </c>
      <c r="B121" s="21" t="s">
        <v>77</v>
      </c>
    </row>
    <row r="122" spans="1:2" x14ac:dyDescent="0.3">
      <c r="A122" s="21" t="s">
        <v>79</v>
      </c>
      <c r="B122" s="21" t="s">
        <v>90</v>
      </c>
    </row>
    <row r="123" spans="1:2" x14ac:dyDescent="0.3">
      <c r="A123" s="21" t="s">
        <v>132</v>
      </c>
      <c r="B123" s="21">
        <f>INDEX('vehicles specifications'!$B$3:$CK$86,MATCH(B118,'vehicles specifications'!$A$3:$A$86,0),MATCH("Lifetime [km]",'vehicles specifications'!$B$2:$CK$2,0))</f>
        <v>33400</v>
      </c>
    </row>
    <row r="124" spans="1:2" x14ac:dyDescent="0.3">
      <c r="A124" s="21" t="s">
        <v>133</v>
      </c>
      <c r="B124" s="21">
        <f>INDEX('vehicles specifications'!$B$3:$CK$86,MATCH(B118,'vehicles specifications'!$A$3:$A$86,0),MATCH("Passengers [unit]",'vehicles specifications'!$B$2:$CK$2,0))</f>
        <v>1</v>
      </c>
    </row>
    <row r="125" spans="1:2" x14ac:dyDescent="0.3">
      <c r="A125" s="21" t="s">
        <v>134</v>
      </c>
      <c r="B125" s="21">
        <f>INDEX('vehicles specifications'!$B$3:$CK$86,MATCH(B118,'vehicles specifications'!$A$3:$A$86,0),MATCH("Servicing [unit]",'vehicles specifications'!$B$2:$CK$2,0))</f>
        <v>1</v>
      </c>
    </row>
    <row r="126" spans="1:2" x14ac:dyDescent="0.3">
      <c r="A126" s="21" t="s">
        <v>135</v>
      </c>
      <c r="B126" s="21">
        <f>INDEX('vehicles specifications'!$B$3:$CK$86,MATCH(B118,'vehicles specifications'!$A$3:$A$86,0),MATCH("Energy battery replacement [unit]",'vehicles specifications'!$B$2:$CK$2,0))</f>
        <v>0</v>
      </c>
    </row>
    <row r="127" spans="1:2" x14ac:dyDescent="0.3">
      <c r="A127" s="21" t="s">
        <v>136</v>
      </c>
      <c r="B127" s="21">
        <f>INDEX('vehicles specifications'!$B$3:$CK$86,MATCH(B118,'vehicles specifications'!$A$3:$A$86,0),MATCH("Annual kilometers [km]",'vehicles specifications'!$B$2:$CK$2,0))</f>
        <v>2553</v>
      </c>
    </row>
    <row r="128" spans="1:2" x14ac:dyDescent="0.3">
      <c r="A128" s="21" t="s">
        <v>137</v>
      </c>
      <c r="B128" s="2">
        <f>INDEX('vehicles specifications'!$B$3:$CK$86,MATCH(B118,'vehicles specifications'!$A$3:$A$86,0),MATCH("Curb mass [kg]",'vehicles specifications'!$B$2:$CK$2,0))</f>
        <v>88.447499999999991</v>
      </c>
    </row>
    <row r="129" spans="1:8" x14ac:dyDescent="0.3">
      <c r="A129" s="21" t="s">
        <v>138</v>
      </c>
      <c r="B129" s="21">
        <f>INDEX('vehicles specifications'!$B$3:$CK$86,MATCH(B118,'vehicles specifications'!$A$3:$A$86,0),MATCH("Power [kW]",'vehicles specifications'!$B$2:$CK$2,0))</f>
        <v>2.8</v>
      </c>
    </row>
    <row r="130" spans="1:8" x14ac:dyDescent="0.3">
      <c r="A130" s="21" t="s">
        <v>139</v>
      </c>
      <c r="B130" s="21">
        <f>INDEX('vehicles specifications'!$B$3:$CK$86,MATCH(B118,'vehicles specifications'!$A$3:$A$86,0),MATCH("Energy battery mass [kg]",'vehicles specifications'!$B$2:$CK$2,0))</f>
        <v>0</v>
      </c>
    </row>
    <row r="131" spans="1:8" x14ac:dyDescent="0.3">
      <c r="A131" s="21" t="s">
        <v>140</v>
      </c>
      <c r="B131" s="21">
        <f>INDEX('vehicles specifications'!$B$3:$CK$86,MATCH(B118,'vehicles specifications'!$A$3:$A$86,0),MATCH("Electric energy available [kWh]",'vehicles specifications'!$B$2:$CK$2,0))</f>
        <v>0</v>
      </c>
    </row>
    <row r="132" spans="1:8" x14ac:dyDescent="0.3">
      <c r="A132" s="21" t="s">
        <v>143</v>
      </c>
      <c r="B132" s="2">
        <f>INDEX('vehicles specifications'!$B$3:$CK$86,MATCH(B118,'vehicles specifications'!$A$3:$A$86,0),MATCH("Oxydation energy stored [kWh]",'vehicles specifications'!$B$2:$CK$2,0))</f>
        <v>61.833333333333329</v>
      </c>
    </row>
    <row r="133" spans="1:8" x14ac:dyDescent="0.3">
      <c r="A133" s="21" t="s">
        <v>145</v>
      </c>
      <c r="B133" s="21">
        <f>INDEX('vehicles specifications'!$B$3:$CK$86,MATCH(B118,'vehicles specifications'!$A$3:$A$86,0),MATCH("Fuel mass [kg]",'vehicles specifications'!$B$2:$CK$2,0))</f>
        <v>5.25</v>
      </c>
    </row>
    <row r="134" spans="1:8" x14ac:dyDescent="0.3">
      <c r="A134" s="21" t="s">
        <v>141</v>
      </c>
      <c r="B134" s="2">
        <f>INDEX('vehicles specifications'!$B$3:$CK$86,MATCH(B118,'vehicles specifications'!$A$3:$A$86,0),MATCH("Range [km]",'vehicles specifications'!$B$2:$CK$2,0))</f>
        <v>174.5002303665438</v>
      </c>
    </row>
    <row r="135" spans="1:8" x14ac:dyDescent="0.3">
      <c r="A135" s="21" t="s">
        <v>142</v>
      </c>
      <c r="B135" s="21" t="str">
        <f>INDEX('vehicles specifications'!$B$3:$CK$86,MATCH(B118,'vehicles specifications'!$A$3:$A$86,0),MATCH("Emission standard",'vehicles specifications'!$B$2:$CK$2,0))</f>
        <v>EURO-5</v>
      </c>
    </row>
    <row r="136" spans="1:8" x14ac:dyDescent="0.3">
      <c r="A136" s="21" t="s">
        <v>144</v>
      </c>
      <c r="B136" s="6">
        <f>INDEX('vehicles specifications'!$B$3:$CK$86,MATCH(B118,'vehicles specifications'!$A$3:$A$86,0),MATCH("Lightweighting rate [%]",'vehicles specifications'!$B$2:$CK$2,0))</f>
        <v>0.03</v>
      </c>
    </row>
    <row r="137" spans="1:8" x14ac:dyDescent="0.3">
      <c r="A137" s="21" t="s">
        <v>513</v>
      </c>
      <c r="B137" s="6" t="s">
        <v>514</v>
      </c>
    </row>
    <row r="138" spans="1:8" x14ac:dyDescent="0.3">
      <c r="A138" s="21" t="s">
        <v>515</v>
      </c>
      <c r="B138" s="2">
        <v>15900</v>
      </c>
    </row>
    <row r="139" spans="1:8" x14ac:dyDescent="0.3">
      <c r="A139" s="21" t="s">
        <v>516</v>
      </c>
      <c r="B139" s="2">
        <v>1000</v>
      </c>
    </row>
    <row r="140" spans="1:8"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2.8 kW. Lifetime: 33400 km. Annual kilometers: 2553 km. Number of passengers: 1. Curb mass: 88.4 kg. Lightweighting of glider: 3%. Emission standard: EURO-5. Service visits throughout lifetime: 1. Range: 175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s="21" t="s">
        <v>81</v>
      </c>
      <c r="B142" s="21" t="s">
        <v>82</v>
      </c>
      <c r="C142" s="21" t="s">
        <v>73</v>
      </c>
      <c r="D142" s="21" t="s">
        <v>77</v>
      </c>
      <c r="E142" s="21" t="s">
        <v>83</v>
      </c>
      <c r="F142" s="21" t="s">
        <v>75</v>
      </c>
      <c r="G142" s="21" t="s">
        <v>84</v>
      </c>
      <c r="H142" s="21" t="s">
        <v>74</v>
      </c>
    </row>
    <row r="143" spans="1:8" x14ac:dyDescent="0.3">
      <c r="A143" s="12" t="str">
        <f>B113</f>
        <v>Scooter, gasoline, &lt;4kW, EURO-5, 2030</v>
      </c>
      <c r="B143" s="12">
        <v>1</v>
      </c>
      <c r="C143" s="12" t="str">
        <f>B114</f>
        <v>CH</v>
      </c>
      <c r="D143" s="12" t="str">
        <f>B121</f>
        <v>unit</v>
      </c>
      <c r="E143" s="12"/>
      <c r="F143" s="12" t="s">
        <v>85</v>
      </c>
      <c r="G143" s="12" t="s">
        <v>86</v>
      </c>
      <c r="H143" s="12" t="str">
        <f>B115</f>
        <v>Scooter, gasoline, &lt;4kW,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0.58888888888888891</v>
      </c>
      <c r="C144" s="12" t="str">
        <f>INDEX('ei names mapping'!$B$38:$R$67,MATCH(B115,'ei names mapping'!$A$4:$A$33,0),MATCH(G144,'ei names mapping'!$B$3:$R$3,0))</f>
        <v>RER</v>
      </c>
      <c r="D144" s="12" t="str">
        <f>INDEX('ei names mapping'!$B$104:$R$133,MATCH($B$3,'ei names mapping'!$A$4:$A$33,0),MATCH(G144,'ei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0.34444444444444444</v>
      </c>
      <c r="C145" s="12" t="str">
        <f>INDEX('ei names mapping'!$B$38:$R$67,MATCH(B115,'ei names mapping'!$A$4:$A$33,0),MATCH(G145,'ei names mapping'!$B$3:$R$3,0))</f>
        <v>RER</v>
      </c>
      <c r="D145" s="12" t="str">
        <f>INDEX('ei names mapping'!$B$104:$R$133,MATCH($B$3,'ei names mapping'!$A$4:$A$33,0),MATCH(G145,'ei names mapping'!$B$3:$R$3,0))</f>
        <v>unit</v>
      </c>
      <c r="E145" s="12"/>
      <c r="F145" s="12" t="s">
        <v>91</v>
      </c>
      <c r="G145" s="21" t="s">
        <v>16</v>
      </c>
      <c r="H145" s="12" t="str">
        <f>INDEX('ei names mapping'!$B$71:$R$100,MATCH(B115,'ei names mapping'!$A$4:$A$33,0),MATCH(G145,'ei names mapping'!$B$3:$R$3,0))</f>
        <v>motor scooter, 50 cubic cm engine</v>
      </c>
    </row>
    <row r="146" spans="1:8"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1.5899999999999999</v>
      </c>
      <c r="C146" s="12" t="str">
        <f>INDEX('ei names mapping'!$B$38:$R$67,MATCH(B115,'ei names mapping'!$A$4:$A$33,0),MATCH(G146,'ei names mapping'!$B$3:$R$3,0))</f>
        <v>GLO</v>
      </c>
      <c r="D146" s="12" t="str">
        <f>INDEX('ei names mapping'!$B$104:$R$133,MATCH(B115,'ei names mapping'!$A$4:$A$33,0),MATCH(G146,'ei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0.78749999999999998</v>
      </c>
      <c r="C147" s="12" t="str">
        <f>INDEX('ei names mapping'!$B$38:$R$67,MATCH(B115,'ei names mapping'!$A$4:$A$33,0),MATCH(G147,'ei names mapping'!$B$3:$R$3,0))</f>
        <v>RER</v>
      </c>
      <c r="D147" s="12" t="str">
        <f>INDEX('ei names mapping'!$B$104:$R$133,MATCH($B$3,'ei names mapping'!$A$4:$A$33,0),MATCH(G147,'ei names mapping'!$B$3:$R$3,0))</f>
        <v>kilogram</v>
      </c>
      <c r="E147" s="12"/>
      <c r="F147" s="12" t="s">
        <v>91</v>
      </c>
      <c r="G147" s="21" t="s">
        <v>24</v>
      </c>
      <c r="H147" s="12" t="str">
        <f>INDEX('ei names mapping'!$B$71:$R$100,MATCH(B115,'ei names mapping'!$A$4:$A$33,0),MATCH(G147,'ei names mapping'!$B$3:$R$3,0))</f>
        <v>polyethylene, high density, granulate</v>
      </c>
    </row>
    <row r="148" spans="1:8" x14ac:dyDescent="0.3">
      <c r="A148" s="22" t="s">
        <v>468</v>
      </c>
      <c r="B148" s="21">
        <f>(B128/1000)*B139</f>
        <v>88.447499999999991</v>
      </c>
      <c r="C148" s="21" t="s">
        <v>94</v>
      </c>
      <c r="D148" s="21" t="s">
        <v>243</v>
      </c>
      <c r="F148" s="21" t="s">
        <v>91</v>
      </c>
      <c r="H148" s="22" t="s">
        <v>469</v>
      </c>
    </row>
    <row r="149" spans="1:8" x14ac:dyDescent="0.3">
      <c r="A149" s="22" t="s">
        <v>467</v>
      </c>
      <c r="B149" s="2">
        <f>(B128/1000)*B138</f>
        <v>1406.3152499999997</v>
      </c>
      <c r="C149" s="21" t="s">
        <v>98</v>
      </c>
      <c r="D149" s="21" t="s">
        <v>243</v>
      </c>
      <c r="F149" s="21" t="s">
        <v>91</v>
      </c>
      <c r="H149" s="22" t="s">
        <v>467</v>
      </c>
    </row>
    <row r="151" spans="1:8" ht="15.6" x14ac:dyDescent="0.3">
      <c r="A151" s="11" t="s">
        <v>72</v>
      </c>
      <c r="B151" s="9" t="str">
        <f>B153&amp;", "&amp;B155</f>
        <v>Scooter, gasoline, &lt;4kW, EURO-5, 2040</v>
      </c>
    </row>
    <row r="152" spans="1:8" x14ac:dyDescent="0.3">
      <c r="A152" s="21" t="s">
        <v>73</v>
      </c>
      <c r="B152" s="21" t="s">
        <v>37</v>
      </c>
    </row>
    <row r="153" spans="1:8" x14ac:dyDescent="0.3">
      <c r="A153" s="21" t="s">
        <v>87</v>
      </c>
      <c r="B153" s="21" t="s">
        <v>677</v>
      </c>
    </row>
    <row r="154" spans="1:8" x14ac:dyDescent="0.3">
      <c r="A154" s="21" t="s">
        <v>88</v>
      </c>
      <c r="B154" s="12"/>
    </row>
    <row r="155" spans="1:8" x14ac:dyDescent="0.3">
      <c r="A155" s="21" t="s">
        <v>89</v>
      </c>
      <c r="B155" s="12">
        <v>2040</v>
      </c>
    </row>
    <row r="156" spans="1:8" x14ac:dyDescent="0.3">
      <c r="A156" s="21" t="s">
        <v>131</v>
      </c>
      <c r="B156" s="12" t="str">
        <f>B153&amp;" - "&amp;B155&amp;" - "&amp;B152</f>
        <v>Scooter, gasoline, &lt;4kW, EURO-5 - 2040 - CH</v>
      </c>
    </row>
    <row r="157" spans="1:8" x14ac:dyDescent="0.3">
      <c r="A157" s="21" t="s">
        <v>74</v>
      </c>
      <c r="B157" s="21" t="str">
        <f>B153</f>
        <v>Scooter, gasoline, &lt;4kW, EURO-5</v>
      </c>
    </row>
    <row r="158" spans="1:8" x14ac:dyDescent="0.3">
      <c r="A158" s="21" t="s">
        <v>75</v>
      </c>
      <c r="B158" s="21" t="s">
        <v>76</v>
      </c>
    </row>
    <row r="159" spans="1:8" x14ac:dyDescent="0.3">
      <c r="A159" s="21" t="s">
        <v>77</v>
      </c>
      <c r="B159" s="21" t="s">
        <v>77</v>
      </c>
    </row>
    <row r="160" spans="1:8" x14ac:dyDescent="0.3">
      <c r="A160" s="21" t="s">
        <v>79</v>
      </c>
      <c r="B160" s="21" t="s">
        <v>90</v>
      </c>
    </row>
    <row r="161" spans="1:2" x14ac:dyDescent="0.3">
      <c r="A161" s="21" t="s">
        <v>132</v>
      </c>
      <c r="B161" s="21">
        <f>INDEX('vehicles specifications'!$B$3:$CK$86,MATCH(B156,'vehicles specifications'!$A$3:$A$86,0),MATCH("Lifetime [km]",'vehicles specifications'!$B$2:$CK$2,0))</f>
        <v>33400</v>
      </c>
    </row>
    <row r="162" spans="1:2" x14ac:dyDescent="0.3">
      <c r="A162" s="21" t="s">
        <v>133</v>
      </c>
      <c r="B162" s="21">
        <f>INDEX('vehicles specifications'!$B$3:$CK$86,MATCH(B156,'vehicles specifications'!$A$3:$A$86,0),MATCH("Passengers [unit]",'vehicles specifications'!$B$2:$CK$2,0))</f>
        <v>1</v>
      </c>
    </row>
    <row r="163" spans="1:2" x14ac:dyDescent="0.3">
      <c r="A163" s="21" t="s">
        <v>134</v>
      </c>
      <c r="B163" s="21">
        <f>INDEX('vehicles specifications'!$B$3:$CK$86,MATCH(B156,'vehicles specifications'!$A$3:$A$86,0),MATCH("Servicing [unit]",'vehicles specifications'!$B$2:$CK$2,0))</f>
        <v>1</v>
      </c>
    </row>
    <row r="164" spans="1:2" x14ac:dyDescent="0.3">
      <c r="A164" s="21" t="s">
        <v>135</v>
      </c>
      <c r="B164" s="21">
        <f>INDEX('vehicles specifications'!$B$3:$CK$86,MATCH(B156,'vehicles specifications'!$A$3:$A$86,0),MATCH("Energy battery replacement [unit]",'vehicles specifications'!$B$2:$CK$2,0))</f>
        <v>0</v>
      </c>
    </row>
    <row r="165" spans="1:2" x14ac:dyDescent="0.3">
      <c r="A165" s="21" t="s">
        <v>136</v>
      </c>
      <c r="B165" s="21">
        <f>INDEX('vehicles specifications'!$B$3:$CK$86,MATCH(B156,'vehicles specifications'!$A$3:$A$86,0),MATCH("Annual kilometers [km]",'vehicles specifications'!$B$2:$CK$2,0))</f>
        <v>2553</v>
      </c>
    </row>
    <row r="166" spans="1:2" x14ac:dyDescent="0.3">
      <c r="A166" s="21" t="s">
        <v>137</v>
      </c>
      <c r="B166" s="2">
        <f>INDEX('vehicles specifications'!$B$3:$CK$86,MATCH(B156,'vehicles specifications'!$A$3:$A$86,0),MATCH("Curb mass [kg]",'vehicles specifications'!$B$2:$CK$2,0))</f>
        <v>86.487499999999983</v>
      </c>
    </row>
    <row r="167" spans="1:2" x14ac:dyDescent="0.3">
      <c r="A167" s="21" t="s">
        <v>138</v>
      </c>
      <c r="B167" s="21">
        <f>INDEX('vehicles specifications'!$B$3:$CK$86,MATCH(B156,'vehicles specifications'!$A$3:$A$86,0),MATCH("Power [kW]",'vehicles specifications'!$B$2:$CK$2,0))</f>
        <v>2.8</v>
      </c>
    </row>
    <row r="168" spans="1:2" x14ac:dyDescent="0.3">
      <c r="A168" s="21" t="s">
        <v>139</v>
      </c>
      <c r="B168" s="21">
        <f>INDEX('vehicles specifications'!$B$3:$CK$86,MATCH(B156,'vehicles specifications'!$A$3:$A$86,0),MATCH("Energy battery mass [kg]",'vehicles specifications'!$B$2:$CK$2,0))</f>
        <v>0</v>
      </c>
    </row>
    <row r="169" spans="1:2" x14ac:dyDescent="0.3">
      <c r="A169" s="21" t="s">
        <v>140</v>
      </c>
      <c r="B169" s="21">
        <f>INDEX('vehicles specifications'!$B$3:$CK$86,MATCH(B156,'vehicles specifications'!$A$3:$A$86,0),MATCH("Electric energy available [kWh]",'vehicles specifications'!$B$2:$CK$2,0))</f>
        <v>0</v>
      </c>
    </row>
    <row r="170" spans="1:2" x14ac:dyDescent="0.3">
      <c r="A170" s="21" t="s">
        <v>143</v>
      </c>
      <c r="B170" s="2">
        <f>INDEX('vehicles specifications'!$B$3:$CK$86,MATCH(B156,'vehicles specifications'!$A$3:$A$86,0),MATCH("Oxydation energy stored [kWh]",'vehicles specifications'!$B$2:$CK$2,0))</f>
        <v>61.833333333333329</v>
      </c>
    </row>
    <row r="171" spans="1:2" x14ac:dyDescent="0.3">
      <c r="A171" s="21" t="s">
        <v>145</v>
      </c>
      <c r="B171" s="21">
        <f>INDEX('vehicles specifications'!$B$3:$CK$86,MATCH(B156,'vehicles specifications'!$A$3:$A$86,0),MATCH("Fuel mass [kg]",'vehicles specifications'!$B$2:$CK$2,0))</f>
        <v>5.25</v>
      </c>
    </row>
    <row r="172" spans="1:2" x14ac:dyDescent="0.3">
      <c r="A172" s="21" t="s">
        <v>141</v>
      </c>
      <c r="B172" s="2">
        <f>INDEX('vehicles specifications'!$B$3:$CK$86,MATCH(B156,'vehicles specifications'!$A$3:$A$86,0),MATCH("Range [km]",'vehicles specifications'!$B$2:$CK$2,0))</f>
        <v>176.26285895610485</v>
      </c>
    </row>
    <row r="173" spans="1:2" x14ac:dyDescent="0.3">
      <c r="A173" s="21" t="s">
        <v>142</v>
      </c>
      <c r="B173" s="21" t="str">
        <f>INDEX('vehicles specifications'!$B$3:$CK$86,MATCH(B156,'vehicles specifications'!$A$3:$A$86,0),MATCH("Emission standard",'vehicles specifications'!$B$2:$CK$2,0))</f>
        <v>EURO-5</v>
      </c>
    </row>
    <row r="174" spans="1:2" x14ac:dyDescent="0.3">
      <c r="A174" s="21" t="s">
        <v>144</v>
      </c>
      <c r="B174" s="6">
        <f>INDEX('vehicles specifications'!$B$3:$CK$86,MATCH(B156,'vehicles specifications'!$A$3:$A$86,0),MATCH("Lightweighting rate [%]",'vehicles specifications'!$B$2:$CK$2,0))</f>
        <v>0.05</v>
      </c>
    </row>
    <row r="175" spans="1:2" x14ac:dyDescent="0.3">
      <c r="A175" s="21" t="s">
        <v>513</v>
      </c>
      <c r="B175" s="6" t="s">
        <v>514</v>
      </c>
    </row>
    <row r="176" spans="1:2" x14ac:dyDescent="0.3">
      <c r="A176" s="21" t="s">
        <v>515</v>
      </c>
      <c r="B176" s="2">
        <v>15900</v>
      </c>
    </row>
    <row r="177" spans="1:8" x14ac:dyDescent="0.3">
      <c r="A177" s="21" t="s">
        <v>516</v>
      </c>
      <c r="B177" s="2">
        <v>1000</v>
      </c>
    </row>
    <row r="178" spans="1:8"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2.8 kW. Lifetime: 33400 km. Annual kilometers: 2553 km. Number of passengers: 1. Curb mass: 86.5 kg. Lightweighting of glider: 5%. Emission standard: EURO-5. Service visits throughout lifetime: 1. Range: 176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s="21" t="s">
        <v>81</v>
      </c>
      <c r="B180" s="21" t="s">
        <v>82</v>
      </c>
      <c r="C180" s="21" t="s">
        <v>73</v>
      </c>
      <c r="D180" s="21" t="s">
        <v>77</v>
      </c>
      <c r="E180" s="21" t="s">
        <v>83</v>
      </c>
      <c r="F180" s="21" t="s">
        <v>75</v>
      </c>
      <c r="G180" s="21" t="s">
        <v>84</v>
      </c>
      <c r="H180" s="21" t="s">
        <v>74</v>
      </c>
    </row>
    <row r="181" spans="1:8" x14ac:dyDescent="0.3">
      <c r="A181" s="12" t="str">
        <f>B151</f>
        <v>Scooter, gasoline, &lt;4kW, EURO-5, 2040</v>
      </c>
      <c r="B181" s="12">
        <v>1</v>
      </c>
      <c r="C181" s="12" t="str">
        <f>B152</f>
        <v>CH</v>
      </c>
      <c r="D181" s="12" t="str">
        <f>B159</f>
        <v>unit</v>
      </c>
      <c r="E181" s="12"/>
      <c r="F181" s="12" t="s">
        <v>85</v>
      </c>
      <c r="G181" s="12" t="s">
        <v>86</v>
      </c>
      <c r="H181" s="12" t="str">
        <f>B153</f>
        <v>Scooter, gasoline, &lt;4kW,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0.58888888888888891</v>
      </c>
      <c r="C182" s="12" t="str">
        <f>INDEX('ei names mapping'!$B$38:$R$67,MATCH(B153,'ei names mapping'!$A$4:$A$33,0),MATCH(G182,'ei names mapping'!$B$3:$R$3,0))</f>
        <v>RER</v>
      </c>
      <c r="D182" s="12" t="str">
        <f>INDEX('ei names mapping'!$B$104:$R$133,MATCH($B$3,'ei names mapping'!$A$4:$A$33,0),MATCH(G182,'ei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0.33444444444444449</v>
      </c>
      <c r="C183" s="12" t="str">
        <f>INDEX('ei names mapping'!$B$38:$R$67,MATCH(B153,'ei names mapping'!$A$4:$A$33,0),MATCH(G183,'ei names mapping'!$B$3:$R$3,0))</f>
        <v>RER</v>
      </c>
      <c r="D183" s="12" t="str">
        <f>INDEX('ei names mapping'!$B$104:$R$133,MATCH($B$3,'ei names mapping'!$A$4:$A$33,0),MATCH(G183,'ei names mapping'!$B$3:$R$3,0))</f>
        <v>unit</v>
      </c>
      <c r="E183" s="12"/>
      <c r="F183" s="12" t="s">
        <v>91</v>
      </c>
      <c r="G183" s="21" t="s">
        <v>16</v>
      </c>
      <c r="H183" s="12" t="str">
        <f>INDEX('ei names mapping'!$B$71:$R$100,MATCH(B153,'ei names mapping'!$A$4:$A$33,0),MATCH(G183,'ei names mapping'!$B$3:$R$3,0))</f>
        <v>motor scooter, 50 cubic cm engine</v>
      </c>
    </row>
    <row r="184" spans="1:8"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2.6500000000000004</v>
      </c>
      <c r="C184" s="12" t="str">
        <f>INDEX('ei names mapping'!$B$38:$R$67,MATCH(B153,'ei names mapping'!$A$4:$A$33,0),MATCH(G184,'ei names mapping'!$B$3:$R$3,0))</f>
        <v>GLO</v>
      </c>
      <c r="D184" s="12" t="str">
        <f>INDEX('ei names mapping'!$B$104:$R$133,MATCH(B153,'ei names mapping'!$A$4:$A$33,0),MATCH(G184,'ei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0.78749999999999998</v>
      </c>
      <c r="C185" s="12" t="str">
        <f>INDEX('ei names mapping'!$B$38:$R$67,MATCH(B153,'ei names mapping'!$A$4:$A$33,0),MATCH(G185,'ei names mapping'!$B$3:$R$3,0))</f>
        <v>RER</v>
      </c>
      <c r="D185" s="12" t="str">
        <f>INDEX('ei names mapping'!$B$104:$R$133,MATCH($B$3,'ei names mapping'!$A$4:$A$33,0),MATCH(G185,'ei names mapping'!$B$3:$R$3,0))</f>
        <v>kilogram</v>
      </c>
      <c r="E185" s="12"/>
      <c r="F185" s="12" t="s">
        <v>91</v>
      </c>
      <c r="G185" s="21" t="s">
        <v>24</v>
      </c>
      <c r="H185" s="12" t="str">
        <f>INDEX('ei names mapping'!$B$71:$R$100,MATCH(B153,'ei names mapping'!$A$4:$A$33,0),MATCH(G185,'ei names mapping'!$B$3:$R$3,0))</f>
        <v>polyethylene, high density, granulate</v>
      </c>
    </row>
    <row r="186" spans="1:8" x14ac:dyDescent="0.3">
      <c r="A186" s="22" t="s">
        <v>468</v>
      </c>
      <c r="B186" s="21">
        <f>(B166/1000)*B177</f>
        <v>86.487499999999983</v>
      </c>
      <c r="C186" s="21" t="s">
        <v>94</v>
      </c>
      <c r="D186" s="21" t="s">
        <v>243</v>
      </c>
      <c r="F186" s="21" t="s">
        <v>91</v>
      </c>
      <c r="H186" s="22" t="s">
        <v>469</v>
      </c>
    </row>
    <row r="187" spans="1:8" x14ac:dyDescent="0.3">
      <c r="A187" s="22" t="s">
        <v>467</v>
      </c>
      <c r="B187" s="2">
        <f>(B166/1000)*B176</f>
        <v>1375.1512499999997</v>
      </c>
      <c r="C187" s="21" t="s">
        <v>98</v>
      </c>
      <c r="D187" s="21" t="s">
        <v>243</v>
      </c>
      <c r="F187" s="21" t="s">
        <v>91</v>
      </c>
      <c r="H187" s="22" t="s">
        <v>467</v>
      </c>
    </row>
    <row r="189" spans="1:8" ht="15.6" x14ac:dyDescent="0.3">
      <c r="A189" s="11" t="s">
        <v>72</v>
      </c>
      <c r="B189" s="9" t="str">
        <f>B191&amp;", "&amp;B193</f>
        <v>Scooter, gasoline, &lt;4kW, EURO-5, 2050</v>
      </c>
    </row>
    <row r="190" spans="1:8" x14ac:dyDescent="0.3">
      <c r="A190" s="21" t="s">
        <v>73</v>
      </c>
      <c r="B190" s="21" t="s">
        <v>37</v>
      </c>
    </row>
    <row r="191" spans="1:8" x14ac:dyDescent="0.3">
      <c r="A191" s="21" t="s">
        <v>87</v>
      </c>
      <c r="B191" s="21" t="s">
        <v>677</v>
      </c>
    </row>
    <row r="192" spans="1:8" x14ac:dyDescent="0.3">
      <c r="A192" s="21" t="s">
        <v>88</v>
      </c>
      <c r="B192" s="12"/>
    </row>
    <row r="193" spans="1:2" x14ac:dyDescent="0.3">
      <c r="A193" s="21" t="s">
        <v>89</v>
      </c>
      <c r="B193" s="12">
        <v>2050</v>
      </c>
    </row>
    <row r="194" spans="1:2" x14ac:dyDescent="0.3">
      <c r="A194" s="21" t="s">
        <v>131</v>
      </c>
      <c r="B194" s="12" t="str">
        <f>B191&amp;" - "&amp;B193&amp;" - "&amp;B190</f>
        <v>Scooter, gasoline, &lt;4kW, EURO-5 - 2050 - CH</v>
      </c>
    </row>
    <row r="195" spans="1:2" x14ac:dyDescent="0.3">
      <c r="A195" s="21" t="s">
        <v>74</v>
      </c>
      <c r="B195" s="21" t="str">
        <f>B191</f>
        <v>Scooter, gasoline, &lt;4kW, EURO-5</v>
      </c>
    </row>
    <row r="196" spans="1:2" x14ac:dyDescent="0.3">
      <c r="A196" s="21" t="s">
        <v>75</v>
      </c>
      <c r="B196" s="21" t="s">
        <v>76</v>
      </c>
    </row>
    <row r="197" spans="1:2" x14ac:dyDescent="0.3">
      <c r="A197" s="21" t="s">
        <v>77</v>
      </c>
      <c r="B197" s="21" t="s">
        <v>77</v>
      </c>
    </row>
    <row r="198" spans="1:2" x14ac:dyDescent="0.3">
      <c r="A198" s="21" t="s">
        <v>79</v>
      </c>
      <c r="B198" s="21" t="s">
        <v>90</v>
      </c>
    </row>
    <row r="199" spans="1:2" x14ac:dyDescent="0.3">
      <c r="A199" s="21" t="s">
        <v>132</v>
      </c>
      <c r="B199" s="21">
        <f>INDEX('vehicles specifications'!$B$3:$CK$86,MATCH(B194,'vehicles specifications'!$A$3:$A$86,0),MATCH("Lifetime [km]",'vehicles specifications'!$B$2:$CK$2,0))</f>
        <v>33400</v>
      </c>
    </row>
    <row r="200" spans="1:2" x14ac:dyDescent="0.3">
      <c r="A200" s="21" t="s">
        <v>133</v>
      </c>
      <c r="B200" s="21">
        <f>INDEX('vehicles specifications'!$B$3:$CK$86,MATCH(B194,'vehicles specifications'!$A$3:$A$86,0),MATCH("Passengers [unit]",'vehicles specifications'!$B$2:$CK$2,0))</f>
        <v>1</v>
      </c>
    </row>
    <row r="201" spans="1:2" x14ac:dyDescent="0.3">
      <c r="A201" s="21" t="s">
        <v>134</v>
      </c>
      <c r="B201" s="21">
        <f>INDEX('vehicles specifications'!$B$3:$CK$86,MATCH(B194,'vehicles specifications'!$A$3:$A$86,0),MATCH("Servicing [unit]",'vehicles specifications'!$B$2:$CK$2,0))</f>
        <v>1</v>
      </c>
    </row>
    <row r="202" spans="1:2" x14ac:dyDescent="0.3">
      <c r="A202" s="21" t="s">
        <v>135</v>
      </c>
      <c r="B202" s="21">
        <f>INDEX('vehicles specifications'!$B$3:$CK$86,MATCH(B194,'vehicles specifications'!$A$3:$A$86,0),MATCH("Energy battery replacement [unit]",'vehicles specifications'!$B$2:$CK$2,0))</f>
        <v>0</v>
      </c>
    </row>
    <row r="203" spans="1:2" x14ac:dyDescent="0.3">
      <c r="A203" s="21" t="s">
        <v>136</v>
      </c>
      <c r="B203" s="21">
        <f>INDEX('vehicles specifications'!$B$3:$CK$86,MATCH(B194,'vehicles specifications'!$A$3:$A$86,0),MATCH("Annual kilometers [km]",'vehicles specifications'!$B$2:$CK$2,0))</f>
        <v>2553</v>
      </c>
    </row>
    <row r="204" spans="1:2" x14ac:dyDescent="0.3">
      <c r="A204" s="21" t="s">
        <v>137</v>
      </c>
      <c r="B204" s="2">
        <f>INDEX('vehicles specifications'!$B$3:$CK$86,MATCH(B194,'vehicles specifications'!$A$3:$A$86,0),MATCH("Curb mass [kg]",'vehicles specifications'!$B$2:$CK$2,0))</f>
        <v>84.527499999999989</v>
      </c>
    </row>
    <row r="205" spans="1:2" x14ac:dyDescent="0.3">
      <c r="A205" s="21" t="s">
        <v>138</v>
      </c>
      <c r="B205" s="21">
        <f>INDEX('vehicles specifications'!$B$3:$CK$86,MATCH(B194,'vehicles specifications'!$A$3:$A$86,0),MATCH("Power [kW]",'vehicles specifications'!$B$2:$CK$2,0))</f>
        <v>2.8</v>
      </c>
    </row>
    <row r="206" spans="1:2" x14ac:dyDescent="0.3">
      <c r="A206" s="21" t="s">
        <v>139</v>
      </c>
      <c r="B206" s="21">
        <f>INDEX('vehicles specifications'!$B$3:$CK$86,MATCH(B194,'vehicles specifications'!$A$3:$A$86,0),MATCH("Energy battery mass [kg]",'vehicles specifications'!$B$2:$CK$2,0))</f>
        <v>0</v>
      </c>
    </row>
    <row r="207" spans="1:2" x14ac:dyDescent="0.3">
      <c r="A207" s="21" t="s">
        <v>140</v>
      </c>
      <c r="B207" s="21">
        <f>INDEX('vehicles specifications'!$B$3:$CK$86,MATCH(B194,'vehicles specifications'!$A$3:$A$86,0),MATCH("Electric energy available [kWh]",'vehicles specifications'!$B$2:$CK$2,0))</f>
        <v>0</v>
      </c>
    </row>
    <row r="208" spans="1:2" x14ac:dyDescent="0.3">
      <c r="A208" s="21" t="s">
        <v>143</v>
      </c>
      <c r="B208" s="2">
        <f>INDEX('vehicles specifications'!$B$3:$CK$86,MATCH(B194,'vehicles specifications'!$A$3:$A$86,0),MATCH("Oxydation energy stored [kWh]",'vehicles specifications'!$B$2:$CK$2,0))</f>
        <v>61.833333333333329</v>
      </c>
    </row>
    <row r="209" spans="1:8" x14ac:dyDescent="0.3">
      <c r="A209" s="21" t="s">
        <v>145</v>
      </c>
      <c r="B209" s="21">
        <f>INDEX('vehicles specifications'!$B$3:$CK$86,MATCH(B194,'vehicles specifications'!$A$3:$A$86,0),MATCH("Fuel mass [kg]",'vehicles specifications'!$B$2:$CK$2,0))</f>
        <v>5.25</v>
      </c>
    </row>
    <row r="210" spans="1:8" x14ac:dyDescent="0.3">
      <c r="A210" s="21" t="s">
        <v>141</v>
      </c>
      <c r="B210" s="2">
        <f>INDEX('vehicles specifications'!$B$3:$CK$86,MATCH(B194,'vehicles specifications'!$A$3:$A$86,0),MATCH("Range [km]",'vehicles specifications'!$B$2:$CK$2,0))</f>
        <v>178.04329187485337</v>
      </c>
    </row>
    <row r="211" spans="1:8" x14ac:dyDescent="0.3">
      <c r="A211" s="21" t="s">
        <v>142</v>
      </c>
      <c r="B211" s="21" t="str">
        <f>INDEX('vehicles specifications'!$B$3:$CK$86,MATCH(B194,'vehicles specifications'!$A$3:$A$86,0),MATCH("Emission standard",'vehicles specifications'!$B$2:$CK$2,0))</f>
        <v>EURO-5</v>
      </c>
    </row>
    <row r="212" spans="1:8" x14ac:dyDescent="0.3">
      <c r="A212" s="21" t="s">
        <v>144</v>
      </c>
      <c r="B212" s="6">
        <f>INDEX('vehicles specifications'!$B$3:$CK$86,MATCH(B194,'vehicles specifications'!$A$3:$A$86,0),MATCH("Lightweighting rate [%]",'vehicles specifications'!$B$2:$CK$2,0))</f>
        <v>7.0000000000000007E-2</v>
      </c>
    </row>
    <row r="213" spans="1:8" x14ac:dyDescent="0.3">
      <c r="A213" s="21" t="s">
        <v>513</v>
      </c>
      <c r="B213" s="6" t="s">
        <v>514</v>
      </c>
    </row>
    <row r="214" spans="1:8" x14ac:dyDescent="0.3">
      <c r="A214" s="21" t="s">
        <v>515</v>
      </c>
      <c r="B214" s="2">
        <v>15900</v>
      </c>
    </row>
    <row r="215" spans="1:8" x14ac:dyDescent="0.3">
      <c r="A215" s="21" t="s">
        <v>516</v>
      </c>
      <c r="B215" s="2">
        <v>1000</v>
      </c>
    </row>
    <row r="216" spans="1:8"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2.8 kW. Lifetime: 33400 km. Annual kilometers: 2553 km. Number of passengers: 1. Curb mass: 84.5 kg. Lightweighting of glider: 7%. Emission standard: EURO-5. Service visits throughout lifetime: 1. Range: 178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s="21" t="s">
        <v>81</v>
      </c>
      <c r="B218" s="21" t="s">
        <v>82</v>
      </c>
      <c r="C218" s="21" t="s">
        <v>73</v>
      </c>
      <c r="D218" s="21" t="s">
        <v>77</v>
      </c>
      <c r="E218" s="21" t="s">
        <v>83</v>
      </c>
      <c r="F218" s="21" t="s">
        <v>75</v>
      </c>
      <c r="G218" s="21" t="s">
        <v>84</v>
      </c>
      <c r="H218" s="21" t="s">
        <v>74</v>
      </c>
    </row>
    <row r="219" spans="1:8" x14ac:dyDescent="0.3">
      <c r="A219" s="12" t="str">
        <f>B189</f>
        <v>Scooter, gasoline, &lt;4kW, EURO-5, 2050</v>
      </c>
      <c r="B219" s="12">
        <v>1</v>
      </c>
      <c r="C219" s="12" t="str">
        <f>B190</f>
        <v>CH</v>
      </c>
      <c r="D219" s="12" t="str">
        <f>B197</f>
        <v>unit</v>
      </c>
      <c r="E219" s="12"/>
      <c r="F219" s="12" t="s">
        <v>85</v>
      </c>
      <c r="G219" s="12" t="s">
        <v>86</v>
      </c>
      <c r="H219" s="12" t="str">
        <f>B191</f>
        <v>Scooter, gasoline, &lt;4kW,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0.58888888888888891</v>
      </c>
      <c r="C220" s="12" t="str">
        <f>INDEX('ei names mapping'!$B$38:$R$67,MATCH(B191,'ei names mapping'!$A$4:$A$33,0),MATCH(G220,'ei names mapping'!$B$3:$R$3,0))</f>
        <v>RER</v>
      </c>
      <c r="D220" s="12" t="str">
        <f>INDEX('ei names mapping'!$B$104:$R$133,MATCH($B$3,'ei names mapping'!$A$4:$A$33,0),MATCH(G220,'ei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0.32444444444444442</v>
      </c>
      <c r="C221" s="12" t="str">
        <f>INDEX('ei names mapping'!$B$38:$R$67,MATCH(B191,'ei names mapping'!$A$4:$A$33,0),MATCH(G221,'ei names mapping'!$B$3:$R$3,0))</f>
        <v>RER</v>
      </c>
      <c r="D221" s="12" t="str">
        <f>INDEX('ei names mapping'!$B$104:$R$133,MATCH($B$3,'ei names mapping'!$A$4:$A$33,0),MATCH(G221,'ei names mapping'!$B$3:$R$3,0))</f>
        <v>unit</v>
      </c>
      <c r="E221" s="12"/>
      <c r="F221" s="12" t="s">
        <v>91</v>
      </c>
      <c r="G221" s="21" t="s">
        <v>16</v>
      </c>
      <c r="H221" s="12" t="str">
        <f>INDEX('ei names mapping'!$B$71:$R$100,MATCH(B191,'ei names mapping'!$A$4:$A$33,0),MATCH(G221,'ei names mapping'!$B$3:$R$3,0))</f>
        <v>motor scooter, 50 cubic cm engine</v>
      </c>
    </row>
    <row r="222" spans="1:8"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3.7100000000000004</v>
      </c>
      <c r="C222" s="12" t="str">
        <f>INDEX('ei names mapping'!$B$38:$R$67,MATCH(B191,'ei names mapping'!$A$4:$A$33,0),MATCH(G222,'ei names mapping'!$B$3:$R$3,0))</f>
        <v>GLO</v>
      </c>
      <c r="D222" s="12" t="str">
        <f>INDEX('ei names mapping'!$B$104:$R$133,MATCH(B191,'ei names mapping'!$A$4:$A$33,0),MATCH(G222,'ei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0.78749999999999998</v>
      </c>
      <c r="C223" s="12" t="str">
        <f>INDEX('ei names mapping'!$B$38:$R$67,MATCH(B191,'ei names mapping'!$A$4:$A$33,0),MATCH(G223,'ei names mapping'!$B$3:$R$3,0))</f>
        <v>RER</v>
      </c>
      <c r="D223" s="12" t="str">
        <f>INDEX('ei names mapping'!$B$104:$R$133,MATCH($B$3,'ei names mapping'!$A$4:$A$33,0),MATCH(G223,'ei names mapping'!$B$3:$R$3,0))</f>
        <v>kilogram</v>
      </c>
      <c r="E223" s="12"/>
      <c r="F223" s="12" t="s">
        <v>91</v>
      </c>
      <c r="G223" s="21" t="s">
        <v>24</v>
      </c>
      <c r="H223" s="12" t="str">
        <f>INDEX('ei names mapping'!$B$71:$R$100,MATCH(B191,'ei names mapping'!$A$4:$A$33,0),MATCH(G223,'ei names mapping'!$B$3:$R$3,0))</f>
        <v>polyethylene, high density, granulate</v>
      </c>
    </row>
    <row r="224" spans="1:8" x14ac:dyDescent="0.3">
      <c r="A224" s="22" t="s">
        <v>468</v>
      </c>
      <c r="B224" s="21">
        <f>(B204/1000)*B215</f>
        <v>84.527499999999989</v>
      </c>
      <c r="C224" s="21" t="s">
        <v>94</v>
      </c>
      <c r="D224" s="21" t="s">
        <v>243</v>
      </c>
      <c r="F224" s="21" t="s">
        <v>91</v>
      </c>
      <c r="H224" s="22" t="s">
        <v>469</v>
      </c>
    </row>
    <row r="225" spans="1:8" x14ac:dyDescent="0.3">
      <c r="A225" s="22" t="s">
        <v>467</v>
      </c>
      <c r="B225" s="2">
        <f>(B204/1000)*B214</f>
        <v>1343.9872499999999</v>
      </c>
      <c r="C225" s="21" t="s">
        <v>98</v>
      </c>
      <c r="D225" s="21" t="s">
        <v>243</v>
      </c>
      <c r="F225" s="21" t="s">
        <v>91</v>
      </c>
      <c r="H225" s="22" t="s">
        <v>467</v>
      </c>
    </row>
    <row r="227" spans="1:8" ht="15.6" x14ac:dyDescent="0.3">
      <c r="A227" s="11" t="s">
        <v>72</v>
      </c>
      <c r="B227" s="9" t="str">
        <f>"transport, "&amp;B229&amp;", "&amp;B231</f>
        <v>transport, Scooter, gasoline, &lt;4kW, EURO-3, 2006</v>
      </c>
    </row>
    <row r="228" spans="1:8" x14ac:dyDescent="0.3">
      <c r="A228" s="21" t="s">
        <v>73</v>
      </c>
      <c r="B228" s="21" t="s">
        <v>37</v>
      </c>
    </row>
    <row r="229" spans="1:8" x14ac:dyDescent="0.3">
      <c r="A229" s="21" t="s">
        <v>87</v>
      </c>
      <c r="B229" s="21" t="s">
        <v>675</v>
      </c>
    </row>
    <row r="230" spans="1:8" x14ac:dyDescent="0.3">
      <c r="A230" s="21" t="s">
        <v>88</v>
      </c>
      <c r="B230" s="12"/>
    </row>
    <row r="231" spans="1:8" x14ac:dyDescent="0.3">
      <c r="A231" s="21" t="s">
        <v>89</v>
      </c>
      <c r="B231" s="12">
        <v>2006</v>
      </c>
    </row>
    <row r="232" spans="1:8" x14ac:dyDescent="0.3">
      <c r="A232" s="21" t="s">
        <v>131</v>
      </c>
      <c r="B232" s="12" t="str">
        <f>B229&amp;" - "&amp;B231&amp;" - "&amp;B228</f>
        <v>Scooter, gasoline, &lt;4kW, EURO-3 - 2006 - CH</v>
      </c>
    </row>
    <row r="233" spans="1:8" x14ac:dyDescent="0.3">
      <c r="A233" s="21" t="s">
        <v>74</v>
      </c>
      <c r="B233" s="12" t="str">
        <f>"transport, "&amp;B229</f>
        <v>transport, Scooter, gasoline, &lt;4kW, EURO-3</v>
      </c>
    </row>
    <row r="234" spans="1:8" x14ac:dyDescent="0.3">
      <c r="A234" s="21" t="s">
        <v>75</v>
      </c>
      <c r="B234" s="21" t="s">
        <v>76</v>
      </c>
    </row>
    <row r="235" spans="1:8" x14ac:dyDescent="0.3">
      <c r="A235" s="21" t="s">
        <v>77</v>
      </c>
      <c r="B235" s="21" t="s">
        <v>172</v>
      </c>
    </row>
    <row r="236" spans="1:8" x14ac:dyDescent="0.3">
      <c r="A236" s="21" t="s">
        <v>79</v>
      </c>
      <c r="B236" s="21" t="s">
        <v>90</v>
      </c>
    </row>
    <row r="237" spans="1:8" x14ac:dyDescent="0.3">
      <c r="A237" s="21" t="s">
        <v>132</v>
      </c>
      <c r="B237" s="21">
        <f>INDEX('vehicles specifications'!$B$3:$CK$86,MATCH(B232,'vehicles specifications'!$A$3:$A$86,0),MATCH("Lifetime [km]",'vehicles specifications'!$B$2:$CK$2,0))</f>
        <v>33400</v>
      </c>
    </row>
    <row r="238" spans="1:8" x14ac:dyDescent="0.3">
      <c r="A238" s="21" t="s">
        <v>133</v>
      </c>
      <c r="B238" s="21">
        <f>INDEX('vehicles specifications'!$B$3:$CK$86,MATCH(B232,'vehicles specifications'!$A$3:$A$86,0),MATCH("Passengers [unit]",'vehicles specifications'!$B$2:$CK$2,0))</f>
        <v>1</v>
      </c>
    </row>
    <row r="239" spans="1:8" x14ac:dyDescent="0.3">
      <c r="A239" s="21" t="s">
        <v>134</v>
      </c>
      <c r="B239" s="21">
        <f>INDEX('vehicles specifications'!$B$3:$CK$86,MATCH(B232,'vehicles specifications'!$A$3:$A$86,0),MATCH("Servicing [unit]",'vehicles specifications'!$B$2:$CK$2,0))</f>
        <v>1</v>
      </c>
    </row>
    <row r="240" spans="1:8" x14ac:dyDescent="0.3">
      <c r="A240" s="21" t="s">
        <v>135</v>
      </c>
      <c r="B240" s="21">
        <f>INDEX('vehicles specifications'!$B$3:$CK$86,MATCH(B232,'vehicles specifications'!$A$3:$A$86,0),MATCH("Energy battery replacement [unit]",'vehicles specifications'!$B$2:$CK$2,0))</f>
        <v>0</v>
      </c>
    </row>
    <row r="241" spans="1:8" x14ac:dyDescent="0.3">
      <c r="A241" s="21" t="s">
        <v>136</v>
      </c>
      <c r="B241" s="21">
        <f>INDEX('vehicles specifications'!$B$3:$CK$86,MATCH(B232,'vehicles specifications'!$A$3:$A$86,0),MATCH("Annual kilometers [km]",'vehicles specifications'!$B$2:$CK$2,0))</f>
        <v>2553</v>
      </c>
    </row>
    <row r="242" spans="1:8" x14ac:dyDescent="0.3">
      <c r="A242" s="21" t="s">
        <v>137</v>
      </c>
      <c r="B242" s="2">
        <f>INDEX('vehicles specifications'!$B$3:$CK$86,MATCH(B232,'vehicles specifications'!$A$3:$A$86,0),MATCH("Curb mass [kg]",'vehicles specifications'!$B$2:$CK$2,0))</f>
        <v>93.6875</v>
      </c>
    </row>
    <row r="243" spans="1:8" x14ac:dyDescent="0.3">
      <c r="A243" s="21" t="s">
        <v>138</v>
      </c>
      <c r="B243" s="21">
        <f>INDEX('vehicles specifications'!$B$3:$CK$86,MATCH(B232,'vehicles specifications'!$A$3:$A$86,0),MATCH("Power [kW]",'vehicles specifications'!$B$2:$CK$2,0))</f>
        <v>2.8</v>
      </c>
    </row>
    <row r="244" spans="1:8" x14ac:dyDescent="0.3">
      <c r="A244" s="21" t="s">
        <v>139</v>
      </c>
      <c r="B244" s="21">
        <f>INDEX('vehicles specifications'!$B$3:$CK$86,MATCH(B232,'vehicles specifications'!$A$3:$A$86,0),MATCH("Energy battery mass [kg]",'vehicles specifications'!$B$2:$CK$2,0))</f>
        <v>0</v>
      </c>
    </row>
    <row r="245" spans="1:8" x14ac:dyDescent="0.3">
      <c r="A245" s="21" t="s">
        <v>140</v>
      </c>
      <c r="B245" s="21">
        <f>INDEX('vehicles specifications'!$B$3:$CK$86,MATCH(B232,'vehicles specifications'!$A$3:$A$86,0),MATCH("Electric energy available [kWh]",'vehicles specifications'!$B$2:$CK$2,0))</f>
        <v>0</v>
      </c>
    </row>
    <row r="246" spans="1:8" x14ac:dyDescent="0.3">
      <c r="A246" s="21" t="s">
        <v>143</v>
      </c>
      <c r="B246" s="2">
        <f>INDEX('vehicles specifications'!$B$3:$CK$86,MATCH(B232,'vehicles specifications'!$A$3:$A$86,0),MATCH("Oxydation energy stored [kWh]",'vehicles specifications'!$B$2:$CK$2,0))</f>
        <v>61.833333333333329</v>
      </c>
    </row>
    <row r="247" spans="1:8" x14ac:dyDescent="0.3">
      <c r="A247" s="21" t="s">
        <v>145</v>
      </c>
      <c r="B247" s="21">
        <f>INDEX('vehicles specifications'!$B$3:$CK$86,MATCH(B232,'vehicles specifications'!$A$3:$A$86,0),MATCH("Fuel mass [kg]",'vehicles specifications'!$B$2:$CK$2,0))</f>
        <v>5.25</v>
      </c>
    </row>
    <row r="248" spans="1:8" x14ac:dyDescent="0.3">
      <c r="A248" s="21" t="s">
        <v>141</v>
      </c>
      <c r="B248" s="2">
        <f>INDEX('vehicles specifications'!$B$3:$CK$86,MATCH(B232,'vehicles specifications'!$A$3:$A$86,0),MATCH("Range [km]",'vehicles specifications'!$B$2:$CK$2,0))</f>
        <v>161.34686394551844</v>
      </c>
    </row>
    <row r="249" spans="1:8" x14ac:dyDescent="0.3">
      <c r="A249" s="21" t="s">
        <v>142</v>
      </c>
      <c r="B249" s="21" t="str">
        <f>INDEX('vehicles specifications'!$B$3:$CK$86,MATCH(B232,'vehicles specifications'!$A$3:$A$86,0),MATCH("Emission standard",'vehicles specifications'!$B$2:$CK$2,0))</f>
        <v>EURO-5</v>
      </c>
    </row>
    <row r="250" spans="1:8" x14ac:dyDescent="0.3">
      <c r="A250" s="21" t="s">
        <v>144</v>
      </c>
      <c r="B250" s="6">
        <f>INDEX('vehicles specifications'!$B$3:$CK$86,MATCH(B232,'vehicles specifications'!$A$3:$A$86,0),MATCH("Lightweighting rate [%]",'vehicles specifications'!$B$2:$CK$2,0))</f>
        <v>-0.05</v>
      </c>
    </row>
    <row r="251" spans="1:8" x14ac:dyDescent="0.3">
      <c r="A251" s="2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2.8 kW. Lifetime: 33400 km. Annual kilometers: 2553 km. Number of passengers: 1. Curb mass: 93.7 kg. Lightweighting of glider: -5%. Emission standard: EURO-5. Service visits throughout lifetime: 1. Range: 161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s="21" t="s">
        <v>81</v>
      </c>
      <c r="B253" s="21" t="s">
        <v>82</v>
      </c>
      <c r="C253" s="21" t="s">
        <v>73</v>
      </c>
      <c r="D253" s="21" t="s">
        <v>77</v>
      </c>
      <c r="E253" s="21" t="s">
        <v>83</v>
      </c>
      <c r="F253" s="21" t="s">
        <v>75</v>
      </c>
      <c r="G253" s="21" t="s">
        <v>84</v>
      </c>
      <c r="H253" s="21" t="s">
        <v>74</v>
      </c>
    </row>
    <row r="254" spans="1:8" x14ac:dyDescent="0.3">
      <c r="A254" s="12" t="str">
        <f>B227</f>
        <v>transport, Scooter, gasoline, &lt;4kW, EURO-3, 2006</v>
      </c>
      <c r="B254" s="12">
        <v>1</v>
      </c>
      <c r="C254" s="12" t="str">
        <f>B228</f>
        <v>CH</v>
      </c>
      <c r="D254" s="12" t="s">
        <v>172</v>
      </c>
      <c r="E254" s="12"/>
      <c r="F254" s="12" t="s">
        <v>85</v>
      </c>
      <c r="G254" s="12" t="s">
        <v>86</v>
      </c>
      <c r="H254" s="12" t="str">
        <f>B233</f>
        <v>transport, Scooter, gasoline, &lt;4kW, EURO-3</v>
      </c>
    </row>
    <row r="255" spans="1:8" x14ac:dyDescent="0.3">
      <c r="A255" s="12" t="str">
        <f>RIGHT(A254,LEN(A254)-11)</f>
        <v>Scooter, gasoline, &lt;4kW, EURO-3, 2006</v>
      </c>
      <c r="B255" s="15">
        <f>1/B237</f>
        <v>2.9940119760479042E-5</v>
      </c>
      <c r="C255" s="12" t="str">
        <f>B228</f>
        <v>CH</v>
      </c>
      <c r="D255" s="12" t="s">
        <v>77</v>
      </c>
      <c r="E255" s="12"/>
      <c r="F255" s="12" t="s">
        <v>91</v>
      </c>
      <c r="G255" s="12"/>
      <c r="H255" s="12" t="str">
        <f>RIGHT(H254,LEN(H254)-11)</f>
        <v>Scooter, gasoline, &lt;4kW, EURO-3</v>
      </c>
    </row>
    <row r="256" spans="1:8"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9.0048187499999999E-5</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road maintenance</v>
      </c>
      <c r="B257" s="16">
        <f>INDEX('vehicles specifications'!$B$3:$CK$86,MATCH(B232,'vehicles specifications'!$A$3:$A$86,0),MATCH(G257,'vehicles specifications'!$B$2:$CK$2,0))*INDEX('ei names mapping'!$B$137:$BK$220,MATCH(B232,'ei names mapping'!$A$137:$A$220,0),MATCH(G257,'ei names mapping'!$B$136:$BK$136,0))</f>
        <v>1.2899999999999999E-3</v>
      </c>
      <c r="C257" s="12" t="str">
        <f>INDEX('ei names mapping'!$B$38:$R$67,MATCH(B229,'ei names mapping'!$A$4:$A$33,0),MATCH(G257,'ei names mapping'!$B$3:$R$3,0))</f>
        <v>CH</v>
      </c>
      <c r="D257" s="12" t="str">
        <f>INDEX('ei names mapping'!$B$104:$BK$133,MATCH(B229,'ei names mapping'!$A$4:$A$33,0),MATCH(G257,'ei names mapping'!$B$3:$BK$3,0))</f>
        <v>meter-year</v>
      </c>
      <c r="E257" s="12"/>
      <c r="F257" s="12" t="s">
        <v>91</v>
      </c>
      <c r="G257" s="21" t="s">
        <v>117</v>
      </c>
      <c r="H257" s="12" t="str">
        <f>INDEX('ei names mapping'!$B$71:$BK$100,MATCH(B229,'ei names mapping'!$A$4:$A$33,0),MATCH(G257,'ei names mapping'!$B$3:$BK$3,0))</f>
        <v>road maintenance</v>
      </c>
    </row>
    <row r="258" spans="1:8" x14ac:dyDescent="0.3">
      <c r="A258" s="12" t="str">
        <f>INDEX('ei names mapping'!$B$4:$R$33,MATCH(B229,'ei names mapping'!$A$4:$A$33,0),MATCH(G258,'ei names mapping'!$B$3:$R$3,0))</f>
        <v>maintenance, motor scooter</v>
      </c>
      <c r="B258" s="16">
        <f>INDEX('vehicles specifications'!$B$3:$CK$86,MATCH(B232,'vehicles specifications'!$A$3:$A$86,0),MATCH(G258,'vehicles specifications'!$B$2:$CK$2,0))*INDEX('ei names mapping'!$B$137:$BK$220,MATCH(B232,'ei names mapping'!$A$137:$A$220,0),MATCH(G258,'ei names mapping'!$B$136:$BK$136,0))</f>
        <v>2.9940119760479042E-5</v>
      </c>
      <c r="C258" s="12" t="str">
        <f>INDEX('ei names mapping'!$B$38:$BK$67,MATCH(B229,'ei names mapping'!$A$4:$A$33,0),MATCH(G258,'ei names mapping'!$B$3:$BK$3,0))</f>
        <v>CH</v>
      </c>
      <c r="D258" s="12" t="str">
        <f>INDEX('ei names mapping'!$B$104:$BK$133,MATCH(B229,'ei names mapping'!$A$4:$A$33,0),MATCH(G258,'ei names mapping'!$B$3:$BK$3,0))</f>
        <v>unit</v>
      </c>
      <c r="F258" s="12" t="s">
        <v>91</v>
      </c>
      <c r="G258" s="12" t="s">
        <v>123</v>
      </c>
      <c r="H258" s="12" t="str">
        <f>INDEX('ei names mapping'!$B$71:$BK$100,MATCH(B229,'ei names mapping'!$A$4:$A$33,0),MATCH(G258,'ei names mapping'!$B$3:$BK$3,0))</f>
        <v>maintenance, motor scooter</v>
      </c>
    </row>
    <row r="259" spans="1:8" x14ac:dyDescent="0.3">
      <c r="A259" s="12" t="str">
        <f>INDEX('ei names mapping'!$B$4:$R$33,MATCH(B229,'ei names mapping'!$A$4:$A$33,0),MATCH(G259,'ei names mapping'!$B$3:$R$3,0))</f>
        <v>petrol blending for two-stroke engines</v>
      </c>
      <c r="B259" s="16">
        <f>INDEX('vehicles specifications'!$B$3:$CK$86,MATCH(B232,'vehicles specifications'!$A$3:$A$86,0),MATCH(G259,'vehicles specifications'!$B$2:$CK$2,0))*INDEX('ei names mapping'!$B$137:$BK$220,MATCH(B232,'ei names mapping'!$A$137:$A$220,0),MATCH(G259,'ei names mapping'!$B$136:$BK$136,0))</f>
        <v>3.2538593385817237E-2</v>
      </c>
      <c r="C259" s="12" t="str">
        <f>INDEX('ei names mapping'!$B$38:$BK$67,MATCH(B229,'ei names mapping'!$A$4:$A$33,0),MATCH(G259,'ei names mapping'!$B$3:$BK$3,0))</f>
        <v>CH</v>
      </c>
      <c r="D259" s="12" t="str">
        <f>INDEX('ei names mapping'!$B$104:$BK$133,MATCH(B229,'ei names mapping'!$A$4:$A$33,0),MATCH(G259,'ei names mapping'!$B$3:$BK$3,0))</f>
        <v>kilogram</v>
      </c>
      <c r="F259" s="12" t="s">
        <v>91</v>
      </c>
      <c r="G259" s="12" t="s">
        <v>27</v>
      </c>
      <c r="H259" s="12" t="str">
        <f>INDEX('ei names mapping'!$B$71:$BK$100,MATCH(B229,'ei names mapping'!$A$4:$A$33,0),MATCH(G259,'ei names mapping'!$B$3:$BK$3,0))</f>
        <v>petrol, two-stroke blend</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0.10347272696689881</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s="21"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5.206174941730758E-7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s="2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8.3884891813930333E-5</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s="21"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3.8035897892412742E-5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s="21"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4.0219096360171094E-3</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s="21"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1.9297766561345895E-6</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s="21"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1.9297766561345895E-6</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s="21"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1.4471531938501332E-4</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1.1082707336180945E-5</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6.764621222214276E-4</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4.7699252207921172E-5</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9.7192833652503956E-6</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7.8352376667557047E-5</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3.2148398823520539E-5</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2.4073917258543288E-5</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1.7046127748285311E-5</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1.1065030292746605E-5</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1.0915502856358137E-4</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5.711948070039463E-5</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1.6448018002731441E-6</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1.6418112515453746E-4</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8.1193397958937932E-5</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3.3793200623793681E-5</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2.5419664186039499E-5</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1.1214557729135072E-5</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3.2896036005462881E-6</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9.1211736196965272E-6</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0</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2.8410212913808851E-6</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1.5102271075235228E-5</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4.8011345312641045E-8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4.138909078675952E-10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2.7592727191173013E-10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2.9800145366466856E-6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5.7944727101463327E-8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1.7935272674262461E-8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2.2074181752938417E-8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4.414836350587682E-11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1.2002836328160261E-8</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1.4900072683233429E-8</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s="21"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-6.3939999999999993E-6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s="2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-6.1789999999999996E-6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s="21"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Scooter, gasoline, &lt;4kW, EURO-4, 2016</v>
      </c>
    </row>
    <row r="305" spans="1:2" x14ac:dyDescent="0.3">
      <c r="A305" s="21" t="s">
        <v>73</v>
      </c>
      <c r="B305" s="21" t="s">
        <v>37</v>
      </c>
    </row>
    <row r="306" spans="1:2" x14ac:dyDescent="0.3">
      <c r="A306" s="21" t="s">
        <v>87</v>
      </c>
      <c r="B306" s="21" t="s">
        <v>676</v>
      </c>
    </row>
    <row r="307" spans="1:2" x14ac:dyDescent="0.3">
      <c r="A307" s="21" t="s">
        <v>88</v>
      </c>
      <c r="B307" s="12"/>
    </row>
    <row r="308" spans="1:2" x14ac:dyDescent="0.3">
      <c r="A308" s="21" t="s">
        <v>89</v>
      </c>
      <c r="B308" s="12">
        <v>2016</v>
      </c>
    </row>
    <row r="309" spans="1:2" x14ac:dyDescent="0.3">
      <c r="A309" s="21" t="s">
        <v>131</v>
      </c>
      <c r="B309" s="12" t="str">
        <f>B306&amp;" - "&amp;B308&amp;" - "&amp;B305</f>
        <v>Scooter, gasoline, &lt;4kW, EURO-4 - 2016 - CH</v>
      </c>
    </row>
    <row r="310" spans="1:2" x14ac:dyDescent="0.3">
      <c r="A310" s="21" t="s">
        <v>74</v>
      </c>
      <c r="B310" s="12" t="str">
        <f>"transport, "&amp;B306</f>
        <v>transport, Scooter, gasoline, &lt;4kW, EURO-4</v>
      </c>
    </row>
    <row r="311" spans="1:2" x14ac:dyDescent="0.3">
      <c r="A311" s="21" t="s">
        <v>75</v>
      </c>
      <c r="B311" s="21" t="s">
        <v>76</v>
      </c>
    </row>
    <row r="312" spans="1:2" x14ac:dyDescent="0.3">
      <c r="A312" s="21" t="s">
        <v>77</v>
      </c>
      <c r="B312" s="21" t="s">
        <v>172</v>
      </c>
    </row>
    <row r="313" spans="1:2" x14ac:dyDescent="0.3">
      <c r="A313" s="21" t="s">
        <v>79</v>
      </c>
      <c r="B313" s="21" t="s">
        <v>90</v>
      </c>
    </row>
    <row r="314" spans="1:2" x14ac:dyDescent="0.3">
      <c r="A314" s="21" t="s">
        <v>132</v>
      </c>
      <c r="B314" s="21">
        <f>INDEX('vehicles specifications'!$B$3:$CK$86,MATCH(B309,'vehicles specifications'!$A$3:$A$86,0),MATCH("Lifetime [km]",'vehicles specifications'!$B$2:$CK$2,0))</f>
        <v>33400</v>
      </c>
    </row>
    <row r="315" spans="1:2" x14ac:dyDescent="0.3">
      <c r="A315" s="21" t="s">
        <v>133</v>
      </c>
      <c r="B315" s="21">
        <f>INDEX('vehicles specifications'!$B$3:$CK$86,MATCH(B309,'vehicles specifications'!$A$3:$A$86,0),MATCH("Passengers [unit]",'vehicles specifications'!$B$2:$CK$2,0))</f>
        <v>1</v>
      </c>
    </row>
    <row r="316" spans="1:2" x14ac:dyDescent="0.3">
      <c r="A316" s="21" t="s">
        <v>134</v>
      </c>
      <c r="B316" s="21">
        <f>INDEX('vehicles specifications'!$B$3:$CK$86,MATCH(B309,'vehicles specifications'!$A$3:$A$86,0),MATCH("Servicing [unit]",'vehicles specifications'!$B$2:$CK$2,0))</f>
        <v>1</v>
      </c>
    </row>
    <row r="317" spans="1:2" x14ac:dyDescent="0.3">
      <c r="A317" s="21" t="s">
        <v>135</v>
      </c>
      <c r="B317" s="21">
        <f>INDEX('vehicles specifications'!$B$3:$CK$86,MATCH(B309,'vehicles specifications'!$A$3:$A$86,0),MATCH("Energy battery replacement [unit]",'vehicles specifications'!$B$2:$CK$2,0))</f>
        <v>0</v>
      </c>
    </row>
    <row r="318" spans="1:2" x14ac:dyDescent="0.3">
      <c r="A318" s="21" t="s">
        <v>136</v>
      </c>
      <c r="B318" s="21">
        <f>INDEX('vehicles specifications'!$B$3:$CK$86,MATCH(B309,'vehicles specifications'!$A$3:$A$86,0),MATCH("Annual kilometers [km]",'vehicles specifications'!$B$2:$CK$2,0))</f>
        <v>2553</v>
      </c>
    </row>
    <row r="319" spans="1:2" x14ac:dyDescent="0.3">
      <c r="A319" s="21" t="s">
        <v>137</v>
      </c>
      <c r="B319" s="2">
        <f>INDEX('vehicles specifications'!$B$3:$CK$86,MATCH(B309,'vehicles specifications'!$A$3:$A$86,0),MATCH("Curb mass [kg]",'vehicles specifications'!$B$2:$CK$2,0))</f>
        <v>92.097499999999997</v>
      </c>
    </row>
    <row r="320" spans="1:2" x14ac:dyDescent="0.3">
      <c r="A320" s="21" t="s">
        <v>138</v>
      </c>
      <c r="B320" s="21">
        <f>INDEX('vehicles specifications'!$B$3:$CK$86,MATCH(B309,'vehicles specifications'!$A$3:$A$86,0),MATCH("Power [kW]",'vehicles specifications'!$B$2:$CK$2,0))</f>
        <v>2.8</v>
      </c>
    </row>
    <row r="321" spans="1:8" x14ac:dyDescent="0.3">
      <c r="A321" s="21" t="s">
        <v>139</v>
      </c>
      <c r="B321" s="21">
        <f>INDEX('vehicles specifications'!$B$3:$CK$86,MATCH(B309,'vehicles specifications'!$A$3:$A$86,0),MATCH("Energy battery mass [kg]",'vehicles specifications'!$B$2:$CK$2,0))</f>
        <v>0</v>
      </c>
    </row>
    <row r="322" spans="1:8" x14ac:dyDescent="0.3">
      <c r="A322" s="21" t="s">
        <v>140</v>
      </c>
      <c r="B322" s="21">
        <f>INDEX('vehicles specifications'!$B$3:$CK$86,MATCH(B309,'vehicles specifications'!$A$3:$A$86,0),MATCH("Electric energy available [kWh]",'vehicles specifications'!$B$2:$CK$2,0))</f>
        <v>0</v>
      </c>
    </row>
    <row r="323" spans="1:8" x14ac:dyDescent="0.3">
      <c r="A323" s="21" t="s">
        <v>143</v>
      </c>
      <c r="B323" s="2">
        <f>INDEX('vehicles specifications'!$B$3:$CK$86,MATCH(B309,'vehicles specifications'!$A$3:$A$86,0),MATCH("Oxydation energy stored [kWh]",'vehicles specifications'!$B$2:$CK$2,0))</f>
        <v>61.833333333333329</v>
      </c>
    </row>
    <row r="324" spans="1:8" x14ac:dyDescent="0.3">
      <c r="A324" s="21" t="s">
        <v>145</v>
      </c>
      <c r="B324" s="21">
        <f>INDEX('vehicles specifications'!$B$3:$CK$86,MATCH(B309,'vehicles specifications'!$A$3:$A$86,0),MATCH("Fuel mass [kg]",'vehicles specifications'!$B$2:$CK$2,0))</f>
        <v>5.25</v>
      </c>
    </row>
    <row r="325" spans="1:8" x14ac:dyDescent="0.3">
      <c r="A325" s="21" t="s">
        <v>141</v>
      </c>
      <c r="B325" s="2">
        <f>INDEX('vehicles specifications'!$B$3:$CK$86,MATCH(B309,'vehicles specifications'!$A$3:$A$86,0),MATCH("Range [km]",'vehicles specifications'!$B$2:$CK$2,0))</f>
        <v>171.02767578224956</v>
      </c>
    </row>
    <row r="326" spans="1:8" x14ac:dyDescent="0.3">
      <c r="A326" s="21" t="s">
        <v>142</v>
      </c>
      <c r="B326" s="21" t="str">
        <f>INDEX('vehicles specifications'!$B$3:$CK$86,MATCH(B309,'vehicles specifications'!$A$3:$A$86,0),MATCH("Emission standard",'vehicles specifications'!$B$2:$CK$2,0))</f>
        <v>EURO-4</v>
      </c>
    </row>
    <row r="327" spans="1:8" x14ac:dyDescent="0.3">
      <c r="A327" s="21" t="s">
        <v>144</v>
      </c>
      <c r="B327" s="6">
        <f>INDEX('vehicles specifications'!$B$3:$CK$86,MATCH(B309,'vehicles specifications'!$A$3:$A$86,0),MATCH("Lightweighting rate [%]",'vehicles specifications'!$B$2:$CK$2,0))</f>
        <v>-0.02</v>
      </c>
    </row>
    <row r="328" spans="1:8" x14ac:dyDescent="0.3">
      <c r="A328" s="21"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2.8 kW. Lifetime: 33400 km. Annual kilometers: 2553 km. Number of passengers: 1. Curb mass: 92.1 kg. Lightweighting of glider: -2%. Emission standard: EURO-4. Service visits throughout lifetime: 1. Range: 171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s="21" t="s">
        <v>81</v>
      </c>
      <c r="B330" s="21" t="s">
        <v>82</v>
      </c>
      <c r="C330" s="21" t="s">
        <v>73</v>
      </c>
      <c r="D330" s="21" t="s">
        <v>77</v>
      </c>
      <c r="E330" s="21" t="s">
        <v>83</v>
      </c>
      <c r="F330" s="21" t="s">
        <v>75</v>
      </c>
      <c r="G330" s="21" t="s">
        <v>84</v>
      </c>
      <c r="H330" s="21" t="s">
        <v>74</v>
      </c>
    </row>
    <row r="331" spans="1:8" x14ac:dyDescent="0.3">
      <c r="A331" s="12" t="str">
        <f>B304</f>
        <v>transport, Scooter, gasoline, &lt;4kW, EURO-4, 2016</v>
      </c>
      <c r="B331" s="12">
        <v>1</v>
      </c>
      <c r="C331" s="12" t="str">
        <f>B305</f>
        <v>CH</v>
      </c>
      <c r="D331" s="12" t="s">
        <v>172</v>
      </c>
      <c r="E331" s="12"/>
      <c r="F331" s="12" t="s">
        <v>85</v>
      </c>
      <c r="G331" s="12" t="s">
        <v>86</v>
      </c>
      <c r="H331" s="12" t="str">
        <f>B310</f>
        <v>transport, Scooter, gasoline, &lt;4kW, EURO-4</v>
      </c>
    </row>
    <row r="332" spans="1:8" x14ac:dyDescent="0.3">
      <c r="A332" s="12" t="str">
        <f>RIGHT(A331,LEN(A331)-11)</f>
        <v>Scooter, gasoline, &lt;4kW, EURO-4, 2016</v>
      </c>
      <c r="B332" s="12">
        <f>1/B314</f>
        <v>2.9940119760479042E-5</v>
      </c>
      <c r="C332" s="12" t="str">
        <f>B305</f>
        <v>CH</v>
      </c>
      <c r="D332" s="12" t="s">
        <v>77</v>
      </c>
      <c r="E332" s="12"/>
      <c r="F332" s="12" t="s">
        <v>91</v>
      </c>
      <c r="G332" s="12"/>
      <c r="H332" s="12" t="str">
        <f>RIGHT(H331,LEN(H331)-11)</f>
        <v>Scooter, gasoline, &lt;4kW, EURO-4</v>
      </c>
    </row>
    <row r="333" spans="1:8"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8.9194357499999995E-5</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road maintenance</v>
      </c>
      <c r="B334" s="16">
        <f>INDEX('vehicles specifications'!$B$3:$CK$86,MATCH(B309,'vehicles specifications'!$A$3:$A$86,0),MATCH(G334,'vehicles specifications'!$B$2:$CK$2,0))*INDEX('ei names mapping'!$B$137:$BK$220,MATCH(B309,'ei names mapping'!$A$137:$A$220,0),MATCH(G334,'ei names mapping'!$B$136:$BK$136,0))</f>
        <v>1.2899999999999999E-3</v>
      </c>
      <c r="C334" s="12" t="str">
        <f>INDEX('ei names mapping'!$B$38:$R$67,MATCH(B306,'ei names mapping'!$A$4:$A$33,0),MATCH(G334,'ei names mapping'!$B$3:$R$3,0))</f>
        <v>CH</v>
      </c>
      <c r="D334" s="12" t="str">
        <f>INDEX('ei names mapping'!$B$104:$BK$133,MATCH(B306,'ei names mapping'!$A$4:$A$33,0),MATCH(G334,'ei names mapping'!$B$3:$BK$3,0))</f>
        <v>meter-year</v>
      </c>
      <c r="E334" s="12"/>
      <c r="F334" s="12" t="s">
        <v>91</v>
      </c>
      <c r="G334" s="21" t="s">
        <v>117</v>
      </c>
      <c r="H334" s="12" t="str">
        <f>INDEX('ei names mapping'!$B$71:$BK$100,MATCH(B306,'ei names mapping'!$A$4:$A$33,0),MATCH(G334,'ei names mapping'!$B$3:$BK$3,0))</f>
        <v>road maintenance</v>
      </c>
    </row>
    <row r="335" spans="1:8" x14ac:dyDescent="0.3">
      <c r="A335" s="12" t="str">
        <f>INDEX('ei names mapping'!$B$4:$R$33,MATCH(B306,'ei names mapping'!$A$4:$A$33,0),MATCH(G335,'ei names mapping'!$B$3:$R$3,0))</f>
        <v>maintenance, motor scooter</v>
      </c>
      <c r="B335" s="16">
        <f>INDEX('vehicles specifications'!$B$3:$CK$86,MATCH(B309,'vehicles specifications'!$A$3:$A$86,0),MATCH(G335,'vehicles specifications'!$B$2:$CK$2,0))*INDEX('ei names mapping'!$B$137:$BK$220,MATCH(B309,'ei names mapping'!$A$137:$A$220,0),MATCH(G335,'ei names mapping'!$B$136:$BK$136,0))</f>
        <v>2.9940119760479042E-5</v>
      </c>
      <c r="C335" s="12" t="str">
        <f>INDEX('ei names mapping'!$B$38:$BK$67,MATCH(B306,'ei names mapping'!$A$4:$A$33,0),MATCH(G335,'ei names mapping'!$B$3:$BK$3,0))</f>
        <v>CH</v>
      </c>
      <c r="D335" s="12" t="str">
        <f>INDEX('ei names mapping'!$B$104:$BK$133,MATCH(B306,'ei names mapping'!$A$4:$A$33,0),MATCH(G335,'ei names mapping'!$B$3:$BK$3,0))</f>
        <v>unit</v>
      </c>
      <c r="F335" s="12" t="s">
        <v>91</v>
      </c>
      <c r="G335" s="12" t="s">
        <v>123</v>
      </c>
      <c r="H335" s="12" t="str">
        <f>INDEX('ei names mapping'!$B$71:$BK$100,MATCH(B306,'ei names mapping'!$A$4:$A$33,0),MATCH(G335,'ei names mapping'!$B$3:$BK$3,0))</f>
        <v>maintenance, motor scooter</v>
      </c>
    </row>
    <row r="336" spans="1:8" x14ac:dyDescent="0.3">
      <c r="A336" s="12" t="str">
        <f>INDEX('ei names mapping'!$B$4:$R$33,MATCH(B306,'ei names mapping'!$A$4:$A$33,0),MATCH(G336,'ei names mapping'!$B$3:$R$3,0))</f>
        <v>petrol blending for two-stroke engines</v>
      </c>
      <c r="B336" s="16">
        <f>INDEX('vehicles specifications'!$B$3:$CK$86,MATCH(B309,'vehicles specifications'!$A$3:$A$86,0),MATCH(G336,'vehicles specifications'!$B$2:$CK$2,0))*INDEX('ei names mapping'!$B$137:$BK$220,MATCH(B309,'ei names mapping'!$A$137:$A$220,0),MATCH(G336,'ei names mapping'!$B$136:$BK$136,0))</f>
        <v>3.0696786213035128E-2</v>
      </c>
      <c r="C336" s="12" t="str">
        <f>INDEX('ei names mapping'!$B$38:$BK$67,MATCH(B306,'ei names mapping'!$A$4:$A$33,0),MATCH(G336,'ei names mapping'!$B$3:$BK$3,0))</f>
        <v>CH</v>
      </c>
      <c r="D336" s="12" t="str">
        <f>INDEX('ei names mapping'!$B$104:$BK$133,MATCH(B306,'ei names mapping'!$A$4:$A$33,0),MATCH(G336,'ei names mapping'!$B$3:$BK$3,0))</f>
        <v>kilogram</v>
      </c>
      <c r="F336" s="12" t="s">
        <v>91</v>
      </c>
      <c r="G336" s="12" t="s">
        <v>27</v>
      </c>
      <c r="H336" s="12" t="str">
        <f>INDEX('ei names mapping'!$B$71:$BK$100,MATCH(B306,'ei names mapping'!$A$4:$A$33,0),MATCH(G336,'ei names mapping'!$B$3:$BK$3,0))</f>
        <v>petrol, two-stroke blend</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9.7615780157451718E-2</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s="21"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4.9114857940856198E-7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s="21"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7.9136690390500312E-5</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s="21"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3.588292254001202E-5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s="21"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3.7942543736010467E-3</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s="2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1.8205440152213105E-6</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s="21"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1.8205440152213105E-6</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s="21"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1.3652388621227673E-4</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1.0455384279415984E-5</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6.3817181341644107E-4</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4.499929453577469E-5</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9.169135250236222E-6</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7.3917336478827389E-5</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3.0328678135396732E-5</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2.2711242696738953E-5</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1.6081252592721991E-5</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1.0438707823345854E-5</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1.029764420411145E-4</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5.3886302547542099E-5</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1.5516998115784377E-6</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1.5488785391937494E-4</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7.6597545244281066E-5</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3.1880377946975169E-5</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2.3980815269848583E-5</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1.0579771442580255E-5</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3.1033996231568754E-6</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8.6048807732986105E-6</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2.680208765453665E-6</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1.4247425542674743E-5</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4.5293721993057591E-8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3.9046312062980679E-10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2.6030874708653786E-10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2.8113344685346088E-6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5.4664836888172948E-8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1.6920068560624963E-8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2.0824699766923036E-8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4.1649399533846058E-11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1.1323430498264398E-8</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1.4056672342673046E-8</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s="21"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-6.3939999999999993E-6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s="21"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-6.1789999999999996E-6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s="21"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Scooter, gasoline, &lt;4kW, EURO-5, 2020</v>
      </c>
    </row>
    <row r="382" spans="1:8" x14ac:dyDescent="0.3">
      <c r="A382" s="21" t="s">
        <v>73</v>
      </c>
      <c r="B382" s="21" t="s">
        <v>37</v>
      </c>
    </row>
    <row r="383" spans="1:8" x14ac:dyDescent="0.3">
      <c r="A383" s="21" t="s">
        <v>87</v>
      </c>
      <c r="B383" s="21" t="s">
        <v>677</v>
      </c>
    </row>
    <row r="384" spans="1:8" x14ac:dyDescent="0.3">
      <c r="A384" s="21" t="s">
        <v>88</v>
      </c>
      <c r="B384" s="12"/>
    </row>
    <row r="385" spans="1:2" x14ac:dyDescent="0.3">
      <c r="A385" s="21" t="s">
        <v>89</v>
      </c>
      <c r="B385" s="12">
        <v>2020</v>
      </c>
    </row>
    <row r="386" spans="1:2" x14ac:dyDescent="0.3">
      <c r="A386" s="21" t="s">
        <v>131</v>
      </c>
      <c r="B386" s="12" t="str">
        <f>B383&amp;" - "&amp;B385&amp;" - "&amp;B382</f>
        <v>Scooter, gasoline, &lt;4kW, EURO-5 - 2020 - CH</v>
      </c>
    </row>
    <row r="387" spans="1:2" x14ac:dyDescent="0.3">
      <c r="A387" s="21" t="s">
        <v>74</v>
      </c>
      <c r="B387" s="12" t="str">
        <f>"transport, "&amp;B383</f>
        <v>transport, Scooter, gasoline, &lt;4kW, EURO-5</v>
      </c>
    </row>
    <row r="388" spans="1:2" x14ac:dyDescent="0.3">
      <c r="A388" s="21" t="s">
        <v>75</v>
      </c>
      <c r="B388" s="21" t="s">
        <v>76</v>
      </c>
    </row>
    <row r="389" spans="1:2" x14ac:dyDescent="0.3">
      <c r="A389" s="21" t="s">
        <v>77</v>
      </c>
      <c r="B389" s="21" t="s">
        <v>172</v>
      </c>
    </row>
    <row r="390" spans="1:2" x14ac:dyDescent="0.3">
      <c r="A390" s="21" t="s">
        <v>79</v>
      </c>
      <c r="B390" s="21" t="s">
        <v>90</v>
      </c>
    </row>
    <row r="391" spans="1:2" x14ac:dyDescent="0.3">
      <c r="A391" s="21" t="s">
        <v>132</v>
      </c>
      <c r="B391" s="21">
        <f>INDEX('vehicles specifications'!$B$3:$CK$86,MATCH(B386,'vehicles specifications'!$A$3:$A$86,0),MATCH("Lifetime [km]",'vehicles specifications'!$B$2:$CK$2,0))</f>
        <v>33400</v>
      </c>
    </row>
    <row r="392" spans="1:2" x14ac:dyDescent="0.3">
      <c r="A392" s="21" t="s">
        <v>133</v>
      </c>
      <c r="B392" s="21">
        <f>INDEX('vehicles specifications'!$B$3:$CK$86,MATCH(B386,'vehicles specifications'!$A$3:$A$86,0),MATCH("Passengers [unit]",'vehicles specifications'!$B$2:$CK$2,0))</f>
        <v>1</v>
      </c>
    </row>
    <row r="393" spans="1:2" x14ac:dyDescent="0.3">
      <c r="A393" s="21" t="s">
        <v>134</v>
      </c>
      <c r="B393" s="21">
        <f>INDEX('vehicles specifications'!$B$3:$CK$86,MATCH(B386,'vehicles specifications'!$A$3:$A$86,0),MATCH("Servicing [unit]",'vehicles specifications'!$B$2:$CK$2,0))</f>
        <v>1</v>
      </c>
    </row>
    <row r="394" spans="1:2" x14ac:dyDescent="0.3">
      <c r="A394" s="21" t="s">
        <v>135</v>
      </c>
      <c r="B394" s="21">
        <f>INDEX('vehicles specifications'!$B$3:$CK$86,MATCH(B386,'vehicles specifications'!$A$3:$A$86,0),MATCH("Energy battery replacement [unit]",'vehicles specifications'!$B$2:$CK$2,0))</f>
        <v>0</v>
      </c>
    </row>
    <row r="395" spans="1:2" x14ac:dyDescent="0.3">
      <c r="A395" s="21" t="s">
        <v>136</v>
      </c>
      <c r="B395" s="21">
        <f>INDEX('vehicles specifications'!$B$3:$CK$86,MATCH(B386,'vehicles specifications'!$A$3:$A$86,0),MATCH("Annual kilometers [km]",'vehicles specifications'!$B$2:$CK$2,0))</f>
        <v>2553</v>
      </c>
    </row>
    <row r="396" spans="1:2" x14ac:dyDescent="0.3">
      <c r="A396" s="21" t="s">
        <v>137</v>
      </c>
      <c r="B396" s="2">
        <f>INDEX('vehicles specifications'!$B$3:$CK$86,MATCH(B386,'vehicles specifications'!$A$3:$A$86,0),MATCH("Curb mass [kg]",'vehicles specifications'!$B$2:$CK$2,0))</f>
        <v>91.037499999999994</v>
      </c>
    </row>
    <row r="397" spans="1:2" x14ac:dyDescent="0.3">
      <c r="A397" s="21" t="s">
        <v>138</v>
      </c>
      <c r="B397" s="21">
        <f>INDEX('vehicles specifications'!$B$3:$CK$86,MATCH(B386,'vehicles specifications'!$A$3:$A$86,0),MATCH("Power [kW]",'vehicles specifications'!$B$2:$CK$2,0))</f>
        <v>2.8</v>
      </c>
    </row>
    <row r="398" spans="1:2" x14ac:dyDescent="0.3">
      <c r="A398" s="21" t="s">
        <v>139</v>
      </c>
      <c r="B398" s="21">
        <f>INDEX('vehicles specifications'!$B$3:$CK$86,MATCH(B386,'vehicles specifications'!$A$3:$A$86,0),MATCH("Energy battery mass [kg]",'vehicles specifications'!$B$2:$CK$2,0))</f>
        <v>0</v>
      </c>
    </row>
    <row r="399" spans="1:2" x14ac:dyDescent="0.3">
      <c r="A399" s="21" t="s">
        <v>140</v>
      </c>
      <c r="B399" s="21">
        <f>INDEX('vehicles specifications'!$B$3:$CK$86,MATCH(B386,'vehicles specifications'!$A$3:$A$86,0),MATCH("Electric energy available [kWh]",'vehicles specifications'!$B$2:$CK$2,0))</f>
        <v>0</v>
      </c>
    </row>
    <row r="400" spans="1:2" x14ac:dyDescent="0.3">
      <c r="A400" s="21" t="s">
        <v>143</v>
      </c>
      <c r="B400" s="2">
        <f>INDEX('vehicles specifications'!$B$3:$CK$86,MATCH(B386,'vehicles specifications'!$A$3:$A$86,0),MATCH("Oxydation energy stored [kWh]",'vehicles specifications'!$B$2:$CK$2,0))</f>
        <v>61.833333333333329</v>
      </c>
    </row>
    <row r="401" spans="1:8" x14ac:dyDescent="0.3">
      <c r="A401" s="21" t="s">
        <v>145</v>
      </c>
      <c r="B401" s="21">
        <f>INDEX('vehicles specifications'!$B$3:$CK$86,MATCH(B386,'vehicles specifications'!$A$3:$A$86,0),MATCH("Fuel mass [kg]",'vehicles specifications'!$B$2:$CK$2,0))</f>
        <v>5.25</v>
      </c>
    </row>
    <row r="402" spans="1:8" x14ac:dyDescent="0.3">
      <c r="A402" s="21" t="s">
        <v>141</v>
      </c>
      <c r="B402" s="2">
        <f>INDEX('vehicles specifications'!$B$3:$CK$86,MATCH(B386,'vehicles specifications'!$A$3:$A$86,0),MATCH("Range [km]",'vehicles specifications'!$B$2:$CK$2,0))</f>
        <v>172.75522806287836</v>
      </c>
    </row>
    <row r="403" spans="1:8" x14ac:dyDescent="0.3">
      <c r="A403" s="21" t="s">
        <v>142</v>
      </c>
      <c r="B403" s="21" t="str">
        <f>INDEX('vehicles specifications'!$B$3:$CK$86,MATCH(B386,'vehicles specifications'!$A$3:$A$86,0),MATCH("Emission standard",'vehicles specifications'!$B$2:$CK$2,0))</f>
        <v>EURO-5</v>
      </c>
    </row>
    <row r="404" spans="1:8" x14ac:dyDescent="0.3">
      <c r="A404" s="21" t="s">
        <v>144</v>
      </c>
      <c r="B404" s="6">
        <f>INDEX('vehicles specifications'!$B$3:$CK$86,MATCH(B386,'vehicles specifications'!$A$3:$A$86,0),MATCH("Lightweighting rate [%]",'vehicles specifications'!$B$2:$CK$2,0))</f>
        <v>0</v>
      </c>
    </row>
    <row r="405" spans="1:8" x14ac:dyDescent="0.3">
      <c r="A405" s="21"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2.8 kW. Lifetime: 33400 km. Annual kilometers: 2553 km. Number of passengers: 1. Curb mass: 91 kg. Lightweighting of glider: 0%. Emission standard: EURO-5. Service visits throughout lifetime: 1. Range: 173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s="21" t="s">
        <v>81</v>
      </c>
      <c r="B407" s="21" t="s">
        <v>82</v>
      </c>
      <c r="C407" s="21" t="s">
        <v>73</v>
      </c>
      <c r="D407" s="21" t="s">
        <v>77</v>
      </c>
      <c r="E407" s="21" t="s">
        <v>83</v>
      </c>
      <c r="F407" s="21" t="s">
        <v>75</v>
      </c>
      <c r="G407" s="21" t="s">
        <v>84</v>
      </c>
      <c r="H407" s="21" t="s">
        <v>74</v>
      </c>
    </row>
    <row r="408" spans="1:8" x14ac:dyDescent="0.3">
      <c r="A408" s="12" t="str">
        <f>B381</f>
        <v>transport, Scooter, gasoline, &lt;4kW, EURO-5, 2020</v>
      </c>
      <c r="B408" s="12">
        <v>1</v>
      </c>
      <c r="C408" s="12" t="str">
        <f>B382</f>
        <v>CH</v>
      </c>
      <c r="D408" s="12" t="s">
        <v>172</v>
      </c>
      <c r="E408" s="12"/>
      <c r="F408" s="12" t="s">
        <v>85</v>
      </c>
      <c r="G408" s="12" t="s">
        <v>86</v>
      </c>
      <c r="H408" s="12" t="str">
        <f>B387</f>
        <v>transport, Scooter, gasoline, &lt;4kW, EURO-5</v>
      </c>
    </row>
    <row r="409" spans="1:8" x14ac:dyDescent="0.3">
      <c r="A409" s="12" t="str">
        <f>RIGHT(A408,LEN(A408)-11)</f>
        <v>Scooter, gasoline, &lt;4kW, EURO-5, 2020</v>
      </c>
      <c r="B409" s="12">
        <f>1/B391</f>
        <v>2.9940119760479042E-5</v>
      </c>
      <c r="C409" s="12" t="str">
        <f>B382</f>
        <v>CH</v>
      </c>
      <c r="D409" s="12" t="s">
        <v>77</v>
      </c>
      <c r="E409" s="12"/>
      <c r="F409" s="12" t="s">
        <v>91</v>
      </c>
      <c r="G409" s="12"/>
      <c r="H409" s="12" t="str">
        <f>RIGHT(H408,LEN(H408)-11)</f>
        <v>Scooter, gasoline, &lt;4kW, EURO-5</v>
      </c>
    </row>
    <row r="410" spans="1:8"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8.8625137499999992E-5</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road maintenance</v>
      </c>
      <c r="B411" s="16">
        <f>INDEX('vehicles specifications'!$B$3:$CK$86,MATCH(B386,'vehicles specifications'!$A$3:$A$86,0),MATCH(G411,'vehicles specifications'!$B$2:$CK$2,0))*INDEX('ei names mapping'!$B$137:$BK$220,MATCH(B386,'ei names mapping'!$A$137:$A$220,0),MATCH(G411,'ei names mapping'!$B$136:$BK$136,0))</f>
        <v>1.2899999999999999E-3</v>
      </c>
      <c r="C411" s="12" t="str">
        <f>INDEX('ei names mapping'!$B$38:$R$67,MATCH(B383,'ei names mapping'!$A$4:$A$33,0),MATCH(G411,'ei names mapping'!$B$3:$R$3,0))</f>
        <v>CH</v>
      </c>
      <c r="D411" s="12" t="str">
        <f>INDEX('ei names mapping'!$B$104:$BK$133,MATCH(B383,'ei names mapping'!$A$4:$A$33,0),MATCH(G411,'ei names mapping'!$B$3:$BK$3,0))</f>
        <v>meter-year</v>
      </c>
      <c r="E411" s="12"/>
      <c r="F411" s="12" t="s">
        <v>91</v>
      </c>
      <c r="G411" s="21" t="s">
        <v>117</v>
      </c>
      <c r="H411" s="12" t="str">
        <f>INDEX('ei names mapping'!$B$71:$BK$100,MATCH(B383,'ei names mapping'!$A$4:$A$33,0),MATCH(G411,'ei names mapping'!$B$3:$BK$3,0))</f>
        <v>road maintenance</v>
      </c>
    </row>
    <row r="412" spans="1:8" x14ac:dyDescent="0.3">
      <c r="A412" s="12" t="str">
        <f>INDEX('ei names mapping'!$B$4:$R$33,MATCH(B383,'ei names mapping'!$A$4:$A$33,0),MATCH(G412,'ei names mapping'!$B$3:$R$3,0))</f>
        <v>maintenance, motor scooter</v>
      </c>
      <c r="B412" s="16">
        <f>INDEX('vehicles specifications'!$B$3:$CK$86,MATCH(B386,'vehicles specifications'!$A$3:$A$86,0),MATCH(G412,'vehicles specifications'!$B$2:$CK$2,0))*INDEX('ei names mapping'!$B$137:$BK$220,MATCH(B386,'ei names mapping'!$A$137:$A$220,0),MATCH(G412,'ei names mapping'!$B$136:$BK$136,0))</f>
        <v>2.9940119760479042E-5</v>
      </c>
      <c r="C412" s="12" t="str">
        <f>INDEX('ei names mapping'!$B$38:$BK$67,MATCH(B383,'ei names mapping'!$A$4:$A$33,0),MATCH(G412,'ei names mapping'!$B$3:$BK$3,0))</f>
        <v>CH</v>
      </c>
      <c r="D412" s="12" t="str">
        <f>INDEX('ei names mapping'!$B$104:$BK$133,MATCH(B383,'ei names mapping'!$A$4:$A$33,0),MATCH(G412,'ei names mapping'!$B$3:$BK$3,0))</f>
        <v>unit</v>
      </c>
      <c r="F412" s="12" t="s">
        <v>91</v>
      </c>
      <c r="G412" s="12" t="s">
        <v>123</v>
      </c>
      <c r="H412" s="12" t="str">
        <f>INDEX('ei names mapping'!$B$71:$BK$100,MATCH(B383,'ei names mapping'!$A$4:$A$33,0),MATCH(G412,'ei names mapping'!$B$3:$BK$3,0))</f>
        <v>maintenance, motor scooter</v>
      </c>
    </row>
    <row r="413" spans="1:8" x14ac:dyDescent="0.3">
      <c r="A413" s="12" t="str">
        <f>INDEX('ei names mapping'!$B$4:$R$33,MATCH(B383,'ei names mapping'!$A$4:$A$33,0),MATCH(G413,'ei names mapping'!$B$3:$R$3,0))</f>
        <v>petrol blending for two-stroke engines</v>
      </c>
      <c r="B413" s="16">
        <f>INDEX('vehicles specifications'!$B$3:$CK$86,MATCH(B386,'vehicles specifications'!$A$3:$A$86,0),MATCH(G413,'vehicles specifications'!$B$2:$CK$2,0))*INDEX('ei names mapping'!$B$137:$BK$220,MATCH(B386,'ei names mapping'!$A$137:$A$220,0),MATCH(G413,'ei names mapping'!$B$136:$BK$136,0))</f>
        <v>3.0389818350904773E-2</v>
      </c>
      <c r="C413" s="12" t="str">
        <f>INDEX('ei names mapping'!$B$38:$BK$67,MATCH(B383,'ei names mapping'!$A$4:$A$33,0),MATCH(G413,'ei names mapping'!$B$3:$BK$3,0))</f>
        <v>CH</v>
      </c>
      <c r="D413" s="12" t="str">
        <f>INDEX('ei names mapping'!$B$104:$BK$133,MATCH(B383,'ei names mapping'!$A$4:$A$33,0),MATCH(G413,'ei names mapping'!$B$3:$BK$3,0))</f>
        <v>kilogram</v>
      </c>
      <c r="F413" s="12" t="s">
        <v>91</v>
      </c>
      <c r="G413" s="12" t="s">
        <v>27</v>
      </c>
      <c r="H413" s="12" t="str">
        <f>INDEX('ei names mapping'!$B$71:$BK$100,MATCH(B383,'ei names mapping'!$A$4:$A$33,0),MATCH(G413,'ei names mapping'!$B$3:$BK$3,0))</f>
        <v>petrol, two-stroke blend</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9.6639622355877183E-2</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s="21"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4.8623709361447633E-7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s="21"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7.8345323486595295E-5</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s="21"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3.5524093314611898E-5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s="21"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3.7563118298650361E-3</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s="21"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1.8023385750690973E-6</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s="21"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1.8023385750690973E-6</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s="21"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1.3515864735015395E-4</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1.0350830436621825E-5</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6.3179009528227666E-4</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4.4549301590416936E-5</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9.0774438977338592E-6</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7.3178163114039118E-5</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3.0025391354042764E-5</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2.248413026977156E-5</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1.5920440066794769E-5</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1.0334320745112393E-5</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1.0194667762070334E-4</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5.3347439522066674E-5</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1.5361828134626532E-6</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1.5333897538018121E-4</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7.583156979183825E-5</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3.1561574167505416E-5</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2.3741007117150096E-5</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1.0473973728154453E-5</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3.0723656269253065E-6</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8.5188319655656235E-6</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2.653406677799128E-6</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1.4104951287247996E-5</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4.4840784773127008E-8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3.8655848942350867E-10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2.5770565961567248E-10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2.7832211238492627E-6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5.4118188519291219E-8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1.675086787501871E-8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2.0616452769253802E-8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4.1232905538507593E-11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1.1210196193281752E-8</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1.3916105619246315E-8</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s="21"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-6.3939999999999993E-6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s="21"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-6.1789999999999996E-6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s="21"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Scooter, gasoline, &lt;4kW, EURO-5, 2030</v>
      </c>
    </row>
    <row r="459" spans="1:8" x14ac:dyDescent="0.3">
      <c r="A459" s="21" t="s">
        <v>73</v>
      </c>
      <c r="B459" s="21" t="s">
        <v>37</v>
      </c>
    </row>
    <row r="460" spans="1:8" x14ac:dyDescent="0.3">
      <c r="A460" s="21" t="s">
        <v>87</v>
      </c>
      <c r="B460" s="21" t="s">
        <v>677</v>
      </c>
    </row>
    <row r="461" spans="1:8" x14ac:dyDescent="0.3">
      <c r="A461" s="21" t="s">
        <v>88</v>
      </c>
      <c r="B461" s="12"/>
    </row>
    <row r="462" spans="1:8" x14ac:dyDescent="0.3">
      <c r="A462" s="21" t="s">
        <v>89</v>
      </c>
      <c r="B462" s="12">
        <v>2030</v>
      </c>
    </row>
    <row r="463" spans="1:8" x14ac:dyDescent="0.3">
      <c r="A463" s="21" t="s">
        <v>131</v>
      </c>
      <c r="B463" s="12" t="str">
        <f>B460&amp;" - "&amp;B462&amp;" - "&amp;B459</f>
        <v>Scooter, gasoline, &lt;4kW, EURO-5 - 2030 - CH</v>
      </c>
    </row>
    <row r="464" spans="1:8" x14ac:dyDescent="0.3">
      <c r="A464" s="21" t="s">
        <v>74</v>
      </c>
      <c r="B464" s="12" t="str">
        <f>"transport, "&amp;B460</f>
        <v>transport, Scooter, gasoline, &lt;4kW, EURO-5</v>
      </c>
    </row>
    <row r="465" spans="1:2" x14ac:dyDescent="0.3">
      <c r="A465" s="21" t="s">
        <v>75</v>
      </c>
      <c r="B465" s="21" t="s">
        <v>76</v>
      </c>
    </row>
    <row r="466" spans="1:2" x14ac:dyDescent="0.3">
      <c r="A466" s="21" t="s">
        <v>77</v>
      </c>
      <c r="B466" s="21" t="s">
        <v>172</v>
      </c>
    </row>
    <row r="467" spans="1:2" x14ac:dyDescent="0.3">
      <c r="A467" s="21" t="s">
        <v>79</v>
      </c>
      <c r="B467" s="21" t="s">
        <v>90</v>
      </c>
    </row>
    <row r="468" spans="1:2" x14ac:dyDescent="0.3">
      <c r="A468" s="21" t="s">
        <v>132</v>
      </c>
      <c r="B468" s="21">
        <f>INDEX('vehicles specifications'!$B$3:$CK$86,MATCH(B463,'vehicles specifications'!$A$3:$A$86,0),MATCH("Lifetime [km]",'vehicles specifications'!$B$2:$CK$2,0))</f>
        <v>33400</v>
      </c>
    </row>
    <row r="469" spans="1:2" x14ac:dyDescent="0.3">
      <c r="A469" s="21" t="s">
        <v>133</v>
      </c>
      <c r="B469" s="21">
        <f>INDEX('vehicles specifications'!$B$3:$CK$86,MATCH(B463,'vehicles specifications'!$A$3:$A$86,0),MATCH("Passengers [unit]",'vehicles specifications'!$B$2:$CK$2,0))</f>
        <v>1</v>
      </c>
    </row>
    <row r="470" spans="1:2" x14ac:dyDescent="0.3">
      <c r="A470" s="21" t="s">
        <v>134</v>
      </c>
      <c r="B470" s="21">
        <f>INDEX('vehicles specifications'!$B$3:$CK$86,MATCH(B463,'vehicles specifications'!$A$3:$A$86,0),MATCH("Servicing [unit]",'vehicles specifications'!$B$2:$CK$2,0))</f>
        <v>1</v>
      </c>
    </row>
    <row r="471" spans="1:2" x14ac:dyDescent="0.3">
      <c r="A471" s="21" t="s">
        <v>135</v>
      </c>
      <c r="B471" s="21">
        <f>INDEX('vehicles specifications'!$B$3:$CK$86,MATCH(B463,'vehicles specifications'!$A$3:$A$86,0),MATCH("Energy battery replacement [unit]",'vehicles specifications'!$B$2:$CK$2,0))</f>
        <v>0</v>
      </c>
    </row>
    <row r="472" spans="1:2" x14ac:dyDescent="0.3">
      <c r="A472" s="21" t="s">
        <v>136</v>
      </c>
      <c r="B472" s="21">
        <f>INDEX('vehicles specifications'!$B$3:$CK$86,MATCH(B463,'vehicles specifications'!$A$3:$A$86,0),MATCH("Annual kilometers [km]",'vehicles specifications'!$B$2:$CK$2,0))</f>
        <v>2553</v>
      </c>
    </row>
    <row r="473" spans="1:2" x14ac:dyDescent="0.3">
      <c r="A473" s="21" t="s">
        <v>137</v>
      </c>
      <c r="B473" s="2">
        <f>INDEX('vehicles specifications'!$B$3:$CK$86,MATCH(B463,'vehicles specifications'!$A$3:$A$86,0),MATCH("Curb mass [kg]",'vehicles specifications'!$B$2:$CK$2,0))</f>
        <v>88.447499999999991</v>
      </c>
    </row>
    <row r="474" spans="1:2" x14ac:dyDescent="0.3">
      <c r="A474" s="21" t="s">
        <v>138</v>
      </c>
      <c r="B474" s="21">
        <f>INDEX('vehicles specifications'!$B$3:$CK$86,MATCH(B463,'vehicles specifications'!$A$3:$A$86,0),MATCH("Power [kW]",'vehicles specifications'!$B$2:$CK$2,0))</f>
        <v>2.8</v>
      </c>
    </row>
    <row r="475" spans="1:2" x14ac:dyDescent="0.3">
      <c r="A475" s="21" t="s">
        <v>139</v>
      </c>
      <c r="B475" s="21">
        <f>INDEX('vehicles specifications'!$B$3:$CK$86,MATCH(B463,'vehicles specifications'!$A$3:$A$86,0),MATCH("Energy battery mass [kg]",'vehicles specifications'!$B$2:$CK$2,0))</f>
        <v>0</v>
      </c>
    </row>
    <row r="476" spans="1:2" x14ac:dyDescent="0.3">
      <c r="A476" s="21" t="s">
        <v>140</v>
      </c>
      <c r="B476" s="21">
        <f>INDEX('vehicles specifications'!$B$3:$CK$86,MATCH(B463,'vehicles specifications'!$A$3:$A$86,0),MATCH("Electric energy available [kWh]",'vehicles specifications'!$B$2:$CK$2,0))</f>
        <v>0</v>
      </c>
    </row>
    <row r="477" spans="1:2" x14ac:dyDescent="0.3">
      <c r="A477" s="21" t="s">
        <v>143</v>
      </c>
      <c r="B477" s="2">
        <f>INDEX('vehicles specifications'!$B$3:$CK$86,MATCH(B463,'vehicles specifications'!$A$3:$A$86,0),MATCH("Oxydation energy stored [kWh]",'vehicles specifications'!$B$2:$CK$2,0))</f>
        <v>61.833333333333329</v>
      </c>
    </row>
    <row r="478" spans="1:2" x14ac:dyDescent="0.3">
      <c r="A478" s="21" t="s">
        <v>145</v>
      </c>
      <c r="B478" s="21">
        <f>INDEX('vehicles specifications'!$B$3:$CK$86,MATCH(B463,'vehicles specifications'!$A$3:$A$86,0),MATCH("Fuel mass [kg]",'vehicles specifications'!$B$2:$CK$2,0))</f>
        <v>5.25</v>
      </c>
    </row>
    <row r="479" spans="1:2" x14ac:dyDescent="0.3">
      <c r="A479" s="21" t="s">
        <v>141</v>
      </c>
      <c r="B479" s="2">
        <f>INDEX('vehicles specifications'!$B$3:$CK$86,MATCH(B463,'vehicles specifications'!$A$3:$A$86,0),MATCH("Range [km]",'vehicles specifications'!$B$2:$CK$2,0))</f>
        <v>174.5002303665438</v>
      </c>
    </row>
    <row r="480" spans="1:2" x14ac:dyDescent="0.3">
      <c r="A480" s="21" t="s">
        <v>142</v>
      </c>
      <c r="B480" s="21" t="str">
        <f>INDEX('vehicles specifications'!$B$3:$CK$86,MATCH(B463,'vehicles specifications'!$A$3:$A$86,0),MATCH("Emission standard",'vehicles specifications'!$B$2:$CK$2,0))</f>
        <v>EURO-5</v>
      </c>
    </row>
    <row r="481" spans="1:8" x14ac:dyDescent="0.3">
      <c r="A481" s="21" t="s">
        <v>144</v>
      </c>
      <c r="B481" s="6">
        <f>INDEX('vehicles specifications'!$B$3:$CK$86,MATCH(B463,'vehicles specifications'!$A$3:$A$86,0),MATCH("Lightweighting rate [%]",'vehicles specifications'!$B$2:$CK$2,0))</f>
        <v>0.03</v>
      </c>
    </row>
    <row r="482" spans="1:8" x14ac:dyDescent="0.3">
      <c r="A482" s="21"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2.8 kW. Lifetime: 33400 km. Annual kilometers: 2553 km. Number of passengers: 1. Curb mass: 88.4 kg. Lightweighting of glider: 3%. Emission standard: EURO-5. Service visits throughout lifetime: 1. Range: 175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s="21" t="s">
        <v>81</v>
      </c>
      <c r="B484" s="21" t="s">
        <v>82</v>
      </c>
      <c r="C484" s="21" t="s">
        <v>73</v>
      </c>
      <c r="D484" s="21" t="s">
        <v>77</v>
      </c>
      <c r="E484" s="21" t="s">
        <v>83</v>
      </c>
      <c r="F484" s="21" t="s">
        <v>75</v>
      </c>
      <c r="G484" s="21" t="s">
        <v>84</v>
      </c>
      <c r="H484" s="21" t="s">
        <v>74</v>
      </c>
    </row>
    <row r="485" spans="1:8" x14ac:dyDescent="0.3">
      <c r="A485" s="12" t="str">
        <f>B458</f>
        <v>transport, Scooter, gasoline, &lt;4kW, EURO-5, 2030</v>
      </c>
      <c r="B485" s="12">
        <v>1</v>
      </c>
      <c r="C485" s="12" t="str">
        <f>B459</f>
        <v>CH</v>
      </c>
      <c r="D485" s="12" t="s">
        <v>172</v>
      </c>
      <c r="E485" s="12"/>
      <c r="F485" s="12" t="s">
        <v>85</v>
      </c>
      <c r="G485" s="12" t="s">
        <v>86</v>
      </c>
      <c r="H485" s="12" t="str">
        <f>B464</f>
        <v>transport, Scooter, gasoline, &lt;4kW, EURO-5</v>
      </c>
    </row>
    <row r="486" spans="1:8" x14ac:dyDescent="0.3">
      <c r="A486" s="12" t="str">
        <f>RIGHT(A485,LEN(A485)-11)</f>
        <v>Scooter, gasoline, &lt;4kW, EURO-5, 2030</v>
      </c>
      <c r="B486" s="12">
        <f>1/B468</f>
        <v>2.9940119760479042E-5</v>
      </c>
      <c r="C486" s="12" t="str">
        <f>B459</f>
        <v>CH</v>
      </c>
      <c r="D486" s="12" t="s">
        <v>77</v>
      </c>
      <c r="E486" s="12"/>
      <c r="F486" s="12" t="s">
        <v>91</v>
      </c>
      <c r="G486" s="12"/>
      <c r="H486" s="12" t="str">
        <f>RIGHT(H485,LEN(H485)-11)</f>
        <v>Scooter, gasoline, &lt;4kW, EURO-5</v>
      </c>
    </row>
    <row r="487" spans="1:8"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8.723430749999999E-5</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road maintenance</v>
      </c>
      <c r="B488" s="16">
        <f>INDEX('vehicles specifications'!$B$3:$CK$86,MATCH(B463,'vehicles specifications'!$A$3:$A$86,0),MATCH(G488,'vehicles specifications'!$B$2:$CK$2,0))*INDEX('ei names mapping'!$B$137:$BK$220,MATCH(B463,'ei names mapping'!$A$137:$A$220,0),MATCH(G488,'ei names mapping'!$B$136:$BK$136,0))</f>
        <v>1.2899999999999999E-3</v>
      </c>
      <c r="C488" s="12" t="str">
        <f>INDEX('ei names mapping'!$B$38:$R$67,MATCH(B460,'ei names mapping'!$A$4:$A$33,0),MATCH(G488,'ei names mapping'!$B$3:$R$3,0))</f>
        <v>CH</v>
      </c>
      <c r="D488" s="12" t="str">
        <f>INDEX('ei names mapping'!$B$104:$BK$133,MATCH(B460,'ei names mapping'!$A$4:$A$33,0),MATCH(G488,'ei names mapping'!$B$3:$BK$3,0))</f>
        <v>meter-year</v>
      </c>
      <c r="E488" s="12"/>
      <c r="F488" s="12" t="s">
        <v>91</v>
      </c>
      <c r="G488" s="21" t="s">
        <v>117</v>
      </c>
      <c r="H488" s="12" t="str">
        <f>INDEX('ei names mapping'!$B$71:$BK$100,MATCH(B460,'ei names mapping'!$A$4:$A$33,0),MATCH(G488,'ei names mapping'!$B$3:$BK$3,0))</f>
        <v>road maintenance</v>
      </c>
    </row>
    <row r="489" spans="1:8" x14ac:dyDescent="0.3">
      <c r="A489" s="12" t="str">
        <f>INDEX('ei names mapping'!$B$4:$R$33,MATCH(B460,'ei names mapping'!$A$4:$A$33,0),MATCH(G489,'ei names mapping'!$B$3:$R$3,0))</f>
        <v>maintenance, motor scooter</v>
      </c>
      <c r="B489" s="16">
        <f>INDEX('vehicles specifications'!$B$3:$CK$86,MATCH(B463,'vehicles specifications'!$A$3:$A$86,0),MATCH(G489,'vehicles specifications'!$B$2:$CK$2,0))*INDEX('ei names mapping'!$B$137:$BK$220,MATCH(B463,'ei names mapping'!$A$137:$A$220,0),MATCH(G489,'ei names mapping'!$B$136:$BK$136,0))</f>
        <v>2.9940119760479042E-5</v>
      </c>
      <c r="C489" s="12" t="str">
        <f>INDEX('ei names mapping'!$B$38:$BK$67,MATCH(B460,'ei names mapping'!$A$4:$A$33,0),MATCH(G489,'ei names mapping'!$B$3:$BK$3,0))</f>
        <v>CH</v>
      </c>
      <c r="D489" s="12" t="str">
        <f>INDEX('ei names mapping'!$B$104:$BK$133,MATCH(B460,'ei names mapping'!$A$4:$A$33,0),MATCH(G489,'ei names mapping'!$B$3:$BK$3,0))</f>
        <v>unit</v>
      </c>
      <c r="F489" s="12" t="s">
        <v>91</v>
      </c>
      <c r="G489" s="12" t="s">
        <v>123</v>
      </c>
      <c r="H489" s="12" t="str">
        <f>INDEX('ei names mapping'!$B$71:$BK$100,MATCH(B460,'ei names mapping'!$A$4:$A$33,0),MATCH(G489,'ei names mapping'!$B$3:$BK$3,0))</f>
        <v>maintenance, motor scooter</v>
      </c>
    </row>
    <row r="490" spans="1:8" x14ac:dyDescent="0.3">
      <c r="A490" s="12" t="str">
        <f>INDEX('ei names mapping'!$B$4:$R$33,MATCH(B460,'ei names mapping'!$A$4:$A$33,0),MATCH(G490,'ei names mapping'!$B$3:$R$3,0))</f>
        <v>petrol blending for two-stroke engines</v>
      </c>
      <c r="B490" s="16">
        <f>INDEX('vehicles specifications'!$B$3:$CK$86,MATCH(B463,'vehicles specifications'!$A$3:$A$86,0),MATCH(G490,'vehicles specifications'!$B$2:$CK$2,0))*INDEX('ei names mapping'!$B$137:$BK$220,MATCH(B463,'ei names mapping'!$A$137:$A$220,0),MATCH(G490,'ei names mapping'!$B$136:$BK$136,0))</f>
        <v>3.0085920167395724E-2</v>
      </c>
      <c r="C490" s="12" t="str">
        <f>INDEX('ei names mapping'!$B$38:$BK$67,MATCH(B460,'ei names mapping'!$A$4:$A$33,0),MATCH(G490,'ei names mapping'!$B$3:$BK$3,0))</f>
        <v>CH</v>
      </c>
      <c r="D490" s="12" t="str">
        <f>INDEX('ei names mapping'!$B$104:$BK$133,MATCH(B460,'ei names mapping'!$A$4:$A$33,0),MATCH(G490,'ei names mapping'!$B$3:$BK$3,0))</f>
        <v>kilogram</v>
      </c>
      <c r="F490" s="12" t="s">
        <v>91</v>
      </c>
      <c r="G490" s="12" t="s">
        <v>27</v>
      </c>
      <c r="H490" s="12" t="str">
        <f>INDEX('ei names mapping'!$B$71:$BK$100,MATCH(B460,'ei names mapping'!$A$4:$A$33,0),MATCH(G490,'ei names mapping'!$B$3:$BK$3,0))</f>
        <v>petrol, two-stroke blend</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9.5673226132318406E-2</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s="2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4.8137472267833157E-7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s="21"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7.7561870251729333E-5</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s="21"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3.516885238146577E-5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s="21"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3.7187487115663853E-3</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s="21"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1.7843151893184062E-6</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s="21"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1.7843151893184062E-6</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s="21"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1.3380706087665241E-4</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1.0247322132255605E-5</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6.2547219432945386E-4</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4.4103808574512766E-5</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8.9866694587565205E-6</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7.2446381482898714E-5</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2.9725137440502336E-5</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2.2259288967073843E-5</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1.5761235666126822E-5</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1.0230977537661269E-5</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1.009272108444963E-4</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5.2813965126846007E-5</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1.5208209853280265E-6</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1.5180558562637937E-4</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7.5073254093919859E-5</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3.1245958425830361E-5</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2.3503597045978593E-5</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1.0369233990872907E-5</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3.0416419706560531E-6</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8.4336436459099656E-6</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2.6268726110211365E-6</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1.3963901774375514E-5</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4.4392376925395736E-8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3.826929045292736E-10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2.5512860301951575E-10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2.75538891261077E-6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5.35770066340983E-8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1.6583359196268521E-8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2.0410288241561264E-8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4.0820576483122511E-11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1.1098094231348934E-8</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1.3776944563053849E-8</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s="2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-6.3939999999999993E-6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s="21"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-6.1789999999999996E-6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s="21"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Scooter, gasoline, &lt;4kW, EURO-5, 2040</v>
      </c>
    </row>
    <row r="536" spans="1:8" x14ac:dyDescent="0.3">
      <c r="A536" s="21" t="s">
        <v>73</v>
      </c>
      <c r="B536" s="21" t="s">
        <v>37</v>
      </c>
    </row>
    <row r="537" spans="1:8" x14ac:dyDescent="0.3">
      <c r="A537" s="21" t="s">
        <v>87</v>
      </c>
      <c r="B537" s="21" t="s">
        <v>677</v>
      </c>
    </row>
    <row r="538" spans="1:8" x14ac:dyDescent="0.3">
      <c r="A538" s="21" t="s">
        <v>88</v>
      </c>
      <c r="B538" s="12"/>
    </row>
    <row r="539" spans="1:8" x14ac:dyDescent="0.3">
      <c r="A539" s="21" t="s">
        <v>89</v>
      </c>
      <c r="B539" s="12">
        <v>2040</v>
      </c>
    </row>
    <row r="540" spans="1:8" x14ac:dyDescent="0.3">
      <c r="A540" s="21" t="s">
        <v>131</v>
      </c>
      <c r="B540" s="12" t="str">
        <f>B537&amp;" - "&amp;B539&amp;" - "&amp;B536</f>
        <v>Scooter, gasoline, &lt;4kW, EURO-5 - 2040 - CH</v>
      </c>
    </row>
    <row r="541" spans="1:8" x14ac:dyDescent="0.3">
      <c r="A541" s="21" t="s">
        <v>74</v>
      </c>
      <c r="B541" s="12" t="str">
        <f>"transport, "&amp;B537</f>
        <v>transport, Scooter, gasoline, &lt;4kW, EURO-5</v>
      </c>
    </row>
    <row r="542" spans="1:8" x14ac:dyDescent="0.3">
      <c r="A542" s="21" t="s">
        <v>75</v>
      </c>
      <c r="B542" s="21" t="s">
        <v>76</v>
      </c>
    </row>
    <row r="543" spans="1:8" x14ac:dyDescent="0.3">
      <c r="A543" s="21" t="s">
        <v>77</v>
      </c>
      <c r="B543" s="21" t="s">
        <v>172</v>
      </c>
    </row>
    <row r="544" spans="1:8" x14ac:dyDescent="0.3">
      <c r="A544" s="21" t="s">
        <v>79</v>
      </c>
      <c r="B544" s="21" t="s">
        <v>90</v>
      </c>
    </row>
    <row r="545" spans="1:2" x14ac:dyDescent="0.3">
      <c r="A545" s="21" t="s">
        <v>132</v>
      </c>
      <c r="B545" s="21">
        <f>INDEX('vehicles specifications'!$B$3:$CK$86,MATCH(B540,'vehicles specifications'!$A$3:$A$86,0),MATCH("Lifetime [km]",'vehicles specifications'!$B$2:$CK$2,0))</f>
        <v>33400</v>
      </c>
    </row>
    <row r="546" spans="1:2" x14ac:dyDescent="0.3">
      <c r="A546" s="21" t="s">
        <v>133</v>
      </c>
      <c r="B546" s="21">
        <f>INDEX('vehicles specifications'!$B$3:$CK$86,MATCH(B540,'vehicles specifications'!$A$3:$A$86,0),MATCH("Passengers [unit]",'vehicles specifications'!$B$2:$CK$2,0))</f>
        <v>1</v>
      </c>
    </row>
    <row r="547" spans="1:2" x14ac:dyDescent="0.3">
      <c r="A547" s="21" t="s">
        <v>134</v>
      </c>
      <c r="B547" s="21">
        <f>INDEX('vehicles specifications'!$B$3:$CK$86,MATCH(B540,'vehicles specifications'!$A$3:$A$86,0),MATCH("Servicing [unit]",'vehicles specifications'!$B$2:$CK$2,0))</f>
        <v>1</v>
      </c>
    </row>
    <row r="548" spans="1:2" x14ac:dyDescent="0.3">
      <c r="A548" s="21" t="s">
        <v>135</v>
      </c>
      <c r="B548" s="21">
        <f>INDEX('vehicles specifications'!$B$3:$CK$86,MATCH(B540,'vehicles specifications'!$A$3:$A$86,0),MATCH("Energy battery replacement [unit]",'vehicles specifications'!$B$2:$CK$2,0))</f>
        <v>0</v>
      </c>
    </row>
    <row r="549" spans="1:2" x14ac:dyDescent="0.3">
      <c r="A549" s="21" t="s">
        <v>136</v>
      </c>
      <c r="B549" s="21">
        <f>INDEX('vehicles specifications'!$B$3:$CK$86,MATCH(B540,'vehicles specifications'!$A$3:$A$86,0),MATCH("Annual kilometers [km]",'vehicles specifications'!$B$2:$CK$2,0))</f>
        <v>2553</v>
      </c>
    </row>
    <row r="550" spans="1:2" x14ac:dyDescent="0.3">
      <c r="A550" s="21" t="s">
        <v>137</v>
      </c>
      <c r="B550" s="2">
        <f>INDEX('vehicles specifications'!$B$3:$CK$86,MATCH(B540,'vehicles specifications'!$A$3:$A$86,0),MATCH("Curb mass [kg]",'vehicles specifications'!$B$2:$CK$2,0))</f>
        <v>86.487499999999983</v>
      </c>
    </row>
    <row r="551" spans="1:2" x14ac:dyDescent="0.3">
      <c r="A551" s="21" t="s">
        <v>138</v>
      </c>
      <c r="B551" s="21">
        <f>INDEX('vehicles specifications'!$B$3:$CK$86,MATCH(B540,'vehicles specifications'!$A$3:$A$86,0),MATCH("Power [kW]",'vehicles specifications'!$B$2:$CK$2,0))</f>
        <v>2.8</v>
      </c>
    </row>
    <row r="552" spans="1:2" x14ac:dyDescent="0.3">
      <c r="A552" s="21" t="s">
        <v>139</v>
      </c>
      <c r="B552" s="21">
        <f>INDEX('vehicles specifications'!$B$3:$CK$86,MATCH(B540,'vehicles specifications'!$A$3:$A$86,0),MATCH("Energy battery mass [kg]",'vehicles specifications'!$B$2:$CK$2,0))</f>
        <v>0</v>
      </c>
    </row>
    <row r="553" spans="1:2" x14ac:dyDescent="0.3">
      <c r="A553" s="21" t="s">
        <v>140</v>
      </c>
      <c r="B553" s="21">
        <f>INDEX('vehicles specifications'!$B$3:$CK$86,MATCH(B540,'vehicles specifications'!$A$3:$A$86,0),MATCH("Electric energy available [kWh]",'vehicles specifications'!$B$2:$CK$2,0))</f>
        <v>0</v>
      </c>
    </row>
    <row r="554" spans="1:2" x14ac:dyDescent="0.3">
      <c r="A554" s="21" t="s">
        <v>143</v>
      </c>
      <c r="B554" s="2">
        <f>INDEX('vehicles specifications'!$B$3:$CK$86,MATCH(B540,'vehicles specifications'!$A$3:$A$86,0),MATCH("Oxydation energy stored [kWh]",'vehicles specifications'!$B$2:$CK$2,0))</f>
        <v>61.833333333333329</v>
      </c>
    </row>
    <row r="555" spans="1:2" x14ac:dyDescent="0.3">
      <c r="A555" s="21" t="s">
        <v>145</v>
      </c>
      <c r="B555" s="21">
        <f>INDEX('vehicles specifications'!$B$3:$CK$86,MATCH(B540,'vehicles specifications'!$A$3:$A$86,0),MATCH("Fuel mass [kg]",'vehicles specifications'!$B$2:$CK$2,0))</f>
        <v>5.25</v>
      </c>
    </row>
    <row r="556" spans="1:2" x14ac:dyDescent="0.3">
      <c r="A556" s="21" t="s">
        <v>141</v>
      </c>
      <c r="B556" s="2">
        <f>INDEX('vehicles specifications'!$B$3:$CK$86,MATCH(B540,'vehicles specifications'!$A$3:$A$86,0),MATCH("Range [km]",'vehicles specifications'!$B$2:$CK$2,0))</f>
        <v>176.26285895610485</v>
      </c>
    </row>
    <row r="557" spans="1:2" x14ac:dyDescent="0.3">
      <c r="A557" s="21" t="s">
        <v>142</v>
      </c>
      <c r="B557" s="21" t="str">
        <f>INDEX('vehicles specifications'!$B$3:$CK$86,MATCH(B540,'vehicles specifications'!$A$3:$A$86,0),MATCH("Emission standard",'vehicles specifications'!$B$2:$CK$2,0))</f>
        <v>EURO-5</v>
      </c>
    </row>
    <row r="558" spans="1:2" x14ac:dyDescent="0.3">
      <c r="A558" s="21" t="s">
        <v>144</v>
      </c>
      <c r="B558" s="6">
        <f>INDEX('vehicles specifications'!$B$3:$CK$86,MATCH(B540,'vehicles specifications'!$A$3:$A$86,0),MATCH("Lightweighting rate [%]",'vehicles specifications'!$B$2:$CK$2,0))</f>
        <v>0.05</v>
      </c>
    </row>
    <row r="559" spans="1:2" x14ac:dyDescent="0.3">
      <c r="A559" s="21"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2.8 kW. Lifetime: 33400 km. Annual kilometers: 2553 km. Number of passengers: 1. Curb mass: 86.5 kg. Lightweighting of glider: 5%. Emission standard: EURO-5. Service visits throughout lifetime: 1. Range: 176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s="21" t="s">
        <v>81</v>
      </c>
      <c r="B561" s="21" t="s">
        <v>82</v>
      </c>
      <c r="C561" s="21" t="s">
        <v>73</v>
      </c>
      <c r="D561" s="21" t="s">
        <v>77</v>
      </c>
      <c r="E561" s="21" t="s">
        <v>83</v>
      </c>
      <c r="F561" s="21" t="s">
        <v>75</v>
      </c>
      <c r="G561" s="21" t="s">
        <v>84</v>
      </c>
      <c r="H561" s="21" t="s">
        <v>74</v>
      </c>
    </row>
    <row r="562" spans="1:8" x14ac:dyDescent="0.3">
      <c r="A562" s="12" t="str">
        <f>B535</f>
        <v>transport, Scooter, gasoline, &lt;4kW, EURO-5, 2040</v>
      </c>
      <c r="B562" s="12">
        <v>1</v>
      </c>
      <c r="C562" s="12" t="str">
        <f>B536</f>
        <v>CH</v>
      </c>
      <c r="D562" s="12" t="s">
        <v>172</v>
      </c>
      <c r="E562" s="12"/>
      <c r="F562" s="12" t="s">
        <v>85</v>
      </c>
      <c r="G562" s="12" t="s">
        <v>86</v>
      </c>
      <c r="H562" s="12" t="str">
        <f>B541</f>
        <v>transport, Scooter, gasoline, &lt;4kW, EURO-5</v>
      </c>
    </row>
    <row r="563" spans="1:8" x14ac:dyDescent="0.3">
      <c r="A563" s="12" t="str">
        <f>RIGHT(A562,LEN(A562)-11)</f>
        <v>Scooter, gasoline, &lt;4kW, EURO-5, 2040</v>
      </c>
      <c r="B563" s="12">
        <f>1/B545</f>
        <v>2.9940119760479042E-5</v>
      </c>
      <c r="C563" s="12" t="str">
        <f>B536</f>
        <v>CH</v>
      </c>
      <c r="D563" s="12" t="s">
        <v>77</v>
      </c>
      <c r="E563" s="12"/>
      <c r="F563" s="12" t="s">
        <v>91</v>
      </c>
      <c r="G563" s="12"/>
      <c r="H563" s="12" t="str">
        <f>RIGHT(H562,LEN(H562)-11)</f>
        <v>Scooter, gasoline, &lt;4kW, EURO-5</v>
      </c>
    </row>
    <row r="564" spans="1:8"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8.6181787499999991E-5</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road maintenance</v>
      </c>
      <c r="B565" s="16">
        <f>INDEX('vehicles specifications'!$B$3:$CK$86,MATCH(B540,'vehicles specifications'!$A$3:$A$86,0),MATCH(G565,'vehicles specifications'!$B$2:$CK$2,0))*INDEX('ei names mapping'!$B$137:$BK$220,MATCH(B540,'ei names mapping'!$A$137:$A$220,0),MATCH(G565,'ei names mapping'!$B$136:$BK$136,0))</f>
        <v>1.2899999999999999E-3</v>
      </c>
      <c r="C565" s="12" t="str">
        <f>INDEX('ei names mapping'!$B$38:$R$67,MATCH(B537,'ei names mapping'!$A$4:$A$33,0),MATCH(G565,'ei names mapping'!$B$3:$R$3,0))</f>
        <v>CH</v>
      </c>
      <c r="D565" s="12" t="str">
        <f>INDEX('ei names mapping'!$B$104:$BK$133,MATCH(B537,'ei names mapping'!$A$4:$A$33,0),MATCH(G565,'ei names mapping'!$B$3:$BK$3,0))</f>
        <v>meter-year</v>
      </c>
      <c r="E565" s="12"/>
      <c r="F565" s="12" t="s">
        <v>91</v>
      </c>
      <c r="G565" s="21" t="s">
        <v>117</v>
      </c>
      <c r="H565" s="12" t="str">
        <f>INDEX('ei names mapping'!$B$71:$BK$100,MATCH(B537,'ei names mapping'!$A$4:$A$33,0),MATCH(G565,'ei names mapping'!$B$3:$BK$3,0))</f>
        <v>road maintenance</v>
      </c>
    </row>
    <row r="566" spans="1:8" x14ac:dyDescent="0.3">
      <c r="A566" s="12" t="str">
        <f>INDEX('ei names mapping'!$B$4:$R$33,MATCH(B537,'ei names mapping'!$A$4:$A$33,0),MATCH(G566,'ei names mapping'!$B$3:$R$3,0))</f>
        <v>maintenance, motor scooter</v>
      </c>
      <c r="B566" s="16">
        <f>INDEX('vehicles specifications'!$B$3:$CK$86,MATCH(B540,'vehicles specifications'!$A$3:$A$86,0),MATCH(G566,'vehicles specifications'!$B$2:$CK$2,0))*INDEX('ei names mapping'!$B$137:$BK$220,MATCH(B540,'ei names mapping'!$A$137:$A$220,0),MATCH(G566,'ei names mapping'!$B$136:$BK$136,0))</f>
        <v>2.9940119760479042E-5</v>
      </c>
      <c r="C566" s="12" t="str">
        <f>INDEX('ei names mapping'!$B$38:$BK$67,MATCH(B537,'ei names mapping'!$A$4:$A$33,0),MATCH(G566,'ei names mapping'!$B$3:$BK$3,0))</f>
        <v>CH</v>
      </c>
      <c r="D566" s="12" t="str">
        <f>INDEX('ei names mapping'!$B$104:$BK$133,MATCH(B537,'ei names mapping'!$A$4:$A$33,0),MATCH(G566,'ei names mapping'!$B$3:$BK$3,0))</f>
        <v>unit</v>
      </c>
      <c r="F566" s="12" t="s">
        <v>91</v>
      </c>
      <c r="G566" s="12" t="s">
        <v>123</v>
      </c>
      <c r="H566" s="12" t="str">
        <f>INDEX('ei names mapping'!$B$71:$BK$100,MATCH(B537,'ei names mapping'!$A$4:$A$33,0),MATCH(G566,'ei names mapping'!$B$3:$BK$3,0))</f>
        <v>maintenance, motor scooter</v>
      </c>
    </row>
    <row r="567" spans="1:8" x14ac:dyDescent="0.3">
      <c r="A567" s="12" t="str">
        <f>INDEX('ei names mapping'!$B$4:$R$33,MATCH(B537,'ei names mapping'!$A$4:$A$33,0),MATCH(G567,'ei names mapping'!$B$3:$R$3,0))</f>
        <v>petrol blending for two-stroke engines</v>
      </c>
      <c r="B567" s="16">
        <f>INDEX('vehicles specifications'!$B$3:$CK$86,MATCH(B540,'vehicles specifications'!$A$3:$A$86,0),MATCH(G567,'vehicles specifications'!$B$2:$CK$2,0))*INDEX('ei names mapping'!$B$137:$BK$220,MATCH(B540,'ei names mapping'!$A$137:$A$220,0),MATCH(G567,'ei names mapping'!$B$136:$BK$136,0))</f>
        <v>2.9785060965721769E-2</v>
      </c>
      <c r="C567" s="12" t="str">
        <f>INDEX('ei names mapping'!$B$38:$BK$67,MATCH(B537,'ei names mapping'!$A$4:$A$33,0),MATCH(G567,'ei names mapping'!$B$3:$BK$3,0))</f>
        <v>CH</v>
      </c>
      <c r="D567" s="12" t="str">
        <f>INDEX('ei names mapping'!$B$104:$BK$133,MATCH(B537,'ei names mapping'!$A$4:$A$33,0),MATCH(G567,'ei names mapping'!$B$3:$BK$3,0))</f>
        <v>kilogram</v>
      </c>
      <c r="F567" s="12" t="s">
        <v>91</v>
      </c>
      <c r="G567" s="12" t="s">
        <v>27</v>
      </c>
      <c r="H567" s="12" t="str">
        <f>INDEX('ei names mapping'!$B$71:$BK$100,MATCH(B537,'ei names mapping'!$A$4:$A$33,0),MATCH(G567,'ei names mapping'!$B$3:$BK$3,0))</f>
        <v>petrol, two-stroke blend</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9.4716493870995233E-2</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s="21"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4.7656097545154825E-7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s="21"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7.6786251549212049E-5</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s="21"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3.4817163857651117E-5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s="2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3.6815612244507218E-3</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s="21"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1.7664720374252222E-6</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s="21"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1.7664720374252222E-6</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s="21"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1.3246899026788587E-4</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1.014484891093305E-5</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6.192174723861593E-4</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4.3662770488767639E-5</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8.8968027641689555E-6</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7.1721917668069734E-5</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2.9427886066097313E-5</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2.2036696077403105E-5</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1.5603623309465551E-5</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1.0128667762284656E-5</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9.9917938736051348E-5</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5.2285825475577546E-5</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1.5056127754747464E-6</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1.5028752977011559E-4</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7.4322521552980665E-5</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3.0933498841572057E-5</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2.3268561075518807E-5</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1.0265541650964179E-5</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3.0112255509494928E-6</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8.3493072094508672E-6</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2.6006038849109253E-6</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1.382426275663176E-5</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4.3948453156141782E-8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3.7886597548398086E-10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2.5257731698932057E-10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2.7278350234846621E-6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5.3041236567757318E-8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1.6417525604305839E-8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2.0206185359145651E-8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4.0412370718291291E-11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1.0987113289035445E-8</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1.3639175117423312E-8</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s="21"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-6.3939999999999993E-6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s="21"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-6.1789999999999996E-6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s="21"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Scooter, gasoline, &lt;4kW, EURO-5, 2050</v>
      </c>
    </row>
    <row r="613" spans="1:8" x14ac:dyDescent="0.3">
      <c r="A613" s="21" t="s">
        <v>73</v>
      </c>
      <c r="B613" s="21" t="s">
        <v>37</v>
      </c>
    </row>
    <row r="614" spans="1:8" x14ac:dyDescent="0.3">
      <c r="A614" s="21" t="s">
        <v>87</v>
      </c>
      <c r="B614" s="21" t="s">
        <v>677</v>
      </c>
    </row>
    <row r="615" spans="1:8" x14ac:dyDescent="0.3">
      <c r="A615" s="21" t="s">
        <v>88</v>
      </c>
      <c r="B615" s="12"/>
    </row>
    <row r="616" spans="1:8" x14ac:dyDescent="0.3">
      <c r="A616" s="21" t="s">
        <v>89</v>
      </c>
      <c r="B616" s="12">
        <v>2050</v>
      </c>
    </row>
    <row r="617" spans="1:8" x14ac:dyDescent="0.3">
      <c r="A617" s="21" t="s">
        <v>131</v>
      </c>
      <c r="B617" s="12" t="str">
        <f>B614&amp;" - "&amp;B616&amp;" - "&amp;B613</f>
        <v>Scooter, gasoline, &lt;4kW, EURO-5 - 2050 - CH</v>
      </c>
    </row>
    <row r="618" spans="1:8" x14ac:dyDescent="0.3">
      <c r="A618" s="21" t="s">
        <v>74</v>
      </c>
      <c r="B618" s="12" t="str">
        <f>"transport, "&amp;B614</f>
        <v>transport, Scooter, gasoline, &lt;4kW, EURO-5</v>
      </c>
    </row>
    <row r="619" spans="1:8" x14ac:dyDescent="0.3">
      <c r="A619" s="21" t="s">
        <v>75</v>
      </c>
      <c r="B619" s="21" t="s">
        <v>76</v>
      </c>
    </row>
    <row r="620" spans="1:8" x14ac:dyDescent="0.3">
      <c r="A620" s="21" t="s">
        <v>77</v>
      </c>
      <c r="B620" s="21" t="s">
        <v>172</v>
      </c>
    </row>
    <row r="621" spans="1:8" x14ac:dyDescent="0.3">
      <c r="A621" s="21" t="s">
        <v>79</v>
      </c>
      <c r="B621" s="21" t="s">
        <v>90</v>
      </c>
    </row>
    <row r="622" spans="1:8" x14ac:dyDescent="0.3">
      <c r="A622" s="21" t="s">
        <v>132</v>
      </c>
      <c r="B622" s="21">
        <f>INDEX('vehicles specifications'!$B$3:$CK$86,MATCH(B617,'vehicles specifications'!$A$3:$A$86,0),MATCH("Lifetime [km]",'vehicles specifications'!$B$2:$CK$2,0))</f>
        <v>33400</v>
      </c>
    </row>
    <row r="623" spans="1:8" x14ac:dyDescent="0.3">
      <c r="A623" s="21" t="s">
        <v>133</v>
      </c>
      <c r="B623" s="21">
        <f>INDEX('vehicles specifications'!$B$3:$CK$86,MATCH(B617,'vehicles specifications'!$A$3:$A$86,0),MATCH("Passengers [unit]",'vehicles specifications'!$B$2:$CK$2,0))</f>
        <v>1</v>
      </c>
    </row>
    <row r="624" spans="1:8" x14ac:dyDescent="0.3">
      <c r="A624" s="21" t="s">
        <v>134</v>
      </c>
      <c r="B624" s="21">
        <f>INDEX('vehicles specifications'!$B$3:$CK$86,MATCH(B617,'vehicles specifications'!$A$3:$A$86,0),MATCH("Servicing [unit]",'vehicles specifications'!$B$2:$CK$2,0))</f>
        <v>1</v>
      </c>
    </row>
    <row r="625" spans="1:8" x14ac:dyDescent="0.3">
      <c r="A625" s="21" t="s">
        <v>135</v>
      </c>
      <c r="B625" s="21">
        <f>INDEX('vehicles specifications'!$B$3:$CK$86,MATCH(B617,'vehicles specifications'!$A$3:$A$86,0),MATCH("Energy battery replacement [unit]",'vehicles specifications'!$B$2:$CK$2,0))</f>
        <v>0</v>
      </c>
    </row>
    <row r="626" spans="1:8" x14ac:dyDescent="0.3">
      <c r="A626" s="21" t="s">
        <v>136</v>
      </c>
      <c r="B626" s="21">
        <f>INDEX('vehicles specifications'!$B$3:$CK$86,MATCH(B617,'vehicles specifications'!$A$3:$A$86,0),MATCH("Annual kilometers [km]",'vehicles specifications'!$B$2:$CK$2,0))</f>
        <v>2553</v>
      </c>
    </row>
    <row r="627" spans="1:8" x14ac:dyDescent="0.3">
      <c r="A627" s="21" t="s">
        <v>137</v>
      </c>
      <c r="B627" s="2">
        <f>INDEX('vehicles specifications'!$B$3:$CK$86,MATCH(B617,'vehicles specifications'!$A$3:$A$86,0),MATCH("Curb mass [kg]",'vehicles specifications'!$B$2:$CK$2,0))</f>
        <v>84.527499999999989</v>
      </c>
    </row>
    <row r="628" spans="1:8" x14ac:dyDescent="0.3">
      <c r="A628" s="21" t="s">
        <v>138</v>
      </c>
      <c r="B628" s="21">
        <f>INDEX('vehicles specifications'!$B$3:$CK$86,MATCH(B617,'vehicles specifications'!$A$3:$A$86,0),MATCH("Power [kW]",'vehicles specifications'!$B$2:$CK$2,0))</f>
        <v>2.8</v>
      </c>
    </row>
    <row r="629" spans="1:8" x14ac:dyDescent="0.3">
      <c r="A629" s="21" t="s">
        <v>139</v>
      </c>
      <c r="B629" s="21">
        <f>INDEX('vehicles specifications'!$B$3:$CK$86,MATCH(B617,'vehicles specifications'!$A$3:$A$86,0),MATCH("Energy battery mass [kg]",'vehicles specifications'!$B$2:$CK$2,0))</f>
        <v>0</v>
      </c>
    </row>
    <row r="630" spans="1:8" x14ac:dyDescent="0.3">
      <c r="A630" s="21" t="s">
        <v>140</v>
      </c>
      <c r="B630" s="21">
        <f>INDEX('vehicles specifications'!$B$3:$CK$86,MATCH(B617,'vehicles specifications'!$A$3:$A$86,0),MATCH("Electric energy available [kWh]",'vehicles specifications'!$B$2:$CK$2,0))</f>
        <v>0</v>
      </c>
    </row>
    <row r="631" spans="1:8" x14ac:dyDescent="0.3">
      <c r="A631" s="21" t="s">
        <v>143</v>
      </c>
      <c r="B631" s="2">
        <f>INDEX('vehicles specifications'!$B$3:$CK$86,MATCH(B617,'vehicles specifications'!$A$3:$A$86,0),MATCH("Oxydation energy stored [kWh]",'vehicles specifications'!$B$2:$CK$2,0))</f>
        <v>61.833333333333329</v>
      </c>
    </row>
    <row r="632" spans="1:8" x14ac:dyDescent="0.3">
      <c r="A632" s="21" t="s">
        <v>145</v>
      </c>
      <c r="B632" s="21">
        <f>INDEX('vehicles specifications'!$B$3:$CK$86,MATCH(B617,'vehicles specifications'!$A$3:$A$86,0),MATCH("Fuel mass [kg]",'vehicles specifications'!$B$2:$CK$2,0))</f>
        <v>5.25</v>
      </c>
    </row>
    <row r="633" spans="1:8" x14ac:dyDescent="0.3">
      <c r="A633" s="21" t="s">
        <v>141</v>
      </c>
      <c r="B633" s="2">
        <f>INDEX('vehicles specifications'!$B$3:$CK$86,MATCH(B617,'vehicles specifications'!$A$3:$A$86,0),MATCH("Range [km]",'vehicles specifications'!$B$2:$CK$2,0))</f>
        <v>178.04329187485337</v>
      </c>
    </row>
    <row r="634" spans="1:8" x14ac:dyDescent="0.3">
      <c r="A634" s="21" t="s">
        <v>142</v>
      </c>
      <c r="B634" s="21" t="str">
        <f>INDEX('vehicles specifications'!$B$3:$CK$86,MATCH(B617,'vehicles specifications'!$A$3:$A$86,0),MATCH("Emission standard",'vehicles specifications'!$B$2:$CK$2,0))</f>
        <v>EURO-5</v>
      </c>
    </row>
    <row r="635" spans="1:8" x14ac:dyDescent="0.3">
      <c r="A635" s="21" t="s">
        <v>144</v>
      </c>
      <c r="B635" s="6">
        <f>INDEX('vehicles specifications'!$B$3:$CK$86,MATCH(B617,'vehicles specifications'!$A$3:$A$86,0),MATCH("Lightweighting rate [%]",'vehicles specifications'!$B$2:$CK$2,0))</f>
        <v>7.0000000000000007E-2</v>
      </c>
    </row>
    <row r="636" spans="1:8" x14ac:dyDescent="0.3">
      <c r="A636" s="21"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2.8 kW. Lifetime: 33400 km. Annual kilometers: 2553 km. Number of passengers: 1. Curb mass: 84.5 kg. Lightweighting of glider: 7%. Emission standard: EURO-5. Service visits throughout lifetime: 1. Range: 178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s="21" t="s">
        <v>81</v>
      </c>
      <c r="B638" s="21" t="s">
        <v>82</v>
      </c>
      <c r="C638" s="21" t="s">
        <v>73</v>
      </c>
      <c r="D638" s="21" t="s">
        <v>77</v>
      </c>
      <c r="E638" s="21" t="s">
        <v>83</v>
      </c>
      <c r="F638" s="21" t="s">
        <v>75</v>
      </c>
      <c r="G638" s="21" t="s">
        <v>84</v>
      </c>
      <c r="H638" s="21" t="s">
        <v>74</v>
      </c>
    </row>
    <row r="639" spans="1:8" x14ac:dyDescent="0.3">
      <c r="A639" s="12" t="str">
        <f>B612</f>
        <v>transport, Scooter, gasoline, &lt;4kW, EURO-5, 2050</v>
      </c>
      <c r="B639" s="12">
        <v>1</v>
      </c>
      <c r="C639" s="12" t="str">
        <f>B613</f>
        <v>CH</v>
      </c>
      <c r="D639" s="12" t="s">
        <v>172</v>
      </c>
      <c r="E639" s="12"/>
      <c r="F639" s="12" t="s">
        <v>85</v>
      </c>
      <c r="G639" s="12" t="s">
        <v>86</v>
      </c>
      <c r="H639" s="12" t="str">
        <f>B618</f>
        <v>transport, Scooter, gasoline, &lt;4kW, EURO-5</v>
      </c>
    </row>
    <row r="640" spans="1:8" x14ac:dyDescent="0.3">
      <c r="A640" s="12" t="str">
        <f>RIGHT(A639,LEN(A639)-11)</f>
        <v>Scooter, gasoline, &lt;4kW, EURO-5, 2050</v>
      </c>
      <c r="B640" s="12">
        <f>1/B622</f>
        <v>2.9940119760479042E-5</v>
      </c>
      <c r="C640" s="12" t="str">
        <f>B613</f>
        <v>CH</v>
      </c>
      <c r="D640" s="12" t="s">
        <v>77</v>
      </c>
      <c r="E640" s="12"/>
      <c r="F640" s="12" t="s">
        <v>91</v>
      </c>
      <c r="G640" s="12"/>
      <c r="H640" s="12" t="str">
        <f>RIGHT(H639,LEN(H639)-11)</f>
        <v>Scooter, gasoline, &lt;4kW, EURO-5</v>
      </c>
    </row>
    <row r="641" spans="1:8"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8.5129267499999993E-5</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road maintenance</v>
      </c>
      <c r="B642" s="16">
        <f>INDEX('vehicles specifications'!$B$3:$CK$86,MATCH(B617,'vehicles specifications'!$A$3:$A$86,0),MATCH(G642,'vehicles specifications'!$B$2:$CK$2,0))*INDEX('ei names mapping'!$B$137:$BK$220,MATCH(B617,'ei names mapping'!$A$137:$A$220,0),MATCH(G642,'ei names mapping'!$B$136:$BK$136,0))</f>
        <v>1.2899999999999999E-3</v>
      </c>
      <c r="C642" s="12" t="str">
        <f>INDEX('ei names mapping'!$B$38:$R$67,MATCH(B614,'ei names mapping'!$A$4:$A$33,0),MATCH(G642,'ei names mapping'!$B$3:$R$3,0))</f>
        <v>CH</v>
      </c>
      <c r="D642" s="12" t="str">
        <f>INDEX('ei names mapping'!$B$104:$BK$133,MATCH(B614,'ei names mapping'!$A$4:$A$33,0),MATCH(G642,'ei names mapping'!$B$3:$BK$3,0))</f>
        <v>meter-year</v>
      </c>
      <c r="E642" s="12"/>
      <c r="F642" s="12" t="s">
        <v>91</v>
      </c>
      <c r="G642" s="21" t="s">
        <v>117</v>
      </c>
      <c r="H642" s="12" t="str">
        <f>INDEX('ei names mapping'!$B$71:$BK$100,MATCH(B614,'ei names mapping'!$A$4:$A$33,0),MATCH(G642,'ei names mapping'!$B$3:$BK$3,0))</f>
        <v>road maintenance</v>
      </c>
    </row>
    <row r="643" spans="1:8" x14ac:dyDescent="0.3">
      <c r="A643" s="12" t="str">
        <f>INDEX('ei names mapping'!$B$4:$R$33,MATCH(B614,'ei names mapping'!$A$4:$A$33,0),MATCH(G643,'ei names mapping'!$B$3:$R$3,0))</f>
        <v>maintenance, motor scooter</v>
      </c>
      <c r="B643" s="16">
        <f>INDEX('vehicles specifications'!$B$3:$CK$86,MATCH(B617,'vehicles specifications'!$A$3:$A$86,0),MATCH(G643,'vehicles specifications'!$B$2:$CK$2,0))*INDEX('ei names mapping'!$B$137:$BK$220,MATCH(B617,'ei names mapping'!$A$137:$A$220,0),MATCH(G643,'ei names mapping'!$B$136:$BK$136,0))</f>
        <v>2.9940119760479042E-5</v>
      </c>
      <c r="C643" s="12" t="str">
        <f>INDEX('ei names mapping'!$B$38:$BK$67,MATCH(B614,'ei names mapping'!$A$4:$A$33,0),MATCH(G643,'ei names mapping'!$B$3:$BK$3,0))</f>
        <v>CH</v>
      </c>
      <c r="D643" s="12" t="str">
        <f>INDEX('ei names mapping'!$B$104:$BK$133,MATCH(B614,'ei names mapping'!$A$4:$A$33,0),MATCH(G643,'ei names mapping'!$B$3:$BK$3,0))</f>
        <v>unit</v>
      </c>
      <c r="F643" s="12" t="s">
        <v>91</v>
      </c>
      <c r="G643" s="12" t="s">
        <v>123</v>
      </c>
      <c r="H643" s="12" t="str">
        <f>INDEX('ei names mapping'!$B$71:$BK$100,MATCH(B614,'ei names mapping'!$A$4:$A$33,0),MATCH(G643,'ei names mapping'!$B$3:$BK$3,0))</f>
        <v>maintenance, motor scooter</v>
      </c>
    </row>
    <row r="644" spans="1:8" x14ac:dyDescent="0.3">
      <c r="A644" s="12" t="str">
        <f>INDEX('ei names mapping'!$B$4:$R$33,MATCH(B614,'ei names mapping'!$A$4:$A$33,0),MATCH(G644,'ei names mapping'!$B$3:$R$3,0))</f>
        <v>petrol blending for two-stroke engines</v>
      </c>
      <c r="B644" s="16">
        <f>INDEX('vehicles specifications'!$B$3:$CK$86,MATCH(B617,'vehicles specifications'!$A$3:$A$86,0),MATCH(G644,'vehicles specifications'!$B$2:$CK$2,0))*INDEX('ei names mapping'!$B$137:$BK$220,MATCH(B617,'ei names mapping'!$A$137:$A$220,0),MATCH(G644,'ei names mapping'!$B$136:$BK$136,0))</f>
        <v>2.9487210356064553E-2</v>
      </c>
      <c r="C644" s="12" t="str">
        <f>INDEX('ei names mapping'!$B$38:$BK$67,MATCH(B614,'ei names mapping'!$A$4:$A$33,0),MATCH(G644,'ei names mapping'!$B$3:$BK$3,0))</f>
        <v>CH</v>
      </c>
      <c r="D644" s="12" t="str">
        <f>INDEX('ei names mapping'!$B$104:$BK$133,MATCH(B614,'ei names mapping'!$A$4:$A$33,0),MATCH(G644,'ei names mapping'!$B$3:$BK$3,0))</f>
        <v>kilogram</v>
      </c>
      <c r="F644" s="12" t="s">
        <v>91</v>
      </c>
      <c r="G644" s="12" t="s">
        <v>27</v>
      </c>
      <c r="H644" s="12" t="str">
        <f>INDEX('ei names mapping'!$B$71:$BK$100,MATCH(B614,'ei names mapping'!$A$4:$A$33,0),MATCH(G644,'ei names mapping'!$B$3:$BK$3,0))</f>
        <v>petrol, two-stroke blend</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9.3769328932285276E-2</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s="21"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4.7179536569703278E-7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s="21"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7.6018389033719928E-5</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s="21"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3.4468992219074605E-5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s="21"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3.6447456122062146E-3</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s="21"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1.7488073170509701E-6</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s="21"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1.7488073170509701E-6</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s="2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1.3114430036520702E-4</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1.004340042182372E-5</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6.130252976622977E-4</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4.3226142783879964E-5</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8.8078347365272657E-6</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7.1004698491389037E-5</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2.913360720543634E-5</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2.1816329116629077E-5</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1.5447587076370898E-5</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1.002738108466181E-5</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9.8918759348690837E-5</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5.1762967220821776E-5</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1.4905566477199989E-6</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1.4878465447241445E-4</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7.3579296337450856E-5</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3.0624163853156341E-5</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2.3035875464763623E-5</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1.0162886234454536E-5</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2.9811132954399978E-6</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8.2658141373563583E-6</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2.5745978460618164E-6</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1.3686020129065443E-5</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4.3508968624580363E-8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3.7507731572914109E-10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2.5005154381942739E-10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2.7005566732498157E-6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5.251082420207975E-8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1.625335034826278E-8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2.0004123505554197E-8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4.0008247011108378E-11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1.0877242156145091E-8</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1.350278336624908E-8</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s="21"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-6.3939999999999993E-6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s="21"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-6.1789999999999996E-6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s="21"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workbookViewId="0">
      <selection activeCell="B16" sqref="B16"/>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Scooter, gasoline, 4-11kW, EURO-3, 2006</v>
      </c>
    </row>
    <row r="2" spans="1:2" x14ac:dyDescent="0.3">
      <c r="A2" t="s">
        <v>73</v>
      </c>
      <c r="B2" t="s">
        <v>37</v>
      </c>
    </row>
    <row r="3" spans="1:2" x14ac:dyDescent="0.3">
      <c r="A3" t="s">
        <v>87</v>
      </c>
      <c r="B3" t="s">
        <v>636</v>
      </c>
    </row>
    <row r="4" spans="1:2" x14ac:dyDescent="0.3">
      <c r="A4" t="s">
        <v>88</v>
      </c>
      <c r="B4" s="12"/>
    </row>
    <row r="5" spans="1:2" x14ac:dyDescent="0.3">
      <c r="A5" t="s">
        <v>89</v>
      </c>
      <c r="B5" s="12">
        <v>2006</v>
      </c>
    </row>
    <row r="6" spans="1:2" x14ac:dyDescent="0.3">
      <c r="A6" t="s">
        <v>131</v>
      </c>
      <c r="B6" s="12" t="str">
        <f>B3&amp;" - "&amp;B5&amp;" - "&amp;B2</f>
        <v>Scooter, gasoline, 4-11kW, EURO-3 - 2006 - CH</v>
      </c>
    </row>
    <row r="7" spans="1:2" x14ac:dyDescent="0.3">
      <c r="A7" t="s">
        <v>74</v>
      </c>
      <c r="B7" t="str">
        <f>B3</f>
        <v>Scooter, gasoline, 4-11kW, EURO-3</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39800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1</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2731</v>
      </c>
    </row>
    <row r="16" spans="1:2" x14ac:dyDescent="0.3">
      <c r="A16" t="s">
        <v>137</v>
      </c>
      <c r="B16" s="2">
        <f>INDEX('vehicles specifications'!$B$3:$CK$86,MATCH(B6,'vehicles specifications'!$A$3:$A$86,0),MATCH("Curb mass [kg]",'vehicles specifications'!$B$2:$CK$2,0))</f>
        <v>132.53749999999999</v>
      </c>
    </row>
    <row r="17" spans="1:8" x14ac:dyDescent="0.3">
      <c r="A17" t="s">
        <v>138</v>
      </c>
      <c r="B17">
        <f>INDEX('vehicles specifications'!$B$3:$CK$86,MATCH(B6,'vehicles specifications'!$A$3:$A$86,0),MATCH("Power [kW]",'vehicles specifications'!$B$2:$CK$2,0))</f>
        <v>8.8000000000000007</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s="2">
        <f>INDEX('vehicles specifications'!$B$3:$CK$86,MATCH(B6,'vehicles specifications'!$A$3:$A$86,0),MATCH("Oxydation energy stored [kWh]",'vehicles specifications'!$B$2:$CK$2,0))</f>
        <v>61.833333333333329</v>
      </c>
    </row>
    <row r="21" spans="1:8" x14ac:dyDescent="0.3">
      <c r="A21" t="s">
        <v>145</v>
      </c>
      <c r="B21">
        <f>INDEX('vehicles specifications'!$B$3:$CK$86,MATCH(B6,'vehicles specifications'!$A$3:$A$86,0),MATCH("Fuel mass [kg]",'vehicles specifications'!$B$2:$CK$2,0))</f>
        <v>5.25</v>
      </c>
    </row>
    <row r="22" spans="1:8" x14ac:dyDescent="0.3">
      <c r="A22" t="s">
        <v>141</v>
      </c>
      <c r="B22" s="2">
        <f>INDEX('vehicles specifications'!$B$3:$CK$86,MATCH(B6,'vehicles specifications'!$A$3:$A$86,0),MATCH("Range [km]",'vehicles specifications'!$B$2:$CK$2,0))</f>
        <v>210.36507949194564</v>
      </c>
    </row>
    <row r="23" spans="1:8" x14ac:dyDescent="0.3">
      <c r="A23" t="s">
        <v>142</v>
      </c>
      <c r="B23" t="str">
        <f>INDEX('vehicles specifications'!$B$3:$CK$86,MATCH(B6,'vehicles specifications'!$A$3:$A$86,0),MATCH("Emission standard",'vehicles specifications'!$B$2:$CK$2,0))</f>
        <v>EURO-5</v>
      </c>
    </row>
    <row r="24" spans="1:8" x14ac:dyDescent="0.3">
      <c r="A24" t="s">
        <v>144</v>
      </c>
      <c r="B24" s="6">
        <f>INDEX('vehicles specifications'!$B$3:$CK$86,MATCH(B6,'vehicles specifications'!$A$3:$A$86,0),MATCH("Lightweighting rate [%]",'vehicles specifications'!$B$2:$CK$2,0))</f>
        <v>-0.05</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8.8 kW. Lifetime: 39800 km. Annual kilometers: 2731 km. Number of passengers: 1. Curb mass: 132.5 kg. Lightweighting of glider: -5%. Emission standard: EURO-5. Service visits throughout lifetime: 1. Range: 210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Scooter, gasoline, 4-11kW, EURO-3, 2006</v>
      </c>
      <c r="B31" s="12">
        <v>1</v>
      </c>
      <c r="C31" s="12" t="str">
        <f>B2</f>
        <v>CH</v>
      </c>
      <c r="D31" s="12" t="str">
        <f>B9</f>
        <v>unit</v>
      </c>
      <c r="E31" s="12"/>
      <c r="F31" s="12" t="s">
        <v>85</v>
      </c>
      <c r="G31" s="12" t="s">
        <v>86</v>
      </c>
      <c r="H31" s="12" t="str">
        <f>B3</f>
        <v>Scooter, gasoline, 4-11kW,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1</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0.35555555555555557</v>
      </c>
      <c r="C33" s="12" t="str">
        <f>INDEX('ei names mapping'!$B$38:$R$67,MATCH(B3,'ei names mapping'!$A$4:$A$33,0),MATCH(G33,'ei names mapping'!$B$3:$R$3,0))</f>
        <v>RER</v>
      </c>
      <c r="D33" s="12" t="str">
        <f>INDEX('ei names mapping'!$B$104:$R$133,MATCH($B$3,'ei names mapping'!$A$4:$A$33,0),MATCH(G33,'ei names mapping'!$B$3:$R$3,0))</f>
        <v>unit</v>
      </c>
      <c r="E33" s="12"/>
      <c r="F33" s="12" t="s">
        <v>91</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0.78749999999999998</v>
      </c>
      <c r="C34" s="12" t="str">
        <f>INDEX('ei names mapping'!$B$38:$R$67,MATCH(B3,'ei names mapping'!$A$4:$A$33,0),MATCH(G34,'ei names mapping'!$B$3:$R$3,0))</f>
        <v>RER</v>
      </c>
      <c r="D34" s="12" t="str">
        <f>INDEX('ei names mapping'!$B$104:$R$133,MATCH($B$3,'ei names mapping'!$A$4:$A$33,0),MATCH(G34,'ei names mapping'!$B$3:$R$3,0))</f>
        <v>kilogram</v>
      </c>
      <c r="E34" s="12"/>
      <c r="F34" s="12" t="s">
        <v>91</v>
      </c>
      <c r="G34" t="s">
        <v>24</v>
      </c>
      <c r="H34" s="12" t="str">
        <f>INDEX('ei names mapping'!$B$71:$R$100,MATCH(B3,'ei names mapping'!$A$4:$A$33,0),MATCH(G34,'ei names mapping'!$B$3:$R$3,0))</f>
        <v>polyethylene, high density, granulate</v>
      </c>
    </row>
    <row r="35" spans="1:8" s="21" customFormat="1" x14ac:dyDescent="0.3">
      <c r="A35" s="22" t="s">
        <v>468</v>
      </c>
      <c r="B35" s="21">
        <f>(B16/1000)*B27</f>
        <v>132.53749999999999</v>
      </c>
      <c r="C35" s="21" t="s">
        <v>94</v>
      </c>
      <c r="D35" s="21" t="s">
        <v>243</v>
      </c>
      <c r="F35" s="21" t="s">
        <v>91</v>
      </c>
      <c r="H35" s="22" t="s">
        <v>469</v>
      </c>
    </row>
    <row r="36" spans="1:8" s="21" customFormat="1" x14ac:dyDescent="0.3">
      <c r="A36" s="22" t="s">
        <v>467</v>
      </c>
      <c r="B36" s="2">
        <f>(B16/1000)*B26</f>
        <v>2107.3462500000001</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Scooter, gasoline, 4-11kW, EURO-4, 2016</v>
      </c>
    </row>
    <row r="39" spans="1:8" x14ac:dyDescent="0.3">
      <c r="A39" t="s">
        <v>73</v>
      </c>
      <c r="B39" t="s">
        <v>37</v>
      </c>
    </row>
    <row r="40" spans="1:8" x14ac:dyDescent="0.3">
      <c r="A40" t="s">
        <v>87</v>
      </c>
      <c r="B40" t="s">
        <v>637</v>
      </c>
    </row>
    <row r="41" spans="1:8" x14ac:dyDescent="0.3">
      <c r="A41" t="s">
        <v>88</v>
      </c>
      <c r="B41" s="12"/>
    </row>
    <row r="42" spans="1:8" x14ac:dyDescent="0.3">
      <c r="A42" t="s">
        <v>89</v>
      </c>
      <c r="B42" s="12">
        <v>2016</v>
      </c>
    </row>
    <row r="43" spans="1:8" x14ac:dyDescent="0.3">
      <c r="A43" t="s">
        <v>131</v>
      </c>
      <c r="B43" s="12" t="str">
        <f>B40&amp;" - "&amp;B42&amp;" - "&amp;B39</f>
        <v>Scooter, gasoline, 4-11kW, EURO-4 - 2016 - CH</v>
      </c>
    </row>
    <row r="44" spans="1:8" x14ac:dyDescent="0.3">
      <c r="A44" t="s">
        <v>74</v>
      </c>
      <c r="B44" t="str">
        <f>B40</f>
        <v>Scooter, gasoline, 4-11kW, EURO-4</v>
      </c>
    </row>
    <row r="45" spans="1:8" x14ac:dyDescent="0.3">
      <c r="A45" t="s">
        <v>75</v>
      </c>
      <c r="B45" t="s">
        <v>76</v>
      </c>
    </row>
    <row r="46" spans="1:8" x14ac:dyDescent="0.3">
      <c r="A46" t="s">
        <v>77</v>
      </c>
      <c r="B46" t="s">
        <v>77</v>
      </c>
    </row>
    <row r="47" spans="1:8" x14ac:dyDescent="0.3">
      <c r="A47" t="s">
        <v>79</v>
      </c>
      <c r="B47" t="s">
        <v>90</v>
      </c>
    </row>
    <row r="48" spans="1:8" x14ac:dyDescent="0.3">
      <c r="A48" t="s">
        <v>132</v>
      </c>
      <c r="B48">
        <f>INDEX('vehicles specifications'!$B$3:$CK$86,MATCH(B43,'vehicles specifications'!$A$3:$A$86,0),MATCH("Lifetime [km]",'vehicles specifications'!$B$2:$CK$2,0))</f>
        <v>39800</v>
      </c>
    </row>
    <row r="49" spans="1:2" x14ac:dyDescent="0.3">
      <c r="A49" t="s">
        <v>133</v>
      </c>
      <c r="B49">
        <f>INDEX('vehicles specifications'!$B$3:$CK$86,MATCH(B43,'vehicles specifications'!$A$3:$A$86,0),MATCH("Passengers [unit]",'vehicles specifications'!$B$2:$CK$2,0))</f>
        <v>1</v>
      </c>
    </row>
    <row r="50" spans="1:2" x14ac:dyDescent="0.3">
      <c r="A50" t="s">
        <v>134</v>
      </c>
      <c r="B50">
        <f>INDEX('vehicles specifications'!$B$3:$CK$86,MATCH(B43,'vehicles specifications'!$A$3:$A$86,0),MATCH("Servicing [unit]",'vehicles specifications'!$B$2:$CK$2,0))</f>
        <v>1</v>
      </c>
    </row>
    <row r="51" spans="1:2" x14ac:dyDescent="0.3">
      <c r="A51" t="s">
        <v>135</v>
      </c>
      <c r="B51">
        <f>INDEX('vehicles specifications'!$B$3:$CK$86,MATCH(B43,'vehicles specifications'!$A$3:$A$86,0),MATCH("Energy battery replacement [unit]",'vehicles specifications'!$B$2:$CK$2,0))</f>
        <v>0</v>
      </c>
    </row>
    <row r="52" spans="1:2" x14ac:dyDescent="0.3">
      <c r="A52" t="s">
        <v>136</v>
      </c>
      <c r="B52">
        <f>INDEX('vehicles specifications'!$B$3:$CK$86,MATCH(B43,'vehicles specifications'!$A$3:$A$86,0),MATCH("Annual kilometers [km]",'vehicles specifications'!$B$2:$CK$2,0))</f>
        <v>2731</v>
      </c>
    </row>
    <row r="53" spans="1:2" x14ac:dyDescent="0.3">
      <c r="A53" t="s">
        <v>137</v>
      </c>
      <c r="B53" s="2">
        <f>INDEX('vehicles specifications'!$B$3:$CK$86,MATCH(B43,'vehicles specifications'!$A$3:$A$86,0),MATCH("Curb mass [kg]",'vehicles specifications'!$B$2:$CK$2,0))</f>
        <v>129.83750000000001</v>
      </c>
    </row>
    <row r="54" spans="1:2" x14ac:dyDescent="0.3">
      <c r="A54" t="s">
        <v>138</v>
      </c>
      <c r="B54">
        <f>INDEX('vehicles specifications'!$B$3:$CK$86,MATCH(B43,'vehicles specifications'!$A$3:$A$86,0),MATCH("Power [kW]",'vehicles specifications'!$B$2:$CK$2,0))</f>
        <v>8.8000000000000007</v>
      </c>
    </row>
    <row r="55" spans="1:2" x14ac:dyDescent="0.3">
      <c r="A55" t="s">
        <v>139</v>
      </c>
      <c r="B55">
        <f>INDEX('vehicles specifications'!$B$3:$CK$86,MATCH(B43,'vehicles specifications'!$A$3:$A$86,0),MATCH("Energy battery mass [kg]",'vehicles specifications'!$B$2:$CK$2,0))</f>
        <v>0</v>
      </c>
    </row>
    <row r="56" spans="1:2" x14ac:dyDescent="0.3">
      <c r="A56" t="s">
        <v>140</v>
      </c>
      <c r="B56">
        <f>INDEX('vehicles specifications'!$B$3:$CK$86,MATCH(B43,'vehicles specifications'!$A$3:$A$86,0),MATCH("Electric energy available [kWh]",'vehicles specifications'!$B$2:$CK$2,0))</f>
        <v>0</v>
      </c>
    </row>
    <row r="57" spans="1:2" x14ac:dyDescent="0.3">
      <c r="A57" t="s">
        <v>143</v>
      </c>
      <c r="B57" s="2">
        <f>INDEX('vehicles specifications'!$B$3:$CK$86,MATCH(B43,'vehicles specifications'!$A$3:$A$86,0),MATCH("Oxydation energy stored [kWh]",'vehicles specifications'!$B$2:$CK$2,0))</f>
        <v>61.833333333333329</v>
      </c>
    </row>
    <row r="58" spans="1:2" x14ac:dyDescent="0.3">
      <c r="A58" t="s">
        <v>145</v>
      </c>
      <c r="B58">
        <f>INDEX('vehicles specifications'!$B$3:$CK$86,MATCH(B43,'vehicles specifications'!$A$3:$A$86,0),MATCH("Fuel mass [kg]",'vehicles specifications'!$B$2:$CK$2,0))</f>
        <v>5.25</v>
      </c>
    </row>
    <row r="59" spans="1:2" x14ac:dyDescent="0.3">
      <c r="A59" t="s">
        <v>141</v>
      </c>
      <c r="B59" s="2">
        <f>INDEX('vehicles specifications'!$B$3:$CK$86,MATCH(B43,'vehicles specifications'!$A$3:$A$86,0),MATCH("Range [km]",'vehicles specifications'!$B$2:$CK$2,0))</f>
        <v>212.46873028686511</v>
      </c>
    </row>
    <row r="60" spans="1:2" x14ac:dyDescent="0.3">
      <c r="A60" t="s">
        <v>142</v>
      </c>
      <c r="B60" t="str">
        <f>INDEX('vehicles specifications'!$B$3:$CK$86,MATCH(B43,'vehicles specifications'!$A$3:$A$86,0),MATCH("Emission standard",'vehicles specifications'!$B$2:$CK$2,0))</f>
        <v>EURO-4</v>
      </c>
    </row>
    <row r="61" spans="1:2" x14ac:dyDescent="0.3">
      <c r="A61" t="s">
        <v>144</v>
      </c>
      <c r="B61" s="6">
        <f>INDEX('vehicles specifications'!$B$3:$CK$86,MATCH(B43,'vehicles specifications'!$A$3:$A$86,0),MATCH("Lightweighting rate [%]",'vehicles specifications'!$B$2:$CK$2,0))</f>
        <v>-0.02</v>
      </c>
    </row>
    <row r="62" spans="1:2" s="21" customFormat="1" x14ac:dyDescent="0.3">
      <c r="A62" s="21" t="s">
        <v>513</v>
      </c>
      <c r="B62" s="6" t="s">
        <v>514</v>
      </c>
    </row>
    <row r="63" spans="1:2" s="21" customFormat="1" x14ac:dyDescent="0.3">
      <c r="A63" s="21" t="s">
        <v>515</v>
      </c>
      <c r="B63" s="2">
        <v>15900</v>
      </c>
    </row>
    <row r="64" spans="1:2" s="21" customFormat="1" x14ac:dyDescent="0.3">
      <c r="A64" s="21" t="s">
        <v>516</v>
      </c>
      <c r="B64" s="2">
        <v>1000</v>
      </c>
    </row>
    <row r="65" spans="1:8" s="21" customFormat="1"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8.8 kW. Lifetime: 39800 km. Annual kilometers: 2731 km. Number of passengers: 1. Curb mass: 129.8 kg. Lightweighting of glider: -2%. Emission standard: EURO-4. Service visits throughout lifetime: 1. Range: 212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t="s">
        <v>81</v>
      </c>
      <c r="B67" t="s">
        <v>82</v>
      </c>
      <c r="C67" t="s">
        <v>73</v>
      </c>
      <c r="D67" t="s">
        <v>77</v>
      </c>
      <c r="E67" t="s">
        <v>83</v>
      </c>
      <c r="F67" t="s">
        <v>75</v>
      </c>
      <c r="G67" t="s">
        <v>84</v>
      </c>
      <c r="H67" t="s">
        <v>74</v>
      </c>
    </row>
    <row r="68" spans="1:8" x14ac:dyDescent="0.3">
      <c r="A68" s="12" t="str">
        <f>B38</f>
        <v>Scooter, gasoline, 4-11kW, EURO-4, 2016</v>
      </c>
      <c r="B68" s="12">
        <v>1</v>
      </c>
      <c r="C68" s="12" t="str">
        <f>B39</f>
        <v>CH</v>
      </c>
      <c r="D68" s="12" t="str">
        <f>B46</f>
        <v>unit</v>
      </c>
      <c r="E68" s="12"/>
      <c r="F68" s="12" t="s">
        <v>85</v>
      </c>
      <c r="G68" s="12" t="s">
        <v>86</v>
      </c>
      <c r="H68" s="12" t="str">
        <f>B40</f>
        <v>Scooter, gasoline, 4-11kW,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1</v>
      </c>
      <c r="C69" s="12" t="str">
        <f>INDEX('ei names mapping'!$B$38:$R$67,MATCH(B40,'ei names mapping'!$A$4:$A$33,0),MATCH(G69,'ei names mapping'!$B$3:$R$3,0))</f>
        <v>RER</v>
      </c>
      <c r="D69" s="12" t="str">
        <f>INDEX('ei names mapping'!$B$104:$R$133,MATCH($B$3,'ei names mapping'!$A$4:$A$33,0),MATCH(G69,'ei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0.35555555555555557</v>
      </c>
      <c r="C70" s="12" t="str">
        <f>INDEX('ei names mapping'!$B$38:$R$67,MATCH(B40,'ei names mapping'!$A$4:$A$33,0),MATCH(G70,'ei names mapping'!$B$3:$R$3,0))</f>
        <v>RER</v>
      </c>
      <c r="D70" s="12" t="str">
        <f>INDEX('ei names mapping'!$B$104:$R$133,MATCH($B$3,'ei names mapping'!$A$4:$A$33,0),MATCH(G70,'ei names mapping'!$B$3:$R$3,0))</f>
        <v>unit</v>
      </c>
      <c r="E70" s="12"/>
      <c r="F70" s="12" t="s">
        <v>91</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0.78749999999999998</v>
      </c>
      <c r="C71" s="12" t="str">
        <f>INDEX('ei names mapping'!$B$38:$R$67,MATCH(B40,'ei names mapping'!$A$4:$A$33,0),MATCH(G71,'ei names mapping'!$B$3:$R$3,0))</f>
        <v>RER</v>
      </c>
      <c r="D71" s="12" t="str">
        <f>INDEX('ei names mapping'!$B$104:$R$133,MATCH($B$3,'ei names mapping'!$A$4:$A$33,0),MATCH(G71,'ei names mapping'!$B$3:$R$3,0))</f>
        <v>kilogram</v>
      </c>
      <c r="E71" s="12"/>
      <c r="F71" s="12" t="s">
        <v>91</v>
      </c>
      <c r="G71" t="s">
        <v>24</v>
      </c>
      <c r="H71" s="12" t="str">
        <f>INDEX('ei names mapping'!$B$71:$R$100,MATCH(B40,'ei names mapping'!$A$4:$A$33,0),MATCH(G71,'ei names mapping'!$B$3:$R$3,0))</f>
        <v>polyethylene, high density, granulate</v>
      </c>
    </row>
    <row r="72" spans="1:8" s="21" customFormat="1" x14ac:dyDescent="0.3">
      <c r="A72" s="22" t="s">
        <v>468</v>
      </c>
      <c r="B72" s="21">
        <f>(B53/1000)*B64</f>
        <v>129.83750000000001</v>
      </c>
      <c r="C72" s="21" t="s">
        <v>94</v>
      </c>
      <c r="D72" s="21" t="s">
        <v>243</v>
      </c>
      <c r="F72" s="21" t="s">
        <v>91</v>
      </c>
      <c r="H72" s="22" t="s">
        <v>469</v>
      </c>
    </row>
    <row r="73" spans="1:8" s="21" customFormat="1" x14ac:dyDescent="0.3">
      <c r="A73" s="22" t="s">
        <v>467</v>
      </c>
      <c r="B73" s="2">
        <f>(B53/1000)*B63</f>
        <v>2064.4162499999998</v>
      </c>
      <c r="C73" s="21" t="s">
        <v>98</v>
      </c>
      <c r="D73" s="21" t="s">
        <v>243</v>
      </c>
      <c r="F73" s="21" t="s">
        <v>91</v>
      </c>
      <c r="H73" s="22" t="s">
        <v>467</v>
      </c>
    </row>
    <row r="75" spans="1:8" ht="15.6" x14ac:dyDescent="0.3">
      <c r="A75" s="11" t="s">
        <v>72</v>
      </c>
      <c r="B75" s="9" t="str">
        <f>B77&amp;", "&amp;B79</f>
        <v>Scooter, gasoline, 4-11kW, EURO-5, 2020</v>
      </c>
    </row>
    <row r="76" spans="1:8" x14ac:dyDescent="0.3">
      <c r="A76" t="s">
        <v>73</v>
      </c>
      <c r="B76" t="s">
        <v>37</v>
      </c>
    </row>
    <row r="77" spans="1:8" x14ac:dyDescent="0.3">
      <c r="A77" t="s">
        <v>87</v>
      </c>
      <c r="B77" t="s">
        <v>638</v>
      </c>
    </row>
    <row r="78" spans="1:8" x14ac:dyDescent="0.3">
      <c r="A78" t="s">
        <v>88</v>
      </c>
      <c r="B78" s="12"/>
    </row>
    <row r="79" spans="1:8" x14ac:dyDescent="0.3">
      <c r="A79" t="s">
        <v>89</v>
      </c>
      <c r="B79" s="12">
        <v>2020</v>
      </c>
    </row>
    <row r="80" spans="1:8" x14ac:dyDescent="0.3">
      <c r="A80" t="s">
        <v>131</v>
      </c>
      <c r="B80" s="12" t="str">
        <f>B77&amp;" - "&amp;B79&amp;" - "&amp;B76</f>
        <v>Scooter, gasoline, 4-11kW, EURO-5 - 2020 - CH</v>
      </c>
    </row>
    <row r="81" spans="1:2" x14ac:dyDescent="0.3">
      <c r="A81" t="s">
        <v>74</v>
      </c>
      <c r="B81" t="str">
        <f>B77</f>
        <v>Scooter, gasoline, 4-11kW, EURO-5</v>
      </c>
    </row>
    <row r="82" spans="1:2" x14ac:dyDescent="0.3">
      <c r="A82" t="s">
        <v>75</v>
      </c>
      <c r="B82" t="s">
        <v>76</v>
      </c>
    </row>
    <row r="83" spans="1:2" x14ac:dyDescent="0.3">
      <c r="A83" t="s">
        <v>77</v>
      </c>
      <c r="B83" t="s">
        <v>77</v>
      </c>
    </row>
    <row r="84" spans="1:2" x14ac:dyDescent="0.3">
      <c r="A84" t="s">
        <v>79</v>
      </c>
      <c r="B84" t="s">
        <v>90</v>
      </c>
    </row>
    <row r="85" spans="1:2" x14ac:dyDescent="0.3">
      <c r="A85" t="s">
        <v>132</v>
      </c>
      <c r="B85">
        <f>INDEX('vehicles specifications'!$B$3:$CK$86,MATCH(B80,'vehicles specifications'!$A$3:$A$86,0),MATCH("Lifetime [km]",'vehicles specifications'!$B$2:$CK$2,0))</f>
        <v>39800</v>
      </c>
    </row>
    <row r="86" spans="1:2" x14ac:dyDescent="0.3">
      <c r="A86" t="s">
        <v>133</v>
      </c>
      <c r="B86">
        <f>INDEX('vehicles specifications'!$B$3:$CK$86,MATCH(B80,'vehicles specifications'!$A$3:$A$86,0),MATCH("Passengers [unit]",'vehicles specifications'!$B$2:$CK$2,0))</f>
        <v>1</v>
      </c>
    </row>
    <row r="87" spans="1:2" x14ac:dyDescent="0.3">
      <c r="A87" t="s">
        <v>134</v>
      </c>
      <c r="B87">
        <f>INDEX('vehicles specifications'!$B$3:$CK$86,MATCH(B80,'vehicles specifications'!$A$3:$A$86,0),MATCH("Servicing [unit]",'vehicles specifications'!$B$2:$CK$2,0))</f>
        <v>1</v>
      </c>
    </row>
    <row r="88" spans="1:2" x14ac:dyDescent="0.3">
      <c r="A88" t="s">
        <v>135</v>
      </c>
      <c r="B88">
        <f>INDEX('vehicles specifications'!$B$3:$CK$86,MATCH(B80,'vehicles specifications'!$A$3:$A$86,0),MATCH("Energy battery replacement [unit]",'vehicles specifications'!$B$2:$CK$2,0))</f>
        <v>0</v>
      </c>
    </row>
    <row r="89" spans="1:2" x14ac:dyDescent="0.3">
      <c r="A89" t="s">
        <v>136</v>
      </c>
      <c r="B89">
        <f>INDEX('vehicles specifications'!$B$3:$CK$86,MATCH(B80,'vehicles specifications'!$A$3:$A$86,0),MATCH("Annual kilometers [km]",'vehicles specifications'!$B$2:$CK$2,0))</f>
        <v>2731</v>
      </c>
    </row>
    <row r="90" spans="1:2" x14ac:dyDescent="0.3">
      <c r="A90" t="s">
        <v>137</v>
      </c>
      <c r="B90" s="2">
        <f>INDEX('vehicles specifications'!$B$3:$CK$86,MATCH(B80,'vehicles specifications'!$A$3:$A$86,0),MATCH("Curb mass [kg]",'vehicles specifications'!$B$2:$CK$2,0))</f>
        <v>128.03749999999999</v>
      </c>
    </row>
    <row r="91" spans="1:2" x14ac:dyDescent="0.3">
      <c r="A91" t="s">
        <v>138</v>
      </c>
      <c r="B91">
        <f>INDEX('vehicles specifications'!$B$3:$CK$86,MATCH(B80,'vehicles specifications'!$A$3:$A$86,0),MATCH("Power [kW]",'vehicles specifications'!$B$2:$CK$2,0))</f>
        <v>8.8000000000000007</v>
      </c>
    </row>
    <row r="92" spans="1:2" x14ac:dyDescent="0.3">
      <c r="A92" t="s">
        <v>139</v>
      </c>
      <c r="B92">
        <f>INDEX('vehicles specifications'!$B$3:$CK$86,MATCH(B80,'vehicles specifications'!$A$3:$A$86,0),MATCH("Energy battery mass [kg]",'vehicles specifications'!$B$2:$CK$2,0))</f>
        <v>0</v>
      </c>
    </row>
    <row r="93" spans="1:2" x14ac:dyDescent="0.3">
      <c r="A93" t="s">
        <v>140</v>
      </c>
      <c r="B93">
        <f>INDEX('vehicles specifications'!$B$3:$CK$86,MATCH(B80,'vehicles specifications'!$A$3:$A$86,0),MATCH("Electric energy available [kWh]",'vehicles specifications'!$B$2:$CK$2,0))</f>
        <v>0</v>
      </c>
    </row>
    <row r="94" spans="1:2" x14ac:dyDescent="0.3">
      <c r="A94" t="s">
        <v>143</v>
      </c>
      <c r="B94" s="2">
        <f>INDEX('vehicles specifications'!$B$3:$CK$86,MATCH(B80,'vehicles specifications'!$A$3:$A$86,0),MATCH("Oxydation energy stored [kWh]",'vehicles specifications'!$B$2:$CK$2,0))</f>
        <v>61.833333333333329</v>
      </c>
    </row>
    <row r="95" spans="1:2" x14ac:dyDescent="0.3">
      <c r="A95" t="s">
        <v>145</v>
      </c>
      <c r="B95">
        <f>INDEX('vehicles specifications'!$B$3:$CK$86,MATCH(B80,'vehicles specifications'!$A$3:$A$86,0),MATCH("Fuel mass [kg]",'vehicles specifications'!$B$2:$CK$2,0))</f>
        <v>5.25</v>
      </c>
    </row>
    <row r="96" spans="1:2" x14ac:dyDescent="0.3">
      <c r="A96" t="s">
        <v>141</v>
      </c>
      <c r="B96" s="2">
        <f>INDEX('vehicles specifications'!$B$3:$CK$86,MATCH(B80,'vehicles specifications'!$A$3:$A$86,0),MATCH("Range [km]",'vehicles specifications'!$B$2:$CK$2,0))</f>
        <v>214.61487907764152</v>
      </c>
    </row>
    <row r="97" spans="1:8" x14ac:dyDescent="0.3">
      <c r="A97" t="s">
        <v>142</v>
      </c>
      <c r="B97" t="str">
        <f>INDEX('vehicles specifications'!$B$3:$CK$86,MATCH(B80,'vehicles specifications'!$A$3:$A$86,0),MATCH("Emission standard",'vehicles specifications'!$B$2:$CK$2,0))</f>
        <v>EURO-5</v>
      </c>
    </row>
    <row r="98" spans="1:8" x14ac:dyDescent="0.3">
      <c r="A98" t="s">
        <v>144</v>
      </c>
      <c r="B98" s="6">
        <f>INDEX('vehicles specifications'!$B$3:$CK$86,MATCH(B80,'vehicles specifications'!$A$3:$A$86,0),MATCH("Lightweighting rate [%]",'vehicles specifications'!$B$2:$CK$2,0))</f>
        <v>0</v>
      </c>
    </row>
    <row r="99" spans="1:8" s="21" customFormat="1" x14ac:dyDescent="0.3">
      <c r="A99" s="21" t="s">
        <v>513</v>
      </c>
      <c r="B99" s="6" t="s">
        <v>514</v>
      </c>
    </row>
    <row r="100" spans="1:8" s="21" customFormat="1" x14ac:dyDescent="0.3">
      <c r="A100" s="21" t="s">
        <v>515</v>
      </c>
      <c r="B100" s="2">
        <v>15900</v>
      </c>
    </row>
    <row r="101" spans="1:8" s="21" customFormat="1" x14ac:dyDescent="0.3">
      <c r="A101" s="21" t="s">
        <v>516</v>
      </c>
      <c r="B101" s="2">
        <v>1000</v>
      </c>
    </row>
    <row r="102" spans="1:8" s="21" customFormat="1"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8.8 kW. Lifetime: 39800 km. Annual kilometers: 2731 km. Number of passengers: 1. Curb mass: 128 kg. Lightweighting of glider: 0%. Emission standard: EURO-5. Service visits throughout lifetime: 1. Range: 215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t="s">
        <v>81</v>
      </c>
      <c r="B104" t="s">
        <v>82</v>
      </c>
      <c r="C104" t="s">
        <v>73</v>
      </c>
      <c r="D104" t="s">
        <v>77</v>
      </c>
      <c r="E104" t="s">
        <v>83</v>
      </c>
      <c r="F104" t="s">
        <v>75</v>
      </c>
      <c r="G104" t="s">
        <v>84</v>
      </c>
      <c r="H104" t="s">
        <v>74</v>
      </c>
    </row>
    <row r="105" spans="1:8" x14ac:dyDescent="0.3">
      <c r="A105" s="12" t="str">
        <f>B75</f>
        <v>Scooter, gasoline, 4-11kW, EURO-5, 2020</v>
      </c>
      <c r="B105" s="12">
        <v>1</v>
      </c>
      <c r="C105" s="12" t="str">
        <f>B76</f>
        <v>CH</v>
      </c>
      <c r="D105" s="12" t="str">
        <f>B83</f>
        <v>unit</v>
      </c>
      <c r="E105" s="12"/>
      <c r="F105" s="12" t="s">
        <v>85</v>
      </c>
      <c r="G105" s="12" t="s">
        <v>86</v>
      </c>
      <c r="H105" s="12" t="str">
        <f>B77</f>
        <v>Scooter, gasoline, 4-11kW,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1</v>
      </c>
      <c r="C106" s="12" t="str">
        <f>INDEX('ei names mapping'!$B$38:$R$67,MATCH(B77,'ei names mapping'!$A$4:$A$33,0),MATCH(G106,'ei names mapping'!$B$3:$R$3,0))</f>
        <v>RER</v>
      </c>
      <c r="D106" s="12" t="str">
        <f>INDEX('ei names mapping'!$B$104:$R$133,MATCH($B$3,'ei names mapping'!$A$4:$A$33,0),MATCH(G106,'ei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0.35555555555555557</v>
      </c>
      <c r="C107" s="12" t="str">
        <f>INDEX('ei names mapping'!$B$38:$R$67,MATCH(B77,'ei names mapping'!$A$4:$A$33,0),MATCH(G107,'ei names mapping'!$B$3:$R$3,0))</f>
        <v>RER</v>
      </c>
      <c r="D107" s="12" t="str">
        <f>INDEX('ei names mapping'!$B$104:$R$133,MATCH($B$3,'ei names mapping'!$A$4:$A$33,0),MATCH(G107,'ei names mapping'!$B$3:$R$3,0))</f>
        <v>unit</v>
      </c>
      <c r="E107" s="12"/>
      <c r="F107" s="12" t="s">
        <v>91</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mapping'!$A$4:$A$33,0),MATCH(G108,'ei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0.78749999999999998</v>
      </c>
      <c r="C109" s="12" t="str">
        <f>INDEX('ei names mapping'!$B$38:$R$67,MATCH(B77,'ei names mapping'!$A$4:$A$33,0),MATCH(G109,'ei names mapping'!$B$3:$R$3,0))</f>
        <v>RER</v>
      </c>
      <c r="D109" s="12" t="str">
        <f>INDEX('ei names mapping'!$B$104:$R$133,MATCH($B$3,'ei names mapping'!$A$4:$A$33,0),MATCH(G109,'ei names mapping'!$B$3:$R$3,0))</f>
        <v>kilogram</v>
      </c>
      <c r="E109" s="12"/>
      <c r="F109" s="12" t="s">
        <v>91</v>
      </c>
      <c r="G109" t="s">
        <v>24</v>
      </c>
      <c r="H109" s="12" t="str">
        <f>INDEX('ei names mapping'!$B$71:$R$100,MATCH(B77,'ei names mapping'!$A$4:$A$33,0),MATCH(G109,'ei names mapping'!$B$3:$R$3,0))</f>
        <v>polyethylene, high density, granulate</v>
      </c>
    </row>
    <row r="110" spans="1:8" s="21" customFormat="1" x14ac:dyDescent="0.3">
      <c r="A110" s="22" t="s">
        <v>468</v>
      </c>
      <c r="B110" s="21">
        <f>(B90/1000)*B101</f>
        <v>128.03749999999999</v>
      </c>
      <c r="C110" s="21" t="s">
        <v>94</v>
      </c>
      <c r="D110" s="21" t="s">
        <v>243</v>
      </c>
      <c r="F110" s="21" t="s">
        <v>91</v>
      </c>
      <c r="H110" s="22" t="s">
        <v>469</v>
      </c>
    </row>
    <row r="111" spans="1:8" s="21" customFormat="1" x14ac:dyDescent="0.3">
      <c r="A111" s="22" t="s">
        <v>467</v>
      </c>
      <c r="B111" s="2">
        <f>(B90/1000)*B100</f>
        <v>2035.7962499999999</v>
      </c>
      <c r="C111" s="21" t="s">
        <v>98</v>
      </c>
      <c r="D111" s="21" t="s">
        <v>243</v>
      </c>
      <c r="F111" s="21" t="s">
        <v>91</v>
      </c>
      <c r="H111" s="22" t="s">
        <v>467</v>
      </c>
    </row>
    <row r="113" spans="1:2" ht="15.6" x14ac:dyDescent="0.3">
      <c r="A113" s="11" t="s">
        <v>72</v>
      </c>
      <c r="B113" s="9" t="str">
        <f>B115&amp;", "&amp;B117</f>
        <v>Scooter, gasoline, 4-11kW, EURO-5, 2030</v>
      </c>
    </row>
    <row r="114" spans="1:2" x14ac:dyDescent="0.3">
      <c r="A114" t="s">
        <v>73</v>
      </c>
      <c r="B114" t="s">
        <v>37</v>
      </c>
    </row>
    <row r="115" spans="1:2" x14ac:dyDescent="0.3">
      <c r="A115" t="s">
        <v>87</v>
      </c>
      <c r="B115" t="s">
        <v>638</v>
      </c>
    </row>
    <row r="116" spans="1:2" x14ac:dyDescent="0.3">
      <c r="A116" t="s">
        <v>88</v>
      </c>
      <c r="B116" s="12"/>
    </row>
    <row r="117" spans="1:2" x14ac:dyDescent="0.3">
      <c r="A117" t="s">
        <v>89</v>
      </c>
      <c r="B117" s="12">
        <v>2030</v>
      </c>
    </row>
    <row r="118" spans="1:2" x14ac:dyDescent="0.3">
      <c r="A118" t="s">
        <v>131</v>
      </c>
      <c r="B118" s="12" t="str">
        <f>B115&amp;" - "&amp;B117&amp;" - "&amp;B114</f>
        <v>Scooter, gasoline, 4-11kW, EURO-5 - 2030 - CH</v>
      </c>
    </row>
    <row r="119" spans="1:2" x14ac:dyDescent="0.3">
      <c r="A119" t="s">
        <v>74</v>
      </c>
      <c r="B119" t="str">
        <f>B115</f>
        <v>Scooter, gasoline, 4-11kW, EURO-5</v>
      </c>
    </row>
    <row r="120" spans="1:2" x14ac:dyDescent="0.3">
      <c r="A120" t="s">
        <v>75</v>
      </c>
      <c r="B120" t="s">
        <v>76</v>
      </c>
    </row>
    <row r="121" spans="1:2" x14ac:dyDescent="0.3">
      <c r="A121" t="s">
        <v>77</v>
      </c>
      <c r="B121" t="s">
        <v>77</v>
      </c>
    </row>
    <row r="122" spans="1:2" x14ac:dyDescent="0.3">
      <c r="A122" t="s">
        <v>79</v>
      </c>
      <c r="B122" t="s">
        <v>90</v>
      </c>
    </row>
    <row r="123" spans="1:2" x14ac:dyDescent="0.3">
      <c r="A123" t="s">
        <v>132</v>
      </c>
      <c r="B123">
        <f>INDEX('vehicles specifications'!$B$3:$CK$86,MATCH(B118,'vehicles specifications'!$A$3:$A$86,0),MATCH("Lifetime [km]",'vehicles specifications'!$B$2:$CK$2,0))</f>
        <v>39800</v>
      </c>
    </row>
    <row r="124" spans="1:2" x14ac:dyDescent="0.3">
      <c r="A124" t="s">
        <v>133</v>
      </c>
      <c r="B124">
        <f>INDEX('vehicles specifications'!$B$3:$CK$86,MATCH(B118,'vehicles specifications'!$A$3:$A$86,0),MATCH("Passengers [unit]",'vehicles specifications'!$B$2:$CK$2,0))</f>
        <v>1</v>
      </c>
    </row>
    <row r="125" spans="1:2" x14ac:dyDescent="0.3">
      <c r="A125" t="s">
        <v>134</v>
      </c>
      <c r="B125">
        <f>INDEX('vehicles specifications'!$B$3:$CK$86,MATCH(B118,'vehicles specifications'!$A$3:$A$86,0),MATCH("Servicing [unit]",'vehicles specifications'!$B$2:$CK$2,0))</f>
        <v>1</v>
      </c>
    </row>
    <row r="126" spans="1:2" x14ac:dyDescent="0.3">
      <c r="A126" t="s">
        <v>135</v>
      </c>
      <c r="B126">
        <f>INDEX('vehicles specifications'!$B$3:$CK$86,MATCH(B118,'vehicles specifications'!$A$3:$A$86,0),MATCH("Energy battery replacement [unit]",'vehicles specifications'!$B$2:$CK$2,0))</f>
        <v>0</v>
      </c>
    </row>
    <row r="127" spans="1:2" x14ac:dyDescent="0.3">
      <c r="A127" t="s">
        <v>136</v>
      </c>
      <c r="B127">
        <f>INDEX('vehicles specifications'!$B$3:$CK$86,MATCH(B118,'vehicles specifications'!$A$3:$A$86,0),MATCH("Annual kilometers [km]",'vehicles specifications'!$B$2:$CK$2,0))</f>
        <v>2731</v>
      </c>
    </row>
    <row r="128" spans="1:2" x14ac:dyDescent="0.3">
      <c r="A128" t="s">
        <v>137</v>
      </c>
      <c r="B128" s="2">
        <f>INDEX('vehicles specifications'!$B$3:$CK$86,MATCH(B118,'vehicles specifications'!$A$3:$A$86,0),MATCH("Curb mass [kg]",'vehicles specifications'!$B$2:$CK$2,0))</f>
        <v>124.33749999999999</v>
      </c>
    </row>
    <row r="129" spans="1:8" x14ac:dyDescent="0.3">
      <c r="A129" t="s">
        <v>138</v>
      </c>
      <c r="B129">
        <f>INDEX('vehicles specifications'!$B$3:$CK$86,MATCH(B118,'vehicles specifications'!$A$3:$A$86,0),MATCH("Power [kW]",'vehicles specifications'!$B$2:$CK$2,0))</f>
        <v>8.8000000000000007</v>
      </c>
    </row>
    <row r="130" spans="1:8" x14ac:dyDescent="0.3">
      <c r="A130" t="s">
        <v>139</v>
      </c>
      <c r="B130">
        <f>INDEX('vehicles specifications'!$B$3:$CK$86,MATCH(B118,'vehicles specifications'!$A$3:$A$86,0),MATCH("Energy battery mass [kg]",'vehicles specifications'!$B$2:$CK$2,0))</f>
        <v>0</v>
      </c>
    </row>
    <row r="131" spans="1:8" x14ac:dyDescent="0.3">
      <c r="A131" t="s">
        <v>140</v>
      </c>
      <c r="B131">
        <f>INDEX('vehicles specifications'!$B$3:$CK$86,MATCH(B118,'vehicles specifications'!$A$3:$A$86,0),MATCH("Electric energy available [kWh]",'vehicles specifications'!$B$2:$CK$2,0))</f>
        <v>0</v>
      </c>
    </row>
    <row r="132" spans="1:8" x14ac:dyDescent="0.3">
      <c r="A132" t="s">
        <v>143</v>
      </c>
      <c r="B132" s="2">
        <f>INDEX('vehicles specifications'!$B$3:$CK$86,MATCH(B118,'vehicles specifications'!$A$3:$A$86,0),MATCH("Oxydation energy stored [kWh]",'vehicles specifications'!$B$2:$CK$2,0))</f>
        <v>61.833333333333329</v>
      </c>
    </row>
    <row r="133" spans="1:8" x14ac:dyDescent="0.3">
      <c r="A133" t="s">
        <v>145</v>
      </c>
      <c r="B133">
        <f>INDEX('vehicles specifications'!$B$3:$CK$86,MATCH(B118,'vehicles specifications'!$A$3:$A$86,0),MATCH("Fuel mass [kg]",'vehicles specifications'!$B$2:$CK$2,0))</f>
        <v>5.25</v>
      </c>
    </row>
    <row r="134" spans="1:8" x14ac:dyDescent="0.3">
      <c r="A134" t="s">
        <v>141</v>
      </c>
      <c r="B134" s="2">
        <f>INDEX('vehicles specifications'!$B$3:$CK$86,MATCH(B118,'vehicles specifications'!$A$3:$A$86,0),MATCH("Range [km]",'vehicles specifications'!$B$2:$CK$2,0))</f>
        <v>216.78270613903183</v>
      </c>
    </row>
    <row r="135" spans="1:8" x14ac:dyDescent="0.3">
      <c r="A135" t="s">
        <v>142</v>
      </c>
      <c r="B135" t="str">
        <f>INDEX('vehicles specifications'!$B$3:$CK$86,MATCH(B118,'vehicles specifications'!$A$3:$A$86,0),MATCH("Emission standard",'vehicles specifications'!$B$2:$CK$2,0))</f>
        <v>EURO-5</v>
      </c>
    </row>
    <row r="136" spans="1:8" x14ac:dyDescent="0.3">
      <c r="A136" t="s">
        <v>144</v>
      </c>
      <c r="B136" s="6">
        <f>INDEX('vehicles specifications'!$B$3:$CK$86,MATCH(B118,'vehicles specifications'!$A$3:$A$86,0),MATCH("Lightweighting rate [%]",'vehicles specifications'!$B$2:$CK$2,0))</f>
        <v>0.03</v>
      </c>
    </row>
    <row r="137" spans="1:8" s="21" customFormat="1" x14ac:dyDescent="0.3">
      <c r="A137" s="21" t="s">
        <v>513</v>
      </c>
      <c r="B137" s="6" t="s">
        <v>514</v>
      </c>
    </row>
    <row r="138" spans="1:8" s="21" customFormat="1" x14ac:dyDescent="0.3">
      <c r="A138" s="21" t="s">
        <v>515</v>
      </c>
      <c r="B138" s="2">
        <v>15900</v>
      </c>
    </row>
    <row r="139" spans="1:8" s="21" customFormat="1" x14ac:dyDescent="0.3">
      <c r="A139" s="21" t="s">
        <v>516</v>
      </c>
      <c r="B139" s="2">
        <v>1000</v>
      </c>
    </row>
    <row r="140" spans="1:8" s="21" customFormat="1"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8.8 kW. Lifetime: 39800 km. Annual kilometers: 2731 km. Number of passengers: 1. Curb mass: 124.3 kg. Lightweighting of glider: 3%. Emission standard: EURO-5. Service visits throughout lifetime: 1. Range: 217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t="s">
        <v>81</v>
      </c>
      <c r="B142" t="s">
        <v>82</v>
      </c>
      <c r="C142" t="s">
        <v>73</v>
      </c>
      <c r="D142" t="s">
        <v>77</v>
      </c>
      <c r="E142" t="s">
        <v>83</v>
      </c>
      <c r="F142" t="s">
        <v>75</v>
      </c>
      <c r="G142" t="s">
        <v>84</v>
      </c>
      <c r="H142" t="s">
        <v>74</v>
      </c>
    </row>
    <row r="143" spans="1:8" x14ac:dyDescent="0.3">
      <c r="A143" s="12" t="str">
        <f>B113</f>
        <v>Scooter, gasoline, 4-11kW, EURO-5, 2030</v>
      </c>
      <c r="B143" s="12">
        <v>1</v>
      </c>
      <c r="C143" s="12" t="str">
        <f>B114</f>
        <v>CH</v>
      </c>
      <c r="D143" s="12" t="str">
        <f>B121</f>
        <v>unit</v>
      </c>
      <c r="E143" s="12"/>
      <c r="F143" s="12" t="s">
        <v>85</v>
      </c>
      <c r="G143" s="12" t="s">
        <v>86</v>
      </c>
      <c r="H143" s="12" t="str">
        <f>B115</f>
        <v>Scooter, gasoline, 4-11kW,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1</v>
      </c>
      <c r="C144" s="12" t="str">
        <f>INDEX('ei names mapping'!$B$38:$R$67,MATCH(B115,'ei names mapping'!$A$4:$A$33,0),MATCH(G144,'ei names mapping'!$B$3:$R$3,0))</f>
        <v>RER</v>
      </c>
      <c r="D144" s="12" t="str">
        <f>INDEX('ei names mapping'!$B$104:$R$133,MATCH($B$3,'ei names mapping'!$A$4:$A$33,0),MATCH(G144,'ei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0.34444444444444444</v>
      </c>
      <c r="C145" s="12" t="str">
        <f>INDEX('ei names mapping'!$B$38:$R$67,MATCH(B115,'ei names mapping'!$A$4:$A$33,0),MATCH(G145,'ei names mapping'!$B$3:$R$3,0))</f>
        <v>RER</v>
      </c>
      <c r="D145" s="12" t="str">
        <f>INDEX('ei names mapping'!$B$104:$R$133,MATCH($B$3,'ei names mapping'!$A$4:$A$33,0),MATCH(G145,'ei names mapping'!$B$3:$R$3,0))</f>
        <v>unit</v>
      </c>
      <c r="E145" s="12"/>
      <c r="F145" s="12" t="s">
        <v>91</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2.6999999999999997</v>
      </c>
      <c r="C146" s="12" t="str">
        <f>INDEX('ei names mapping'!$B$38:$R$67,MATCH(B115,'ei names mapping'!$A$4:$A$33,0),MATCH(G146,'ei names mapping'!$B$3:$R$3,0))</f>
        <v>GLO</v>
      </c>
      <c r="D146" s="12" t="str">
        <f>INDEX('ei names mapping'!$B$104:$R$133,MATCH(B115,'ei names mapping'!$A$4:$A$33,0),MATCH(G146,'ei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0.78749999999999998</v>
      </c>
      <c r="C147" s="12" t="str">
        <f>INDEX('ei names mapping'!$B$38:$R$67,MATCH(B115,'ei names mapping'!$A$4:$A$33,0),MATCH(G147,'ei names mapping'!$B$3:$R$3,0))</f>
        <v>RER</v>
      </c>
      <c r="D147" s="12" t="str">
        <f>INDEX('ei names mapping'!$B$104:$R$133,MATCH($B$3,'ei names mapping'!$A$4:$A$33,0),MATCH(G147,'ei names mapping'!$B$3:$R$3,0))</f>
        <v>kilogram</v>
      </c>
      <c r="E147" s="12"/>
      <c r="F147" s="12" t="s">
        <v>91</v>
      </c>
      <c r="G147" t="s">
        <v>24</v>
      </c>
      <c r="H147" s="12" t="str">
        <f>INDEX('ei names mapping'!$B$71:$R$100,MATCH(B115,'ei names mapping'!$A$4:$A$33,0),MATCH(G147,'ei names mapping'!$B$3:$R$3,0))</f>
        <v>polyethylene, high density, granulate</v>
      </c>
    </row>
    <row r="148" spans="1:8" s="21" customFormat="1" x14ac:dyDescent="0.3">
      <c r="A148" s="22" t="s">
        <v>468</v>
      </c>
      <c r="B148" s="21">
        <f>(B128/1000)*B139</f>
        <v>124.33749999999999</v>
      </c>
      <c r="C148" s="21" t="s">
        <v>94</v>
      </c>
      <c r="D148" s="21" t="s">
        <v>243</v>
      </c>
      <c r="F148" s="21" t="s">
        <v>91</v>
      </c>
      <c r="H148" s="22" t="s">
        <v>469</v>
      </c>
    </row>
    <row r="149" spans="1:8" s="21" customFormat="1" x14ac:dyDescent="0.3">
      <c r="A149" s="22" t="s">
        <v>467</v>
      </c>
      <c r="B149" s="2">
        <f>(B128/1000)*B138</f>
        <v>1976.9662499999999</v>
      </c>
      <c r="C149" s="21" t="s">
        <v>98</v>
      </c>
      <c r="D149" s="21" t="s">
        <v>243</v>
      </c>
      <c r="F149" s="21" t="s">
        <v>91</v>
      </c>
      <c r="H149" s="22" t="s">
        <v>467</v>
      </c>
    </row>
    <row r="151" spans="1:8" ht="15.6" x14ac:dyDescent="0.3">
      <c r="A151" s="11" t="s">
        <v>72</v>
      </c>
      <c r="B151" s="9" t="str">
        <f>B153&amp;", "&amp;B155</f>
        <v>Scooter, gasoline, 4-11kW, EURO-5, 2040</v>
      </c>
    </row>
    <row r="152" spans="1:8" x14ac:dyDescent="0.3">
      <c r="A152" t="s">
        <v>73</v>
      </c>
      <c r="B152" t="s">
        <v>37</v>
      </c>
    </row>
    <row r="153" spans="1:8" x14ac:dyDescent="0.3">
      <c r="A153" t="s">
        <v>87</v>
      </c>
      <c r="B153" t="s">
        <v>638</v>
      </c>
    </row>
    <row r="154" spans="1:8" x14ac:dyDescent="0.3">
      <c r="A154" t="s">
        <v>88</v>
      </c>
      <c r="B154" s="12"/>
    </row>
    <row r="155" spans="1:8" x14ac:dyDescent="0.3">
      <c r="A155" t="s">
        <v>89</v>
      </c>
      <c r="B155" s="12">
        <v>2040</v>
      </c>
    </row>
    <row r="156" spans="1:8" x14ac:dyDescent="0.3">
      <c r="A156" t="s">
        <v>131</v>
      </c>
      <c r="B156" s="12" t="str">
        <f>B153&amp;" - "&amp;B155&amp;" - "&amp;B152</f>
        <v>Scooter, gasoline, 4-11kW, EURO-5 - 2040 - CH</v>
      </c>
    </row>
    <row r="157" spans="1:8" x14ac:dyDescent="0.3">
      <c r="A157" t="s">
        <v>74</v>
      </c>
      <c r="B157" t="str">
        <f>B153</f>
        <v>Scooter, gasoline, 4-11kW, EURO-5</v>
      </c>
    </row>
    <row r="158" spans="1:8" x14ac:dyDescent="0.3">
      <c r="A158" t="s">
        <v>75</v>
      </c>
      <c r="B158" t="s">
        <v>76</v>
      </c>
    </row>
    <row r="159" spans="1:8" x14ac:dyDescent="0.3">
      <c r="A159" t="s">
        <v>77</v>
      </c>
      <c r="B159" t="s">
        <v>77</v>
      </c>
    </row>
    <row r="160" spans="1:8" x14ac:dyDescent="0.3">
      <c r="A160" t="s">
        <v>79</v>
      </c>
      <c r="B160" t="s">
        <v>90</v>
      </c>
    </row>
    <row r="161" spans="1:2" x14ac:dyDescent="0.3">
      <c r="A161" t="s">
        <v>132</v>
      </c>
      <c r="B161">
        <f>INDEX('vehicles specifications'!$B$3:$CK$86,MATCH(B156,'vehicles specifications'!$A$3:$A$86,0),MATCH("Lifetime [km]",'vehicles specifications'!$B$2:$CK$2,0))</f>
        <v>39800</v>
      </c>
    </row>
    <row r="162" spans="1:2" x14ac:dyDescent="0.3">
      <c r="A162" t="s">
        <v>133</v>
      </c>
      <c r="B162">
        <f>INDEX('vehicles specifications'!$B$3:$CK$86,MATCH(B156,'vehicles specifications'!$A$3:$A$86,0),MATCH("Passengers [unit]",'vehicles specifications'!$B$2:$CK$2,0))</f>
        <v>1</v>
      </c>
    </row>
    <row r="163" spans="1:2" x14ac:dyDescent="0.3">
      <c r="A163" t="s">
        <v>134</v>
      </c>
      <c r="B163">
        <f>INDEX('vehicles specifications'!$B$3:$CK$86,MATCH(B156,'vehicles specifications'!$A$3:$A$86,0),MATCH("Servicing [unit]",'vehicles specifications'!$B$2:$CK$2,0))</f>
        <v>1</v>
      </c>
    </row>
    <row r="164" spans="1:2" x14ac:dyDescent="0.3">
      <c r="A164" t="s">
        <v>135</v>
      </c>
      <c r="B164">
        <f>INDEX('vehicles specifications'!$B$3:$CK$86,MATCH(B156,'vehicles specifications'!$A$3:$A$86,0),MATCH("Energy battery replacement [unit]",'vehicles specifications'!$B$2:$CK$2,0))</f>
        <v>0</v>
      </c>
    </row>
    <row r="165" spans="1:2" x14ac:dyDescent="0.3">
      <c r="A165" t="s">
        <v>136</v>
      </c>
      <c r="B165">
        <f>INDEX('vehicles specifications'!$B$3:$CK$86,MATCH(B156,'vehicles specifications'!$A$3:$A$86,0),MATCH("Annual kilometers [km]",'vehicles specifications'!$B$2:$CK$2,0))</f>
        <v>2731</v>
      </c>
    </row>
    <row r="166" spans="1:2" x14ac:dyDescent="0.3">
      <c r="A166" t="s">
        <v>137</v>
      </c>
      <c r="B166" s="2">
        <f>INDEX('vehicles specifications'!$B$3:$CK$86,MATCH(B156,'vehicles specifications'!$A$3:$A$86,0),MATCH("Curb mass [kg]",'vehicles specifications'!$B$2:$CK$2,0))</f>
        <v>121.63749999999999</v>
      </c>
    </row>
    <row r="167" spans="1:2" x14ac:dyDescent="0.3">
      <c r="A167" t="s">
        <v>138</v>
      </c>
      <c r="B167">
        <f>INDEX('vehicles specifications'!$B$3:$CK$86,MATCH(B156,'vehicles specifications'!$A$3:$A$86,0),MATCH("Power [kW]",'vehicles specifications'!$B$2:$CK$2,0))</f>
        <v>8.8000000000000007</v>
      </c>
    </row>
    <row r="168" spans="1:2" x14ac:dyDescent="0.3">
      <c r="A168" t="s">
        <v>139</v>
      </c>
      <c r="B168">
        <f>INDEX('vehicles specifications'!$B$3:$CK$86,MATCH(B156,'vehicles specifications'!$A$3:$A$86,0),MATCH("Energy battery mass [kg]",'vehicles specifications'!$B$2:$CK$2,0))</f>
        <v>0</v>
      </c>
    </row>
    <row r="169" spans="1:2" x14ac:dyDescent="0.3">
      <c r="A169" t="s">
        <v>140</v>
      </c>
      <c r="B169">
        <f>INDEX('vehicles specifications'!$B$3:$CK$86,MATCH(B156,'vehicles specifications'!$A$3:$A$86,0),MATCH("Electric energy available [kWh]",'vehicles specifications'!$B$2:$CK$2,0))</f>
        <v>0</v>
      </c>
    </row>
    <row r="170" spans="1:2" x14ac:dyDescent="0.3">
      <c r="A170" t="s">
        <v>143</v>
      </c>
      <c r="B170" s="2">
        <f>INDEX('vehicles specifications'!$B$3:$CK$86,MATCH(B156,'vehicles specifications'!$A$3:$A$86,0),MATCH("Oxydation energy stored [kWh]",'vehicles specifications'!$B$2:$CK$2,0))</f>
        <v>61.833333333333329</v>
      </c>
    </row>
    <row r="171" spans="1:2" x14ac:dyDescent="0.3">
      <c r="A171" t="s">
        <v>145</v>
      </c>
      <c r="B171">
        <f>INDEX('vehicles specifications'!$B$3:$CK$86,MATCH(B156,'vehicles specifications'!$A$3:$A$86,0),MATCH("Fuel mass [kg]",'vehicles specifications'!$B$2:$CK$2,0))</f>
        <v>5.25</v>
      </c>
    </row>
    <row r="172" spans="1:2" x14ac:dyDescent="0.3">
      <c r="A172" t="s">
        <v>141</v>
      </c>
      <c r="B172" s="2">
        <f>INDEX('vehicles specifications'!$B$3:$CK$86,MATCH(B156,'vehicles specifications'!$A$3:$A$86,0),MATCH("Range [km]",'vehicles specifications'!$B$2:$CK$2,0))</f>
        <v>218.97243044346649</v>
      </c>
    </row>
    <row r="173" spans="1:2" x14ac:dyDescent="0.3">
      <c r="A173" t="s">
        <v>142</v>
      </c>
      <c r="B173" t="str">
        <f>INDEX('vehicles specifications'!$B$3:$CK$86,MATCH(B156,'vehicles specifications'!$A$3:$A$86,0),MATCH("Emission standard",'vehicles specifications'!$B$2:$CK$2,0))</f>
        <v>EURO-5</v>
      </c>
    </row>
    <row r="174" spans="1:2" x14ac:dyDescent="0.3">
      <c r="A174" t="s">
        <v>144</v>
      </c>
      <c r="B174" s="6">
        <f>INDEX('vehicles specifications'!$B$3:$CK$86,MATCH(B156,'vehicles specifications'!$A$3:$A$86,0),MATCH("Lightweighting rate [%]",'vehicles specifications'!$B$2:$CK$2,0))</f>
        <v>0.05</v>
      </c>
    </row>
    <row r="175" spans="1:2" s="21" customFormat="1" x14ac:dyDescent="0.3">
      <c r="A175" s="21" t="s">
        <v>513</v>
      </c>
      <c r="B175" s="6" t="s">
        <v>514</v>
      </c>
    </row>
    <row r="176" spans="1:2" s="21" customFormat="1" x14ac:dyDescent="0.3">
      <c r="A176" s="21" t="s">
        <v>515</v>
      </c>
      <c r="B176" s="2">
        <v>15900</v>
      </c>
    </row>
    <row r="177" spans="1:8" s="21" customFormat="1" x14ac:dyDescent="0.3">
      <c r="A177" s="21" t="s">
        <v>516</v>
      </c>
      <c r="B177" s="2">
        <v>1000</v>
      </c>
    </row>
    <row r="178" spans="1:8" s="21" customFormat="1"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8.8 kW. Lifetime: 39800 km. Annual kilometers: 2731 km. Number of passengers: 1. Curb mass: 121.6 kg. Lightweighting of glider: 5%. Emission standard: EURO-5. Service visits throughout lifetime: 1. Range: 219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t="s">
        <v>81</v>
      </c>
      <c r="B180" t="s">
        <v>82</v>
      </c>
      <c r="C180" t="s">
        <v>73</v>
      </c>
      <c r="D180" t="s">
        <v>77</v>
      </c>
      <c r="E180" t="s">
        <v>83</v>
      </c>
      <c r="F180" t="s">
        <v>75</v>
      </c>
      <c r="G180" t="s">
        <v>84</v>
      </c>
      <c r="H180" t="s">
        <v>74</v>
      </c>
    </row>
    <row r="181" spans="1:8" x14ac:dyDescent="0.3">
      <c r="A181" s="12" t="str">
        <f>B151</f>
        <v>Scooter, gasoline, 4-11kW, EURO-5, 2040</v>
      </c>
      <c r="B181" s="12">
        <v>1</v>
      </c>
      <c r="C181" s="12" t="str">
        <f>B152</f>
        <v>CH</v>
      </c>
      <c r="D181" s="12" t="str">
        <f>B159</f>
        <v>unit</v>
      </c>
      <c r="E181" s="12"/>
      <c r="F181" s="12" t="s">
        <v>85</v>
      </c>
      <c r="G181" s="12" t="s">
        <v>86</v>
      </c>
      <c r="H181" s="12" t="str">
        <f>B153</f>
        <v>Scooter, gasoline, 4-11kW,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1</v>
      </c>
      <c r="C182" s="12" t="str">
        <f>INDEX('ei names mapping'!$B$38:$R$67,MATCH(B153,'ei names mapping'!$A$4:$A$33,0),MATCH(G182,'ei names mapping'!$B$3:$R$3,0))</f>
        <v>RER</v>
      </c>
      <c r="D182" s="12" t="str">
        <f>INDEX('ei names mapping'!$B$104:$R$133,MATCH($B$3,'ei names mapping'!$A$4:$A$33,0),MATCH(G182,'ei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0.33444444444444449</v>
      </c>
      <c r="C183" s="12" t="str">
        <f>INDEX('ei names mapping'!$B$38:$R$67,MATCH(B153,'ei names mapping'!$A$4:$A$33,0),MATCH(G183,'ei names mapping'!$B$3:$R$3,0))</f>
        <v>RER</v>
      </c>
      <c r="D183" s="12" t="str">
        <f>INDEX('ei names mapping'!$B$104:$R$133,MATCH($B$3,'ei names mapping'!$A$4:$A$33,0),MATCH(G183,'ei names mapping'!$B$3:$R$3,0))</f>
        <v>unit</v>
      </c>
      <c r="E183" s="12"/>
      <c r="F183" s="12" t="s">
        <v>91</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4.5</v>
      </c>
      <c r="C184" s="12" t="str">
        <f>INDEX('ei names mapping'!$B$38:$R$67,MATCH(B153,'ei names mapping'!$A$4:$A$33,0),MATCH(G184,'ei names mapping'!$B$3:$R$3,0))</f>
        <v>GLO</v>
      </c>
      <c r="D184" s="12" t="str">
        <f>INDEX('ei names mapping'!$B$104:$R$133,MATCH(B153,'ei names mapping'!$A$4:$A$33,0),MATCH(G184,'ei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0.78749999999999998</v>
      </c>
      <c r="C185" s="12" t="str">
        <f>INDEX('ei names mapping'!$B$38:$R$67,MATCH(B153,'ei names mapping'!$A$4:$A$33,0),MATCH(G185,'ei names mapping'!$B$3:$R$3,0))</f>
        <v>RER</v>
      </c>
      <c r="D185" s="12" t="str">
        <f>INDEX('ei names mapping'!$B$104:$R$133,MATCH($B$3,'ei names mapping'!$A$4:$A$33,0),MATCH(G185,'ei names mapping'!$B$3:$R$3,0))</f>
        <v>kilogram</v>
      </c>
      <c r="E185" s="12"/>
      <c r="F185" s="12" t="s">
        <v>91</v>
      </c>
      <c r="G185" t="s">
        <v>24</v>
      </c>
      <c r="H185" s="12" t="str">
        <f>INDEX('ei names mapping'!$B$71:$R$100,MATCH(B153,'ei names mapping'!$A$4:$A$33,0),MATCH(G185,'ei names mapping'!$B$3:$R$3,0))</f>
        <v>polyethylene, high density, granulate</v>
      </c>
    </row>
    <row r="186" spans="1:8" s="21" customFormat="1" x14ac:dyDescent="0.3">
      <c r="A186" s="22" t="s">
        <v>468</v>
      </c>
      <c r="B186" s="21">
        <f>(B166/1000)*B177</f>
        <v>121.63749999999999</v>
      </c>
      <c r="C186" s="21" t="s">
        <v>94</v>
      </c>
      <c r="D186" s="21" t="s">
        <v>243</v>
      </c>
      <c r="F186" s="21" t="s">
        <v>91</v>
      </c>
      <c r="H186" s="22" t="s">
        <v>469</v>
      </c>
    </row>
    <row r="187" spans="1:8" s="21" customFormat="1" x14ac:dyDescent="0.3">
      <c r="A187" s="22" t="s">
        <v>467</v>
      </c>
      <c r="B187" s="2">
        <f>(B166/1000)*B176</f>
        <v>1934.0362499999997</v>
      </c>
      <c r="C187" s="21" t="s">
        <v>98</v>
      </c>
      <c r="D187" s="21" t="s">
        <v>243</v>
      </c>
      <c r="F187" s="21" t="s">
        <v>91</v>
      </c>
      <c r="H187" s="22" t="s">
        <v>467</v>
      </c>
    </row>
    <row r="189" spans="1:8" ht="15.6" x14ac:dyDescent="0.3">
      <c r="A189" s="11" t="s">
        <v>72</v>
      </c>
      <c r="B189" s="9" t="str">
        <f>B191&amp;", "&amp;B193</f>
        <v>Scooter, gasoline, 4-11kW, EURO-5, 2050</v>
      </c>
    </row>
    <row r="190" spans="1:8" x14ac:dyDescent="0.3">
      <c r="A190" t="s">
        <v>73</v>
      </c>
      <c r="B190" t="s">
        <v>37</v>
      </c>
    </row>
    <row r="191" spans="1:8" x14ac:dyDescent="0.3">
      <c r="A191" t="s">
        <v>87</v>
      </c>
      <c r="B191" t="s">
        <v>638</v>
      </c>
    </row>
    <row r="192" spans="1:8" x14ac:dyDescent="0.3">
      <c r="A192" t="s">
        <v>88</v>
      </c>
      <c r="B192" s="12"/>
    </row>
    <row r="193" spans="1:2" x14ac:dyDescent="0.3">
      <c r="A193" t="s">
        <v>89</v>
      </c>
      <c r="B193" s="12">
        <v>2050</v>
      </c>
    </row>
    <row r="194" spans="1:2" x14ac:dyDescent="0.3">
      <c r="A194" t="s">
        <v>131</v>
      </c>
      <c r="B194" s="12" t="str">
        <f>B191&amp;" - "&amp;B193&amp;" - "&amp;B190</f>
        <v>Scooter, gasoline, 4-11kW, EURO-5 - 2050 - CH</v>
      </c>
    </row>
    <row r="195" spans="1:2" x14ac:dyDescent="0.3">
      <c r="A195" t="s">
        <v>74</v>
      </c>
      <c r="B195" t="str">
        <f>B191</f>
        <v>Scooter, gasoline, 4-11kW, EURO-5</v>
      </c>
    </row>
    <row r="196" spans="1:2" x14ac:dyDescent="0.3">
      <c r="A196" t="s">
        <v>75</v>
      </c>
      <c r="B196" t="s">
        <v>76</v>
      </c>
    </row>
    <row r="197" spans="1:2" x14ac:dyDescent="0.3">
      <c r="A197" t="s">
        <v>77</v>
      </c>
      <c r="B197" t="s">
        <v>77</v>
      </c>
    </row>
    <row r="198" spans="1:2" x14ac:dyDescent="0.3">
      <c r="A198" t="s">
        <v>79</v>
      </c>
      <c r="B198" t="s">
        <v>90</v>
      </c>
    </row>
    <row r="199" spans="1:2" x14ac:dyDescent="0.3">
      <c r="A199" t="s">
        <v>132</v>
      </c>
      <c r="B199">
        <f>INDEX('vehicles specifications'!$B$3:$CK$86,MATCH(B194,'vehicles specifications'!$A$3:$A$86,0),MATCH("Lifetime [km]",'vehicles specifications'!$B$2:$CK$2,0))</f>
        <v>39800</v>
      </c>
    </row>
    <row r="200" spans="1:2" x14ac:dyDescent="0.3">
      <c r="A200" t="s">
        <v>133</v>
      </c>
      <c r="B200">
        <f>INDEX('vehicles specifications'!$B$3:$CK$86,MATCH(B194,'vehicles specifications'!$A$3:$A$86,0),MATCH("Passengers [unit]",'vehicles specifications'!$B$2:$CK$2,0))</f>
        <v>1</v>
      </c>
    </row>
    <row r="201" spans="1:2" x14ac:dyDescent="0.3">
      <c r="A201" t="s">
        <v>134</v>
      </c>
      <c r="B201">
        <f>INDEX('vehicles specifications'!$B$3:$CK$86,MATCH(B194,'vehicles specifications'!$A$3:$A$86,0),MATCH("Servicing [unit]",'vehicles specifications'!$B$2:$CK$2,0))</f>
        <v>1</v>
      </c>
    </row>
    <row r="202" spans="1:2" x14ac:dyDescent="0.3">
      <c r="A202" t="s">
        <v>135</v>
      </c>
      <c r="B202">
        <f>INDEX('vehicles specifications'!$B$3:$CK$86,MATCH(B194,'vehicles specifications'!$A$3:$A$86,0),MATCH("Energy battery replacement [unit]",'vehicles specifications'!$B$2:$CK$2,0))</f>
        <v>0</v>
      </c>
    </row>
    <row r="203" spans="1:2" x14ac:dyDescent="0.3">
      <c r="A203" t="s">
        <v>136</v>
      </c>
      <c r="B203">
        <f>INDEX('vehicles specifications'!$B$3:$CK$86,MATCH(B194,'vehicles specifications'!$A$3:$A$86,0),MATCH("Annual kilometers [km]",'vehicles specifications'!$B$2:$CK$2,0))</f>
        <v>2731</v>
      </c>
    </row>
    <row r="204" spans="1:2" x14ac:dyDescent="0.3">
      <c r="A204" t="s">
        <v>137</v>
      </c>
      <c r="B204" s="2">
        <f>INDEX('vehicles specifications'!$B$3:$CK$86,MATCH(B194,'vehicles specifications'!$A$3:$A$86,0),MATCH("Curb mass [kg]",'vehicles specifications'!$B$2:$CK$2,0))</f>
        <v>118.93749999999999</v>
      </c>
    </row>
    <row r="205" spans="1:2" x14ac:dyDescent="0.3">
      <c r="A205" t="s">
        <v>138</v>
      </c>
      <c r="B205">
        <f>INDEX('vehicles specifications'!$B$3:$CK$86,MATCH(B194,'vehicles specifications'!$A$3:$A$86,0),MATCH("Power [kW]",'vehicles specifications'!$B$2:$CK$2,0))</f>
        <v>8.8000000000000007</v>
      </c>
    </row>
    <row r="206" spans="1:2" x14ac:dyDescent="0.3">
      <c r="A206" t="s">
        <v>139</v>
      </c>
      <c r="B206">
        <f>INDEX('vehicles specifications'!$B$3:$CK$86,MATCH(B194,'vehicles specifications'!$A$3:$A$86,0),MATCH("Energy battery mass [kg]",'vehicles specifications'!$B$2:$CK$2,0))</f>
        <v>0</v>
      </c>
    </row>
    <row r="207" spans="1:2" x14ac:dyDescent="0.3">
      <c r="A207" t="s">
        <v>140</v>
      </c>
      <c r="B207">
        <f>INDEX('vehicles specifications'!$B$3:$CK$86,MATCH(B194,'vehicles specifications'!$A$3:$A$86,0),MATCH("Electric energy available [kWh]",'vehicles specifications'!$B$2:$CK$2,0))</f>
        <v>0</v>
      </c>
    </row>
    <row r="208" spans="1:2" x14ac:dyDescent="0.3">
      <c r="A208" t="s">
        <v>143</v>
      </c>
      <c r="B208" s="2">
        <f>INDEX('vehicles specifications'!$B$3:$CK$86,MATCH(B194,'vehicles specifications'!$A$3:$A$86,0),MATCH("Oxydation energy stored [kWh]",'vehicles specifications'!$B$2:$CK$2,0))</f>
        <v>61.833333333333329</v>
      </c>
    </row>
    <row r="209" spans="1:8" x14ac:dyDescent="0.3">
      <c r="A209" t="s">
        <v>145</v>
      </c>
      <c r="B209">
        <f>INDEX('vehicles specifications'!$B$3:$CK$86,MATCH(B194,'vehicles specifications'!$A$3:$A$86,0),MATCH("Fuel mass [kg]",'vehicles specifications'!$B$2:$CK$2,0))</f>
        <v>5.25</v>
      </c>
    </row>
    <row r="210" spans="1:8" x14ac:dyDescent="0.3">
      <c r="A210" t="s">
        <v>141</v>
      </c>
      <c r="B210" s="2">
        <f>INDEX('vehicles specifications'!$B$3:$CK$86,MATCH(B194,'vehicles specifications'!$A$3:$A$86,0),MATCH("Range [km]",'vehicles specifications'!$B$2:$CK$2,0))</f>
        <v>221.18427317521866</v>
      </c>
    </row>
    <row r="211" spans="1:8" x14ac:dyDescent="0.3">
      <c r="A211" t="s">
        <v>142</v>
      </c>
      <c r="B211" t="str">
        <f>INDEX('vehicles specifications'!$B$3:$CK$86,MATCH(B194,'vehicles specifications'!$A$3:$A$86,0),MATCH("Emission standard",'vehicles specifications'!$B$2:$CK$2,0))</f>
        <v>EURO-5</v>
      </c>
    </row>
    <row r="212" spans="1:8" x14ac:dyDescent="0.3">
      <c r="A212" t="s">
        <v>144</v>
      </c>
      <c r="B212" s="6">
        <f>INDEX('vehicles specifications'!$B$3:$CK$86,MATCH(B194,'vehicles specifications'!$A$3:$A$86,0),MATCH("Lightweighting rate [%]",'vehicles specifications'!$B$2:$CK$2,0))</f>
        <v>7.0000000000000007E-2</v>
      </c>
    </row>
    <row r="213" spans="1:8" s="21" customFormat="1" x14ac:dyDescent="0.3">
      <c r="A213" s="21" t="s">
        <v>513</v>
      </c>
      <c r="B213" s="6" t="s">
        <v>514</v>
      </c>
    </row>
    <row r="214" spans="1:8" s="21" customFormat="1" x14ac:dyDescent="0.3">
      <c r="A214" s="21" t="s">
        <v>515</v>
      </c>
      <c r="B214" s="2">
        <v>15900</v>
      </c>
    </row>
    <row r="215" spans="1:8" s="21" customFormat="1" x14ac:dyDescent="0.3">
      <c r="A215" s="21" t="s">
        <v>516</v>
      </c>
      <c r="B215" s="2">
        <v>1000</v>
      </c>
    </row>
    <row r="216" spans="1:8" s="21" customFormat="1"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8.8 kW. Lifetime: 39800 km. Annual kilometers: 2731 km. Number of passengers: 1. Curb mass: 118.9 kg. Lightweighting of glider: 7%. Emission standard: EURO-5. Service visits throughout lifetime: 1. Range: 221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t="s">
        <v>81</v>
      </c>
      <c r="B218" t="s">
        <v>82</v>
      </c>
      <c r="C218" t="s">
        <v>73</v>
      </c>
      <c r="D218" t="s">
        <v>77</v>
      </c>
      <c r="E218" t="s">
        <v>83</v>
      </c>
      <c r="F218" t="s">
        <v>75</v>
      </c>
      <c r="G218" t="s">
        <v>84</v>
      </c>
      <c r="H218" t="s">
        <v>74</v>
      </c>
    </row>
    <row r="219" spans="1:8" x14ac:dyDescent="0.3">
      <c r="A219" s="12" t="str">
        <f>B189</f>
        <v>Scooter, gasoline, 4-11kW, EURO-5, 2050</v>
      </c>
      <c r="B219" s="12">
        <v>1</v>
      </c>
      <c r="C219" s="12" t="str">
        <f>B190</f>
        <v>CH</v>
      </c>
      <c r="D219" s="12" t="str">
        <f>B197</f>
        <v>unit</v>
      </c>
      <c r="E219" s="12"/>
      <c r="F219" s="12" t="s">
        <v>85</v>
      </c>
      <c r="G219" s="12" t="s">
        <v>86</v>
      </c>
      <c r="H219" s="12" t="str">
        <f>B191</f>
        <v>Scooter, gasoline, 4-11kW,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1</v>
      </c>
      <c r="C220" s="12" t="str">
        <f>INDEX('ei names mapping'!$B$38:$R$67,MATCH(B191,'ei names mapping'!$A$4:$A$33,0),MATCH(G220,'ei names mapping'!$B$3:$R$3,0))</f>
        <v>RER</v>
      </c>
      <c r="D220" s="12" t="str">
        <f>INDEX('ei names mapping'!$B$104:$R$133,MATCH($B$3,'ei names mapping'!$A$4:$A$33,0),MATCH(G220,'ei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0.32444444444444442</v>
      </c>
      <c r="C221" s="12" t="str">
        <f>INDEX('ei names mapping'!$B$38:$R$67,MATCH(B191,'ei names mapping'!$A$4:$A$33,0),MATCH(G221,'ei names mapping'!$B$3:$R$3,0))</f>
        <v>RER</v>
      </c>
      <c r="D221" s="12" t="str">
        <f>INDEX('ei names mapping'!$B$104:$R$133,MATCH($B$3,'ei names mapping'!$A$4:$A$33,0),MATCH(G221,'ei names mapping'!$B$3:$R$3,0))</f>
        <v>unit</v>
      </c>
      <c r="E221" s="12"/>
      <c r="F221" s="12" t="s">
        <v>91</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6.3000000000000007</v>
      </c>
      <c r="C222" s="12" t="str">
        <f>INDEX('ei names mapping'!$B$38:$R$67,MATCH(B191,'ei names mapping'!$A$4:$A$33,0),MATCH(G222,'ei names mapping'!$B$3:$R$3,0))</f>
        <v>GLO</v>
      </c>
      <c r="D222" s="12" t="str">
        <f>INDEX('ei names mapping'!$B$104:$R$133,MATCH(B191,'ei names mapping'!$A$4:$A$33,0),MATCH(G222,'ei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0.78749999999999998</v>
      </c>
      <c r="C223" s="12" t="str">
        <f>INDEX('ei names mapping'!$B$38:$R$67,MATCH(B191,'ei names mapping'!$A$4:$A$33,0),MATCH(G223,'ei names mapping'!$B$3:$R$3,0))</f>
        <v>RER</v>
      </c>
      <c r="D223" s="12" t="str">
        <f>INDEX('ei names mapping'!$B$104:$R$133,MATCH($B$3,'ei names mapping'!$A$4:$A$33,0),MATCH(G223,'ei names mapping'!$B$3:$R$3,0))</f>
        <v>kilogram</v>
      </c>
      <c r="E223" s="12"/>
      <c r="F223" s="12" t="s">
        <v>91</v>
      </c>
      <c r="G223" t="s">
        <v>24</v>
      </c>
      <c r="H223" s="12" t="str">
        <f>INDEX('ei names mapping'!$B$71:$R$100,MATCH(B191,'ei names mapping'!$A$4:$A$33,0),MATCH(G223,'ei names mapping'!$B$3:$R$3,0))</f>
        <v>polyethylene, high density, granulate</v>
      </c>
    </row>
    <row r="224" spans="1:8" s="21" customFormat="1" x14ac:dyDescent="0.3">
      <c r="A224" s="22" t="s">
        <v>468</v>
      </c>
      <c r="B224" s="21">
        <f>(B204/1000)*B215</f>
        <v>118.93749999999999</v>
      </c>
      <c r="C224" s="21" t="s">
        <v>94</v>
      </c>
      <c r="D224" s="21" t="s">
        <v>243</v>
      </c>
      <c r="F224" s="21" t="s">
        <v>91</v>
      </c>
      <c r="H224" s="22" t="s">
        <v>469</v>
      </c>
    </row>
    <row r="225" spans="1:8" s="21" customFormat="1" x14ac:dyDescent="0.3">
      <c r="A225" s="22" t="s">
        <v>467</v>
      </c>
      <c r="B225" s="2">
        <f>(B204/1000)*B214</f>
        <v>1891.1062499999998</v>
      </c>
      <c r="C225" s="21" t="s">
        <v>98</v>
      </c>
      <c r="D225" s="21" t="s">
        <v>243</v>
      </c>
      <c r="F225" s="21" t="s">
        <v>91</v>
      </c>
      <c r="H225" s="22" t="s">
        <v>467</v>
      </c>
    </row>
    <row r="227" spans="1:8" ht="15.6" x14ac:dyDescent="0.3">
      <c r="A227" s="11" t="s">
        <v>72</v>
      </c>
      <c r="B227" s="9" t="str">
        <f>"transport, "&amp;B229&amp;", "&amp;B231</f>
        <v>transport, Scooter, gasoline, 4-11kW, EURO-3, 2006</v>
      </c>
    </row>
    <row r="228" spans="1:8" x14ac:dyDescent="0.3">
      <c r="A228" t="s">
        <v>73</v>
      </c>
      <c r="B228" t="s">
        <v>37</v>
      </c>
    </row>
    <row r="229" spans="1:8" x14ac:dyDescent="0.3">
      <c r="A229" t="s">
        <v>87</v>
      </c>
      <c r="B229" t="s">
        <v>636</v>
      </c>
    </row>
    <row r="230" spans="1:8" x14ac:dyDescent="0.3">
      <c r="A230" t="s">
        <v>88</v>
      </c>
      <c r="B230" s="12"/>
    </row>
    <row r="231" spans="1:8" x14ac:dyDescent="0.3">
      <c r="A231" t="s">
        <v>89</v>
      </c>
      <c r="B231" s="12">
        <v>2006</v>
      </c>
    </row>
    <row r="232" spans="1:8" x14ac:dyDescent="0.3">
      <c r="A232" t="s">
        <v>131</v>
      </c>
      <c r="B232" s="12" t="str">
        <f>B229&amp;" - "&amp;B231&amp;" - "&amp;B228</f>
        <v>Scooter, gasoline, 4-11kW, EURO-3 - 2006 - CH</v>
      </c>
    </row>
    <row r="233" spans="1:8" x14ac:dyDescent="0.3">
      <c r="A233" t="s">
        <v>74</v>
      </c>
      <c r="B233" s="12" t="str">
        <f>"transport, "&amp;B229</f>
        <v>transport, Scooter, gasoline, 4-11kW, EURO-3</v>
      </c>
    </row>
    <row r="234" spans="1:8" x14ac:dyDescent="0.3">
      <c r="A234" t="s">
        <v>75</v>
      </c>
      <c r="B234" t="s">
        <v>76</v>
      </c>
    </row>
    <row r="235" spans="1:8" x14ac:dyDescent="0.3">
      <c r="A235" t="s">
        <v>77</v>
      </c>
      <c r="B235" t="s">
        <v>172</v>
      </c>
    </row>
    <row r="236" spans="1:8" x14ac:dyDescent="0.3">
      <c r="A236" t="s">
        <v>79</v>
      </c>
      <c r="B236" t="s">
        <v>90</v>
      </c>
    </row>
    <row r="237" spans="1:8" x14ac:dyDescent="0.3">
      <c r="A237" t="s">
        <v>132</v>
      </c>
      <c r="B237">
        <f>INDEX('vehicles specifications'!$B$3:$CK$86,MATCH(B232,'vehicles specifications'!$A$3:$A$86,0),MATCH("Lifetime [km]",'vehicles specifications'!$B$2:$CK$2,0))</f>
        <v>39800</v>
      </c>
    </row>
    <row r="238" spans="1:8" x14ac:dyDescent="0.3">
      <c r="A238" t="s">
        <v>133</v>
      </c>
      <c r="B238">
        <f>INDEX('vehicles specifications'!$B$3:$CK$86,MATCH(B232,'vehicles specifications'!$A$3:$A$86,0),MATCH("Passengers [unit]",'vehicles specifications'!$B$2:$CK$2,0))</f>
        <v>1</v>
      </c>
    </row>
    <row r="239" spans="1:8" x14ac:dyDescent="0.3">
      <c r="A239" t="s">
        <v>134</v>
      </c>
      <c r="B239">
        <f>INDEX('vehicles specifications'!$B$3:$CK$86,MATCH(B232,'vehicles specifications'!$A$3:$A$86,0),MATCH("Servicing [unit]",'vehicles specifications'!$B$2:$CK$2,0))</f>
        <v>1</v>
      </c>
    </row>
    <row r="240" spans="1:8" x14ac:dyDescent="0.3">
      <c r="A240" t="s">
        <v>135</v>
      </c>
      <c r="B240">
        <f>INDEX('vehicles specifications'!$B$3:$CK$86,MATCH(B232,'vehicles specifications'!$A$3:$A$86,0),MATCH("Energy battery replacement [unit]",'vehicles specifications'!$B$2:$CK$2,0))</f>
        <v>0</v>
      </c>
    </row>
    <row r="241" spans="1:8" x14ac:dyDescent="0.3">
      <c r="A241" t="s">
        <v>136</v>
      </c>
      <c r="B241">
        <f>INDEX('vehicles specifications'!$B$3:$CK$86,MATCH(B232,'vehicles specifications'!$A$3:$A$86,0),MATCH("Annual kilometers [km]",'vehicles specifications'!$B$2:$CK$2,0))</f>
        <v>2731</v>
      </c>
    </row>
    <row r="242" spans="1:8" x14ac:dyDescent="0.3">
      <c r="A242" t="s">
        <v>137</v>
      </c>
      <c r="B242" s="2">
        <f>INDEX('vehicles specifications'!$B$3:$CK$86,MATCH(B232,'vehicles specifications'!$A$3:$A$86,0),MATCH("Curb mass [kg]",'vehicles specifications'!$B$2:$CK$2,0))</f>
        <v>132.53749999999999</v>
      </c>
    </row>
    <row r="243" spans="1:8" x14ac:dyDescent="0.3">
      <c r="A243" t="s">
        <v>138</v>
      </c>
      <c r="B243">
        <f>INDEX('vehicles specifications'!$B$3:$CK$86,MATCH(B232,'vehicles specifications'!$A$3:$A$86,0),MATCH("Power [kW]",'vehicles specifications'!$B$2:$CK$2,0))</f>
        <v>8.8000000000000007</v>
      </c>
    </row>
    <row r="244" spans="1:8" x14ac:dyDescent="0.3">
      <c r="A244" t="s">
        <v>139</v>
      </c>
      <c r="B244">
        <f>INDEX('vehicles specifications'!$B$3:$CK$86,MATCH(B232,'vehicles specifications'!$A$3:$A$86,0),MATCH("Energy battery mass [kg]",'vehicles specifications'!$B$2:$CK$2,0))</f>
        <v>0</v>
      </c>
    </row>
    <row r="245" spans="1:8" x14ac:dyDescent="0.3">
      <c r="A245" t="s">
        <v>140</v>
      </c>
      <c r="B245">
        <f>INDEX('vehicles specifications'!$B$3:$CK$86,MATCH(B232,'vehicles specifications'!$A$3:$A$86,0),MATCH("Electric energy available [kWh]",'vehicles specifications'!$B$2:$CK$2,0))</f>
        <v>0</v>
      </c>
    </row>
    <row r="246" spans="1:8" x14ac:dyDescent="0.3">
      <c r="A246" t="s">
        <v>143</v>
      </c>
      <c r="B246" s="2">
        <f>INDEX('vehicles specifications'!$B$3:$CK$86,MATCH(B232,'vehicles specifications'!$A$3:$A$86,0),MATCH("Oxydation energy stored [kWh]",'vehicles specifications'!$B$2:$CK$2,0))</f>
        <v>61.833333333333329</v>
      </c>
    </row>
    <row r="247" spans="1:8" x14ac:dyDescent="0.3">
      <c r="A247" t="s">
        <v>145</v>
      </c>
      <c r="B247">
        <f>INDEX('vehicles specifications'!$B$3:$CK$86,MATCH(B232,'vehicles specifications'!$A$3:$A$86,0),MATCH("Fuel mass [kg]",'vehicles specifications'!$B$2:$CK$2,0))</f>
        <v>5.25</v>
      </c>
    </row>
    <row r="248" spans="1:8" x14ac:dyDescent="0.3">
      <c r="A248" t="s">
        <v>141</v>
      </c>
      <c r="B248" s="2">
        <f>INDEX('vehicles specifications'!$B$3:$CK$86,MATCH(B232,'vehicles specifications'!$A$3:$A$86,0),MATCH("Range [km]",'vehicles specifications'!$B$2:$CK$2,0))</f>
        <v>210.36507949194564</v>
      </c>
    </row>
    <row r="249" spans="1:8" x14ac:dyDescent="0.3">
      <c r="A249" t="s">
        <v>142</v>
      </c>
      <c r="B249" t="str">
        <f>INDEX('vehicles specifications'!$B$3:$CK$86,MATCH(B232,'vehicles specifications'!$A$3:$A$86,0),MATCH("Emission standard",'vehicles specifications'!$B$2:$CK$2,0))</f>
        <v>EURO-5</v>
      </c>
    </row>
    <row r="250" spans="1:8" x14ac:dyDescent="0.3">
      <c r="A250" t="s">
        <v>144</v>
      </c>
      <c r="B250" s="6">
        <f>INDEX('vehicles specifications'!$B$3:$CK$86,MATCH(B232,'vehicles specifications'!$A$3:$A$86,0),MATCH("Lightweighting rate [%]",'vehicles specifications'!$B$2:$CK$2,0))</f>
        <v>-0.05</v>
      </c>
    </row>
    <row r="251" spans="1:8" x14ac:dyDescent="0.3">
      <c r="A25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8.8 kW. Lifetime: 39800 km. Annual kilometers: 2731 km. Number of passengers: 1. Curb mass: 132.5 kg. Lightweighting of glider: -5%. Emission standard: EURO-5. Service visits throughout lifetime: 1. Range: 210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t="s">
        <v>81</v>
      </c>
      <c r="B253" t="s">
        <v>82</v>
      </c>
      <c r="C253" t="s">
        <v>73</v>
      </c>
      <c r="D253" t="s">
        <v>77</v>
      </c>
      <c r="E253" t="s">
        <v>83</v>
      </c>
      <c r="F253" t="s">
        <v>75</v>
      </c>
      <c r="G253" t="s">
        <v>84</v>
      </c>
      <c r="H253" t="s">
        <v>74</v>
      </c>
    </row>
    <row r="254" spans="1:8" x14ac:dyDescent="0.3">
      <c r="A254" s="12" t="str">
        <f>B227</f>
        <v>transport, Scooter, gasoline, 4-11kW, EURO-3, 2006</v>
      </c>
      <c r="B254" s="12">
        <v>1</v>
      </c>
      <c r="C254" s="12" t="str">
        <f>B228</f>
        <v>CH</v>
      </c>
      <c r="D254" s="12" t="s">
        <v>172</v>
      </c>
      <c r="E254" s="12"/>
      <c r="F254" s="12" t="s">
        <v>85</v>
      </c>
      <c r="G254" s="12" t="s">
        <v>86</v>
      </c>
      <c r="H254" s="12" t="str">
        <f>B233</f>
        <v>transport, Scooter, gasoline, 4-11kW, EURO-3</v>
      </c>
    </row>
    <row r="255" spans="1:8" x14ac:dyDescent="0.3">
      <c r="A255" s="12" t="str">
        <f>RIGHT(A254,LEN(A254)-11)</f>
        <v>Scooter, gasoline, 4-11kW, EURO-3, 2006</v>
      </c>
      <c r="B255" s="15">
        <f>1/B237</f>
        <v>2.5125628140703518E-5</v>
      </c>
      <c r="C255" s="12" t="str">
        <f>B228</f>
        <v>CH</v>
      </c>
      <c r="D255" s="12" t="s">
        <v>77</v>
      </c>
      <c r="E255" s="12"/>
      <c r="F255" s="12" t="s">
        <v>91</v>
      </c>
      <c r="G255" s="12"/>
      <c r="H255" s="12" t="str">
        <f>RIGHT(H254,LEN(H254)-11)</f>
        <v>Scooter, gasoline, 4-11kW, EURO-3</v>
      </c>
    </row>
    <row r="256" spans="1:8" s="21" customFormat="1"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1.1091063749999999E-4</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road maintenance</v>
      </c>
      <c r="B257" s="16">
        <f>INDEX('vehicles specifications'!$B$3:$CK$86,MATCH(B232,'vehicles specifications'!$A$3:$A$86,0),MATCH(G257,'vehicles specifications'!$B$2:$CK$2,0))*INDEX('ei names mapping'!$B$137:$BK$220,MATCH(B232,'ei names mapping'!$A$137:$A$220,0),MATCH(G257,'ei names mapping'!$B$136:$BK$136,0))</f>
        <v>1.2899999999999999E-3</v>
      </c>
      <c r="C257" s="12" t="str">
        <f>INDEX('ei names mapping'!$B$38:$R$67,MATCH(B229,'ei names mapping'!$A$4:$A$33,0),MATCH(G257,'ei names mapping'!$B$3:$R$3,0))</f>
        <v>CH</v>
      </c>
      <c r="D257" s="12" t="str">
        <f>INDEX('ei names mapping'!$B$104:$BK$133,MATCH(B229,'ei names mapping'!$A$4:$A$33,0),MATCH(G257,'ei names mapping'!$B$3:$BK$3,0))</f>
        <v>meter-year</v>
      </c>
      <c r="E257" s="12"/>
      <c r="F257" s="12" t="s">
        <v>91</v>
      </c>
      <c r="G257" t="s">
        <v>117</v>
      </c>
      <c r="H257" s="12" t="str">
        <f>INDEX('ei names mapping'!$B$71:$BK$100,MATCH(B229,'ei names mapping'!$A$4:$A$33,0),MATCH(G257,'ei names mapping'!$B$3:$BK$3,0))</f>
        <v>road maintenance</v>
      </c>
    </row>
    <row r="258" spans="1:8" x14ac:dyDescent="0.3">
      <c r="A258" s="12" t="str">
        <f>INDEX('ei names mapping'!$B$4:$R$33,MATCH(B229,'ei names mapping'!$A$4:$A$33,0),MATCH(G258,'ei names mapping'!$B$3:$R$3,0))</f>
        <v>maintenance, motor scooter</v>
      </c>
      <c r="B258" s="16">
        <f>INDEX('vehicles specifications'!$B$3:$CK$86,MATCH(B232,'vehicles specifications'!$A$3:$A$86,0),MATCH(G258,'vehicles specifications'!$B$2:$CK$2,0))*INDEX('ei names mapping'!$B$137:$BK$220,MATCH(B232,'ei names mapping'!$A$137:$A$220,0),MATCH(G258,'ei names mapping'!$B$136:$BK$136,0))</f>
        <v>2.5125628140703518E-5</v>
      </c>
      <c r="C258" s="12" t="str">
        <f>INDEX('ei names mapping'!$B$38:$BK$67,MATCH(B229,'ei names mapping'!$A$4:$A$33,0),MATCH(G258,'ei names mapping'!$B$3:$BK$3,0))</f>
        <v>CH</v>
      </c>
      <c r="D258" s="12" t="str">
        <f>INDEX('ei names mapping'!$B$104:$BK$133,MATCH(B229,'ei names mapping'!$A$4:$A$33,0),MATCH(G258,'ei names mapping'!$B$3:$BK$3,0))</f>
        <v>unit</v>
      </c>
      <c r="F258" s="12" t="s">
        <v>91</v>
      </c>
      <c r="G258" s="12" t="s">
        <v>123</v>
      </c>
      <c r="H258" s="12" t="str">
        <f>INDEX('ei names mapping'!$B$71:$BK$100,MATCH(B229,'ei names mapping'!$A$4:$A$33,0),MATCH(G258,'ei names mapping'!$B$3:$BK$3,0))</f>
        <v>maintenance, motor scooter</v>
      </c>
    </row>
    <row r="259" spans="1:8" x14ac:dyDescent="0.3">
      <c r="A259" s="12" t="str">
        <f>INDEX('ei names mapping'!$B$4:$R$33,MATCH(B229,'ei names mapping'!$A$4:$A$33,0),MATCH(G259,'ei names mapping'!$B$3:$R$3,0))</f>
        <v>petrol blending for two-stroke engines</v>
      </c>
      <c r="B259" s="16">
        <f>INDEX('vehicles specifications'!$B$3:$CK$86,MATCH(B232,'vehicles specifications'!$A$3:$A$86,0),MATCH(G259,'vehicles specifications'!$B$2:$CK$2,0))*INDEX('ei names mapping'!$B$137:$BK$220,MATCH(B232,'ei names mapping'!$A$137:$A$220,0),MATCH(G259,'ei names mapping'!$B$136:$BK$136,0))</f>
        <v>2.49566135818707E-2</v>
      </c>
      <c r="C259" s="12" t="str">
        <f>INDEX('ei names mapping'!$B$38:$BK$67,MATCH(B229,'ei names mapping'!$A$4:$A$33,0),MATCH(G259,'ei names mapping'!$B$3:$BK$3,0))</f>
        <v>CH</v>
      </c>
      <c r="D259" s="12" t="str">
        <f>INDEX('ei names mapping'!$B$104:$BK$133,MATCH(B229,'ei names mapping'!$A$4:$A$33,0),MATCH(G259,'ei names mapping'!$B$3:$BK$3,0))</f>
        <v>kilogram</v>
      </c>
      <c r="F259" s="12" t="s">
        <v>91</v>
      </c>
      <c r="G259" s="12" t="s">
        <v>27</v>
      </c>
      <c r="H259" s="12" t="str">
        <f>INDEX('ei names mapping'!$B$71:$BK$100,MATCH(B229,'ei names mapping'!$A$4:$A$33,0),MATCH(G259,'ei names mapping'!$B$3:$BK$3,0))</f>
        <v>petrol, two-stroke blend</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7.9362031190348833E-2</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3.9930581730993117E-7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6.4338455124178328E-5</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2.9172963769054263E-5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3.0847444281666904E-3</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1.4801097802665792E-6</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1.4801097802665792E-6</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1.1099448161280961E-4</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8.5002704680709625E-6</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s="21" customFormat="1"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5.1883631191048621E-4</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s="21" customFormat="1"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3.6584611737277873E-5</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s="21" customFormat="1"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7.454544711357561E-6</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s="21" customFormat="1"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6.0095098903867111E-5</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s="21" customFormat="1"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2.4657340199105778E-5</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s="21" customFormat="1"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1.8464333823516422E-5</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s="21" customFormat="1"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1.3074124570688646E-5</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s="21" customFormat="1"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8.4867124406224538E-6</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s="21" customFormat="1"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8.3720271373707988E-5</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s="21" customFormat="1"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4.3809785842132124E-5</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s="21" customFormat="1"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1.2615383357682027E-6</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s="21" customFormat="1"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1.2592446297031695E-4</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s="21" customFormat="1"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6.2274119665648545E-5</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s="21" customFormat="1"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2.5918878534873981E-5</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s="21" customFormat="1"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1.9496501552781316E-5</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s="21" customFormat="1"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8.6013977438741078E-6</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s="21" customFormat="1"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2.5230766715364054E-6</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s="21" customFormat="1"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6.9958034983509425E-6</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s="21" customFormat="1"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0</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s="21" customFormat="1"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2.1790207617814409E-6</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s="21" customFormat="1"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1.1583215628417132E-5</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s="21" customFormat="1"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3.6823982472321851E-8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s="21" customFormat="1"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3.1744812476139525E-10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s="21" customFormat="1"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2.1163208317426353E-10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s="21" customFormat="1"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2.2856264982820463E-6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s="21" customFormat="1"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4.444273746659534E-8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s="21" customFormat="1"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1.3756085406327129E-8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s="21" customFormat="1"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1.6930566653941085E-8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s="21" customFormat="1"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3.3861133307882163E-11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s="21" customFormat="1"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9.2059956180804626E-9</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s="21" customFormat="1"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1.1428132491410231E-8</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-6.3939999999999993E-6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-6.1789999999999996E-6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Scooter, gasoline, 4-11kW, EURO-4, 2016</v>
      </c>
    </row>
    <row r="305" spans="1:2" x14ac:dyDescent="0.3">
      <c r="A305" t="s">
        <v>73</v>
      </c>
      <c r="B305" t="s">
        <v>37</v>
      </c>
    </row>
    <row r="306" spans="1:2" x14ac:dyDescent="0.3">
      <c r="A306" t="s">
        <v>87</v>
      </c>
      <c r="B306" t="s">
        <v>637</v>
      </c>
    </row>
    <row r="307" spans="1:2" x14ac:dyDescent="0.3">
      <c r="A307" t="s">
        <v>88</v>
      </c>
      <c r="B307" s="12"/>
    </row>
    <row r="308" spans="1:2" x14ac:dyDescent="0.3">
      <c r="A308" t="s">
        <v>89</v>
      </c>
      <c r="B308" s="12">
        <v>2016</v>
      </c>
    </row>
    <row r="309" spans="1:2" x14ac:dyDescent="0.3">
      <c r="A309" t="s">
        <v>131</v>
      </c>
      <c r="B309" s="12" t="str">
        <f>B306&amp;" - "&amp;B308&amp;" - "&amp;B305</f>
        <v>Scooter, gasoline, 4-11kW, EURO-4 - 2016 - CH</v>
      </c>
    </row>
    <row r="310" spans="1:2" x14ac:dyDescent="0.3">
      <c r="A310" t="s">
        <v>74</v>
      </c>
      <c r="B310" s="12" t="str">
        <f>"transport, "&amp;B306</f>
        <v>transport, Scooter, gasoline, 4-11kW, EURO-4</v>
      </c>
    </row>
    <row r="311" spans="1:2" x14ac:dyDescent="0.3">
      <c r="A311" t="s">
        <v>75</v>
      </c>
      <c r="B311" t="s">
        <v>76</v>
      </c>
    </row>
    <row r="312" spans="1:2" x14ac:dyDescent="0.3">
      <c r="A312" t="s">
        <v>77</v>
      </c>
      <c r="B312" t="s">
        <v>172</v>
      </c>
    </row>
    <row r="313" spans="1:2" x14ac:dyDescent="0.3">
      <c r="A313" t="s">
        <v>79</v>
      </c>
      <c r="B313" t="s">
        <v>90</v>
      </c>
    </row>
    <row r="314" spans="1:2" x14ac:dyDescent="0.3">
      <c r="A314" t="s">
        <v>132</v>
      </c>
      <c r="B314">
        <f>INDEX('vehicles specifications'!$B$3:$CK$86,MATCH(B309,'vehicles specifications'!$A$3:$A$86,0),MATCH("Lifetime [km]",'vehicles specifications'!$B$2:$CK$2,0))</f>
        <v>39800</v>
      </c>
    </row>
    <row r="315" spans="1:2" x14ac:dyDescent="0.3">
      <c r="A315" t="s">
        <v>133</v>
      </c>
      <c r="B315">
        <f>INDEX('vehicles specifications'!$B$3:$CK$86,MATCH(B309,'vehicles specifications'!$A$3:$A$86,0),MATCH("Passengers [unit]",'vehicles specifications'!$B$2:$CK$2,0))</f>
        <v>1</v>
      </c>
    </row>
    <row r="316" spans="1:2" x14ac:dyDescent="0.3">
      <c r="A316" t="s">
        <v>134</v>
      </c>
      <c r="B316">
        <f>INDEX('vehicles specifications'!$B$3:$CK$86,MATCH(B309,'vehicles specifications'!$A$3:$A$86,0),MATCH("Servicing [unit]",'vehicles specifications'!$B$2:$CK$2,0))</f>
        <v>1</v>
      </c>
    </row>
    <row r="317" spans="1:2" x14ac:dyDescent="0.3">
      <c r="A317" t="s">
        <v>135</v>
      </c>
      <c r="B317">
        <f>INDEX('vehicles specifications'!$B$3:$CK$86,MATCH(B309,'vehicles specifications'!$A$3:$A$86,0),MATCH("Energy battery replacement [unit]",'vehicles specifications'!$B$2:$CK$2,0))</f>
        <v>0</v>
      </c>
    </row>
    <row r="318" spans="1:2" x14ac:dyDescent="0.3">
      <c r="A318" t="s">
        <v>136</v>
      </c>
      <c r="B318">
        <f>INDEX('vehicles specifications'!$B$3:$CK$86,MATCH(B309,'vehicles specifications'!$A$3:$A$86,0),MATCH("Annual kilometers [km]",'vehicles specifications'!$B$2:$CK$2,0))</f>
        <v>2731</v>
      </c>
    </row>
    <row r="319" spans="1:2" x14ac:dyDescent="0.3">
      <c r="A319" t="s">
        <v>137</v>
      </c>
      <c r="B319" s="2">
        <f>INDEX('vehicles specifications'!$B$3:$CK$86,MATCH(B309,'vehicles specifications'!$A$3:$A$86,0),MATCH("Curb mass [kg]",'vehicles specifications'!$B$2:$CK$2,0))</f>
        <v>129.83750000000001</v>
      </c>
    </row>
    <row r="320" spans="1:2" x14ac:dyDescent="0.3">
      <c r="A320" t="s">
        <v>138</v>
      </c>
      <c r="B320">
        <f>INDEX('vehicles specifications'!$B$3:$CK$86,MATCH(B309,'vehicles specifications'!$A$3:$A$86,0),MATCH("Power [kW]",'vehicles specifications'!$B$2:$CK$2,0))</f>
        <v>8.8000000000000007</v>
      </c>
    </row>
    <row r="321" spans="1:8" x14ac:dyDescent="0.3">
      <c r="A321" t="s">
        <v>139</v>
      </c>
      <c r="B321">
        <f>INDEX('vehicles specifications'!$B$3:$CK$86,MATCH(B309,'vehicles specifications'!$A$3:$A$86,0),MATCH("Energy battery mass [kg]",'vehicles specifications'!$B$2:$CK$2,0))</f>
        <v>0</v>
      </c>
    </row>
    <row r="322" spans="1:8" x14ac:dyDescent="0.3">
      <c r="A322" t="s">
        <v>140</v>
      </c>
      <c r="B322">
        <f>INDEX('vehicles specifications'!$B$3:$CK$86,MATCH(B309,'vehicles specifications'!$A$3:$A$86,0),MATCH("Electric energy available [kWh]",'vehicles specifications'!$B$2:$CK$2,0))</f>
        <v>0</v>
      </c>
    </row>
    <row r="323" spans="1:8" x14ac:dyDescent="0.3">
      <c r="A323" t="s">
        <v>143</v>
      </c>
      <c r="B323" s="2">
        <f>INDEX('vehicles specifications'!$B$3:$CK$86,MATCH(B309,'vehicles specifications'!$A$3:$A$86,0),MATCH("Oxydation energy stored [kWh]",'vehicles specifications'!$B$2:$CK$2,0))</f>
        <v>61.833333333333329</v>
      </c>
    </row>
    <row r="324" spans="1:8" x14ac:dyDescent="0.3">
      <c r="A324" t="s">
        <v>145</v>
      </c>
      <c r="B324">
        <f>INDEX('vehicles specifications'!$B$3:$CK$86,MATCH(B309,'vehicles specifications'!$A$3:$A$86,0),MATCH("Fuel mass [kg]",'vehicles specifications'!$B$2:$CK$2,0))</f>
        <v>5.25</v>
      </c>
    </row>
    <row r="325" spans="1:8" x14ac:dyDescent="0.3">
      <c r="A325" t="s">
        <v>141</v>
      </c>
      <c r="B325" s="2">
        <f>INDEX('vehicles specifications'!$B$3:$CK$86,MATCH(B309,'vehicles specifications'!$A$3:$A$86,0),MATCH("Range [km]",'vehicles specifications'!$B$2:$CK$2,0))</f>
        <v>212.46873028686511</v>
      </c>
    </row>
    <row r="326" spans="1:8" x14ac:dyDescent="0.3">
      <c r="A326" t="s">
        <v>142</v>
      </c>
      <c r="B326" t="str">
        <f>INDEX('vehicles specifications'!$B$3:$CK$86,MATCH(B309,'vehicles specifications'!$A$3:$A$86,0),MATCH("Emission standard",'vehicles specifications'!$B$2:$CK$2,0))</f>
        <v>EURO-4</v>
      </c>
    </row>
    <row r="327" spans="1:8" x14ac:dyDescent="0.3">
      <c r="A327" t="s">
        <v>144</v>
      </c>
      <c r="B327" s="6">
        <f>INDEX('vehicles specifications'!$B$3:$CK$86,MATCH(B309,'vehicles specifications'!$A$3:$A$86,0),MATCH("Lightweighting rate [%]",'vehicles specifications'!$B$2:$CK$2,0))</f>
        <v>-0.02</v>
      </c>
    </row>
    <row r="328" spans="1:8" x14ac:dyDescent="0.3">
      <c r="A328"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8.8 kW. Lifetime: 39800 km. Annual kilometers: 2731 km. Number of passengers: 1. Curb mass: 129.8 kg. Lightweighting of glider: -2%. Emission standard: EURO-4. Service visits throughout lifetime: 1. Range: 212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t="s">
        <v>81</v>
      </c>
      <c r="B330" t="s">
        <v>82</v>
      </c>
      <c r="C330" t="s">
        <v>73</v>
      </c>
      <c r="D330" t="s">
        <v>77</v>
      </c>
      <c r="E330" t="s">
        <v>83</v>
      </c>
      <c r="F330" t="s">
        <v>75</v>
      </c>
      <c r="G330" t="s">
        <v>84</v>
      </c>
      <c r="H330" t="s">
        <v>74</v>
      </c>
    </row>
    <row r="331" spans="1:8" x14ac:dyDescent="0.3">
      <c r="A331" s="12" t="str">
        <f>B304</f>
        <v>transport, Scooter, gasoline, 4-11kW, EURO-4, 2016</v>
      </c>
      <c r="B331" s="12">
        <v>1</v>
      </c>
      <c r="C331" s="12" t="str">
        <f>B305</f>
        <v>CH</v>
      </c>
      <c r="D331" s="12" t="s">
        <v>172</v>
      </c>
      <c r="E331" s="12"/>
      <c r="F331" s="12" t="s">
        <v>85</v>
      </c>
      <c r="G331" s="12" t="s">
        <v>86</v>
      </c>
      <c r="H331" s="12" t="str">
        <f>B310</f>
        <v>transport, Scooter, gasoline, 4-11kW, EURO-4</v>
      </c>
    </row>
    <row r="332" spans="1:8" x14ac:dyDescent="0.3">
      <c r="A332" s="12" t="str">
        <f>RIGHT(A331,LEN(A331)-11)</f>
        <v>Scooter, gasoline, 4-11kW, EURO-4, 2016</v>
      </c>
      <c r="B332" s="12">
        <f>1/B314</f>
        <v>2.5125628140703518E-5</v>
      </c>
      <c r="C332" s="12" t="str">
        <f>B305</f>
        <v>CH</v>
      </c>
      <c r="D332" s="12" t="s">
        <v>77</v>
      </c>
      <c r="E332" s="12"/>
      <c r="F332" s="12" t="s">
        <v>91</v>
      </c>
      <c r="G332" s="12"/>
      <c r="H332" s="12" t="str">
        <f>RIGHT(H331,LEN(H331)-11)</f>
        <v>Scooter, gasoline, 4-11kW, EURO-4</v>
      </c>
    </row>
    <row r="333" spans="1:8" s="21" customFormat="1"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1.0946073750000001E-4</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road maintenance</v>
      </c>
      <c r="B334" s="16">
        <f>INDEX('vehicles specifications'!$B$3:$CK$86,MATCH(B309,'vehicles specifications'!$A$3:$A$86,0),MATCH(G334,'vehicles specifications'!$B$2:$CK$2,0))*INDEX('ei names mapping'!$B$137:$BK$220,MATCH(B309,'ei names mapping'!$A$137:$A$220,0),MATCH(G334,'ei names mapping'!$B$136:$BK$136,0))</f>
        <v>1.2899999999999999E-3</v>
      </c>
      <c r="C334" s="12" t="str">
        <f>INDEX('ei names mapping'!$B$38:$R$67,MATCH(B306,'ei names mapping'!$A$4:$A$33,0),MATCH(G334,'ei names mapping'!$B$3:$R$3,0))</f>
        <v>CH</v>
      </c>
      <c r="D334" s="12" t="str">
        <f>INDEX('ei names mapping'!$B$104:$BK$133,MATCH(B306,'ei names mapping'!$A$4:$A$33,0),MATCH(G334,'ei names mapping'!$B$3:$BK$3,0))</f>
        <v>meter-year</v>
      </c>
      <c r="E334" s="12"/>
      <c r="F334" s="12" t="s">
        <v>91</v>
      </c>
      <c r="G334" t="s">
        <v>117</v>
      </c>
      <c r="H334" s="12" t="str">
        <f>INDEX('ei names mapping'!$B$71:$BK$100,MATCH(B306,'ei names mapping'!$A$4:$A$33,0),MATCH(G334,'ei names mapping'!$B$3:$BK$3,0))</f>
        <v>road maintenance</v>
      </c>
    </row>
    <row r="335" spans="1:8" x14ac:dyDescent="0.3">
      <c r="A335" s="12" t="str">
        <f>INDEX('ei names mapping'!$B$4:$R$33,MATCH(B306,'ei names mapping'!$A$4:$A$33,0),MATCH(G335,'ei names mapping'!$B$3:$R$3,0))</f>
        <v>maintenance, motor scooter</v>
      </c>
      <c r="B335" s="16">
        <f>INDEX('vehicles specifications'!$B$3:$CK$86,MATCH(B309,'vehicles specifications'!$A$3:$A$86,0),MATCH(G335,'vehicles specifications'!$B$2:$CK$2,0))*INDEX('ei names mapping'!$B$137:$BK$220,MATCH(B309,'ei names mapping'!$A$137:$A$220,0),MATCH(G335,'ei names mapping'!$B$136:$BK$136,0))</f>
        <v>2.5125628140703518E-5</v>
      </c>
      <c r="C335" s="12" t="str">
        <f>INDEX('ei names mapping'!$B$38:$BK$67,MATCH(B306,'ei names mapping'!$A$4:$A$33,0),MATCH(G335,'ei names mapping'!$B$3:$BK$3,0))</f>
        <v>CH</v>
      </c>
      <c r="D335" s="12" t="str">
        <f>INDEX('ei names mapping'!$B$104:$BK$133,MATCH(B306,'ei names mapping'!$A$4:$A$33,0),MATCH(G335,'ei names mapping'!$B$3:$BK$3,0))</f>
        <v>unit</v>
      </c>
      <c r="F335" s="12" t="s">
        <v>91</v>
      </c>
      <c r="G335" s="12" t="s">
        <v>123</v>
      </c>
      <c r="H335" s="12" t="str">
        <f>INDEX('ei names mapping'!$B$71:$BK$100,MATCH(B306,'ei names mapping'!$A$4:$A$33,0),MATCH(G335,'ei names mapping'!$B$3:$BK$3,0))</f>
        <v>maintenance, motor scooter</v>
      </c>
    </row>
    <row r="336" spans="1:8" x14ac:dyDescent="0.3">
      <c r="A336" s="12" t="str">
        <f>INDEX('ei names mapping'!$B$4:$R$33,MATCH(B306,'ei names mapping'!$A$4:$A$33,0),MATCH(G336,'ei names mapping'!$B$3:$R$3,0))</f>
        <v>petrol blending for two-stroke engines</v>
      </c>
      <c r="B336" s="16">
        <f>INDEX('vehicles specifications'!$B$3:$CK$86,MATCH(B309,'vehicles specifications'!$A$3:$A$86,0),MATCH(G336,'vehicles specifications'!$B$2:$CK$2,0))*INDEX('ei names mapping'!$B$137:$BK$220,MATCH(B309,'ei names mapping'!$A$137:$A$220,0),MATCH(G336,'ei names mapping'!$B$136:$BK$136,0))</f>
        <v>2.4709518397891782E-2</v>
      </c>
      <c r="C336" s="12" t="str">
        <f>INDEX('ei names mapping'!$B$38:$BK$67,MATCH(B306,'ei names mapping'!$A$4:$A$33,0),MATCH(G336,'ei names mapping'!$B$3:$BK$3,0))</f>
        <v>CH</v>
      </c>
      <c r="D336" s="12" t="str">
        <f>INDEX('ei names mapping'!$B$104:$BK$133,MATCH(B306,'ei names mapping'!$A$4:$A$33,0),MATCH(G336,'ei names mapping'!$B$3:$BK$3,0))</f>
        <v>kilogram</v>
      </c>
      <c r="F336" s="12" t="s">
        <v>91</v>
      </c>
      <c r="G336" s="12" t="s">
        <v>27</v>
      </c>
      <c r="H336" s="12" t="str">
        <f>INDEX('ei names mapping'!$B$71:$BK$100,MATCH(B306,'ei names mapping'!$A$4:$A$33,0),MATCH(G336,'ei names mapping'!$B$3:$BK$3,0))</f>
        <v>petrol, two-stroke blend</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7.8576268505295865E-2</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3.9535229436626849E-7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6.3701440717008236E-5</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2.8884122543618082E-5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3.054202404125436E-3</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1.465455227986712E-6</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1.465455227986712E-6</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1.0989552634931646E-4</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8.416109374327685E-6</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s="21" customFormat="1"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5.1369931872325368E-4</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s="21" customFormat="1"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3.6222387858690965E-5</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s="21" customFormat="1"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7.3807373379777832E-6</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s="21" customFormat="1"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5.9500097924620903E-5</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s="21" customFormat="1"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2.4413208117926513E-5</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s="21" customFormat="1"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1.8281518637144973E-5</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s="21" customFormat="1"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1.2944677792761034E-5</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s="21" customFormat="1"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8.4026855847747068E-6</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s="21" customFormat="1"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8.2891357795750482E-5</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s="21" customFormat="1"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4.3376025586269431E-5</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s="21" customFormat="1"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1.2490478571962403E-6</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s="21" customFormat="1"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1.246776861092247E-4</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s="21" customFormat="1"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6.1657544223414404E-5</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s="21" customFormat="1"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2.566225597512275E-5</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s="21" customFormat="1"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1.9303466883941896E-5</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s="21" customFormat="1"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8.5162353899743643E-6</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s="21" customFormat="1"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2.4980957143924805E-6</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s="21" customFormat="1"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6.9265381171791515E-6</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s="21" customFormat="1"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s="21" customFormat="1"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2.1574462987935059E-6</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s="21" customFormat="1"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1.1468530325165477E-5</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s="21" customFormat="1"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3.6459388586457277E-8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s="21" customFormat="1"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3.1430507402118343E-10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s="21" customFormat="1"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2.095367160141223E-10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s="21" customFormat="1"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2.262996532952521E-6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s="21" customFormat="1"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4.4002710362965682E-8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s="21" customFormat="1"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1.3619886540917949E-8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s="21" customFormat="1"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1.6762937281129788E-8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s="21" customFormat="1"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3.3525874562259564E-11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s="21" customFormat="1"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9.1148471466143193E-9</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s="21" customFormat="1"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1.1314982664762604E-8</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-6.3939999999999993E-6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-6.1789999999999996E-6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Scooter, gasoline, 4-11kW, EURO-5, 2020</v>
      </c>
    </row>
    <row r="382" spans="1:8" x14ac:dyDescent="0.3">
      <c r="A382" t="s">
        <v>73</v>
      </c>
      <c r="B382" t="s">
        <v>37</v>
      </c>
    </row>
    <row r="383" spans="1:8" x14ac:dyDescent="0.3">
      <c r="A383" t="s">
        <v>87</v>
      </c>
      <c r="B383" t="s">
        <v>638</v>
      </c>
    </row>
    <row r="384" spans="1:8" x14ac:dyDescent="0.3">
      <c r="A384" t="s">
        <v>88</v>
      </c>
      <c r="B384" s="12"/>
    </row>
    <row r="385" spans="1:2" x14ac:dyDescent="0.3">
      <c r="A385" t="s">
        <v>89</v>
      </c>
      <c r="B385" s="12">
        <v>2020</v>
      </c>
    </row>
    <row r="386" spans="1:2" x14ac:dyDescent="0.3">
      <c r="A386" t="s">
        <v>131</v>
      </c>
      <c r="B386" s="12" t="str">
        <f>B383&amp;" - "&amp;B385&amp;" - "&amp;B382</f>
        <v>Scooter, gasoline, 4-11kW, EURO-5 - 2020 - CH</v>
      </c>
    </row>
    <row r="387" spans="1:2" x14ac:dyDescent="0.3">
      <c r="A387" t="s">
        <v>74</v>
      </c>
      <c r="B387" s="12" t="str">
        <f>"transport, "&amp;B383</f>
        <v>transport, Scooter, gasoline, 4-11kW, EURO-5</v>
      </c>
    </row>
    <row r="388" spans="1:2" x14ac:dyDescent="0.3">
      <c r="A388" t="s">
        <v>75</v>
      </c>
      <c r="B388" t="s">
        <v>76</v>
      </c>
    </row>
    <row r="389" spans="1:2" x14ac:dyDescent="0.3">
      <c r="A389" t="s">
        <v>77</v>
      </c>
      <c r="B389" t="s">
        <v>172</v>
      </c>
    </row>
    <row r="390" spans="1:2" x14ac:dyDescent="0.3">
      <c r="A390" t="s">
        <v>79</v>
      </c>
      <c r="B390" t="s">
        <v>90</v>
      </c>
    </row>
    <row r="391" spans="1:2" x14ac:dyDescent="0.3">
      <c r="A391" t="s">
        <v>132</v>
      </c>
      <c r="B391">
        <f>INDEX('vehicles specifications'!$B$3:$CK$86,MATCH(B386,'vehicles specifications'!$A$3:$A$86,0),MATCH("Lifetime [km]",'vehicles specifications'!$B$2:$CK$2,0))</f>
        <v>39800</v>
      </c>
    </row>
    <row r="392" spans="1:2" x14ac:dyDescent="0.3">
      <c r="A392" t="s">
        <v>133</v>
      </c>
      <c r="B392">
        <f>INDEX('vehicles specifications'!$B$3:$CK$86,MATCH(B386,'vehicles specifications'!$A$3:$A$86,0),MATCH("Passengers [unit]",'vehicles specifications'!$B$2:$CK$2,0))</f>
        <v>1</v>
      </c>
    </row>
    <row r="393" spans="1:2" x14ac:dyDescent="0.3">
      <c r="A393" t="s">
        <v>134</v>
      </c>
      <c r="B393">
        <f>INDEX('vehicles specifications'!$B$3:$CK$86,MATCH(B386,'vehicles specifications'!$A$3:$A$86,0),MATCH("Servicing [unit]",'vehicles specifications'!$B$2:$CK$2,0))</f>
        <v>1</v>
      </c>
    </row>
    <row r="394" spans="1:2" x14ac:dyDescent="0.3">
      <c r="A394" t="s">
        <v>135</v>
      </c>
      <c r="B394">
        <f>INDEX('vehicles specifications'!$B$3:$CK$86,MATCH(B386,'vehicles specifications'!$A$3:$A$86,0),MATCH("Energy battery replacement [unit]",'vehicles specifications'!$B$2:$CK$2,0))</f>
        <v>0</v>
      </c>
    </row>
    <row r="395" spans="1:2" x14ac:dyDescent="0.3">
      <c r="A395" t="s">
        <v>136</v>
      </c>
      <c r="B395">
        <f>INDEX('vehicles specifications'!$B$3:$CK$86,MATCH(B386,'vehicles specifications'!$A$3:$A$86,0),MATCH("Annual kilometers [km]",'vehicles specifications'!$B$2:$CK$2,0))</f>
        <v>2731</v>
      </c>
    </row>
    <row r="396" spans="1:2" x14ac:dyDescent="0.3">
      <c r="A396" t="s">
        <v>137</v>
      </c>
      <c r="B396" s="2">
        <f>INDEX('vehicles specifications'!$B$3:$CK$86,MATCH(B386,'vehicles specifications'!$A$3:$A$86,0),MATCH("Curb mass [kg]",'vehicles specifications'!$B$2:$CK$2,0))</f>
        <v>128.03749999999999</v>
      </c>
    </row>
    <row r="397" spans="1:2" x14ac:dyDescent="0.3">
      <c r="A397" t="s">
        <v>138</v>
      </c>
      <c r="B397">
        <f>INDEX('vehicles specifications'!$B$3:$CK$86,MATCH(B386,'vehicles specifications'!$A$3:$A$86,0),MATCH("Power [kW]",'vehicles specifications'!$B$2:$CK$2,0))</f>
        <v>8.8000000000000007</v>
      </c>
    </row>
    <row r="398" spans="1:2" x14ac:dyDescent="0.3">
      <c r="A398" t="s">
        <v>139</v>
      </c>
      <c r="B398">
        <f>INDEX('vehicles specifications'!$B$3:$CK$86,MATCH(B386,'vehicles specifications'!$A$3:$A$86,0),MATCH("Energy battery mass [kg]",'vehicles specifications'!$B$2:$CK$2,0))</f>
        <v>0</v>
      </c>
    </row>
    <row r="399" spans="1:2" x14ac:dyDescent="0.3">
      <c r="A399" t="s">
        <v>140</v>
      </c>
      <c r="B399">
        <f>INDEX('vehicles specifications'!$B$3:$CK$86,MATCH(B386,'vehicles specifications'!$A$3:$A$86,0),MATCH("Electric energy available [kWh]",'vehicles specifications'!$B$2:$CK$2,0))</f>
        <v>0</v>
      </c>
    </row>
    <row r="400" spans="1:2" x14ac:dyDescent="0.3">
      <c r="A400" t="s">
        <v>143</v>
      </c>
      <c r="B400" s="2">
        <f>INDEX('vehicles specifications'!$B$3:$CK$86,MATCH(B386,'vehicles specifications'!$A$3:$A$86,0),MATCH("Oxydation energy stored [kWh]",'vehicles specifications'!$B$2:$CK$2,0))</f>
        <v>61.833333333333329</v>
      </c>
    </row>
    <row r="401" spans="1:8" x14ac:dyDescent="0.3">
      <c r="A401" t="s">
        <v>145</v>
      </c>
      <c r="B401">
        <f>INDEX('vehicles specifications'!$B$3:$CK$86,MATCH(B386,'vehicles specifications'!$A$3:$A$86,0),MATCH("Fuel mass [kg]",'vehicles specifications'!$B$2:$CK$2,0))</f>
        <v>5.25</v>
      </c>
    </row>
    <row r="402" spans="1:8" x14ac:dyDescent="0.3">
      <c r="A402" t="s">
        <v>141</v>
      </c>
      <c r="B402" s="2">
        <f>INDEX('vehicles specifications'!$B$3:$CK$86,MATCH(B386,'vehicles specifications'!$A$3:$A$86,0),MATCH("Range [km]",'vehicles specifications'!$B$2:$CK$2,0))</f>
        <v>214.61487907764152</v>
      </c>
    </row>
    <row r="403" spans="1:8" x14ac:dyDescent="0.3">
      <c r="A403" t="s">
        <v>142</v>
      </c>
      <c r="B403" t="str">
        <f>INDEX('vehicles specifications'!$B$3:$CK$86,MATCH(B386,'vehicles specifications'!$A$3:$A$86,0),MATCH("Emission standard",'vehicles specifications'!$B$2:$CK$2,0))</f>
        <v>EURO-5</v>
      </c>
    </row>
    <row r="404" spans="1:8" x14ac:dyDescent="0.3">
      <c r="A404" t="s">
        <v>144</v>
      </c>
      <c r="B404" s="6">
        <f>INDEX('vehicles specifications'!$B$3:$CK$86,MATCH(B386,'vehicles specifications'!$A$3:$A$86,0),MATCH("Lightweighting rate [%]",'vehicles specifications'!$B$2:$CK$2,0))</f>
        <v>0</v>
      </c>
    </row>
    <row r="405" spans="1:8" x14ac:dyDescent="0.3">
      <c r="A405"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8.8 kW. Lifetime: 39800 km. Annual kilometers: 2731 km. Number of passengers: 1. Curb mass: 128 kg. Lightweighting of glider: 0%. Emission standard: EURO-5. Service visits throughout lifetime: 1. Range: 215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t="s">
        <v>81</v>
      </c>
      <c r="B407" t="s">
        <v>82</v>
      </c>
      <c r="C407" t="s">
        <v>73</v>
      </c>
      <c r="D407" t="s">
        <v>77</v>
      </c>
      <c r="E407" t="s">
        <v>83</v>
      </c>
      <c r="F407" t="s">
        <v>75</v>
      </c>
      <c r="G407" t="s">
        <v>84</v>
      </c>
      <c r="H407" t="s">
        <v>74</v>
      </c>
    </row>
    <row r="408" spans="1:8" x14ac:dyDescent="0.3">
      <c r="A408" s="12" t="str">
        <f>B381</f>
        <v>transport, Scooter, gasoline, 4-11kW, EURO-5, 2020</v>
      </c>
      <c r="B408" s="12">
        <v>1</v>
      </c>
      <c r="C408" s="12" t="str">
        <f>B382</f>
        <v>CH</v>
      </c>
      <c r="D408" s="12" t="s">
        <v>172</v>
      </c>
      <c r="E408" s="12"/>
      <c r="F408" s="12" t="s">
        <v>85</v>
      </c>
      <c r="G408" s="12" t="s">
        <v>86</v>
      </c>
      <c r="H408" s="12" t="str">
        <f>B387</f>
        <v>transport, Scooter, gasoline, 4-11kW, EURO-5</v>
      </c>
    </row>
    <row r="409" spans="1:8" x14ac:dyDescent="0.3">
      <c r="A409" s="12" t="str">
        <f>RIGHT(A408,LEN(A408)-11)</f>
        <v>Scooter, gasoline, 4-11kW, EURO-5, 2020</v>
      </c>
      <c r="B409" s="12">
        <f>1/B391</f>
        <v>2.5125628140703518E-5</v>
      </c>
      <c r="C409" s="12" t="str">
        <f>B382</f>
        <v>CH</v>
      </c>
      <c r="D409" s="12" t="s">
        <v>77</v>
      </c>
      <c r="E409" s="12"/>
      <c r="F409" s="12" t="s">
        <v>91</v>
      </c>
      <c r="G409" s="12"/>
      <c r="H409" s="12" t="str">
        <f>RIGHT(H408,LEN(H408)-11)</f>
        <v>Scooter, gasoline, 4-11kW, EURO-5</v>
      </c>
    </row>
    <row r="410" spans="1:8" s="21" customFormat="1"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1.084941375E-4</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road maintenance</v>
      </c>
      <c r="B411" s="16">
        <f>INDEX('vehicles specifications'!$B$3:$CK$86,MATCH(B386,'vehicles specifications'!$A$3:$A$86,0),MATCH(G411,'vehicles specifications'!$B$2:$CK$2,0))*INDEX('ei names mapping'!$B$137:$BK$220,MATCH(B386,'ei names mapping'!$A$137:$A$220,0),MATCH(G411,'ei names mapping'!$B$136:$BK$136,0))</f>
        <v>1.2899999999999999E-3</v>
      </c>
      <c r="C411" s="12" t="str">
        <f>INDEX('ei names mapping'!$B$38:$R$67,MATCH(B383,'ei names mapping'!$A$4:$A$33,0),MATCH(G411,'ei names mapping'!$B$3:$R$3,0))</f>
        <v>CH</v>
      </c>
      <c r="D411" s="12" t="str">
        <f>INDEX('ei names mapping'!$B$104:$BK$133,MATCH(B383,'ei names mapping'!$A$4:$A$33,0),MATCH(G411,'ei names mapping'!$B$3:$BK$3,0))</f>
        <v>meter-year</v>
      </c>
      <c r="E411" s="12"/>
      <c r="F411" s="12" t="s">
        <v>91</v>
      </c>
      <c r="G411" t="s">
        <v>117</v>
      </c>
      <c r="H411" s="12" t="str">
        <f>INDEX('ei names mapping'!$B$71:$BK$100,MATCH(B383,'ei names mapping'!$A$4:$A$33,0),MATCH(G411,'ei names mapping'!$B$3:$BK$3,0))</f>
        <v>road maintenance</v>
      </c>
    </row>
    <row r="412" spans="1:8" x14ac:dyDescent="0.3">
      <c r="A412" s="12" t="str">
        <f>INDEX('ei names mapping'!$B$4:$R$33,MATCH(B383,'ei names mapping'!$A$4:$A$33,0),MATCH(G412,'ei names mapping'!$B$3:$R$3,0))</f>
        <v>maintenance, motor scooter</v>
      </c>
      <c r="B412" s="16">
        <f>INDEX('vehicles specifications'!$B$3:$CK$86,MATCH(B386,'vehicles specifications'!$A$3:$A$86,0),MATCH(G412,'vehicles specifications'!$B$2:$CK$2,0))*INDEX('ei names mapping'!$B$137:$BK$220,MATCH(B386,'ei names mapping'!$A$137:$A$220,0),MATCH(G412,'ei names mapping'!$B$136:$BK$136,0))</f>
        <v>2.5125628140703518E-5</v>
      </c>
      <c r="C412" s="12" t="str">
        <f>INDEX('ei names mapping'!$B$38:$BK$67,MATCH(B383,'ei names mapping'!$A$4:$A$33,0),MATCH(G412,'ei names mapping'!$B$3:$BK$3,0))</f>
        <v>CH</v>
      </c>
      <c r="D412" s="12" t="str">
        <f>INDEX('ei names mapping'!$B$104:$BK$133,MATCH(B383,'ei names mapping'!$A$4:$A$33,0),MATCH(G412,'ei names mapping'!$B$3:$BK$3,0))</f>
        <v>unit</v>
      </c>
      <c r="F412" s="12" t="s">
        <v>91</v>
      </c>
      <c r="G412" s="12" t="s">
        <v>123</v>
      </c>
      <c r="H412" s="12" t="str">
        <f>INDEX('ei names mapping'!$B$71:$BK$100,MATCH(B383,'ei names mapping'!$A$4:$A$33,0),MATCH(G412,'ei names mapping'!$B$3:$BK$3,0))</f>
        <v>maintenance, motor scooter</v>
      </c>
    </row>
    <row r="413" spans="1:8" x14ac:dyDescent="0.3">
      <c r="A413" s="12" t="str">
        <f>INDEX('ei names mapping'!$B$4:$R$33,MATCH(B383,'ei names mapping'!$A$4:$A$33,0),MATCH(G413,'ei names mapping'!$B$3:$R$3,0))</f>
        <v>petrol blending for two-stroke engines</v>
      </c>
      <c r="B413" s="16">
        <f>INDEX('vehicles specifications'!$B$3:$CK$86,MATCH(B386,'vehicles specifications'!$A$3:$A$86,0),MATCH(G413,'vehicles specifications'!$B$2:$CK$2,0))*INDEX('ei names mapping'!$B$137:$BK$220,MATCH(B386,'ei names mapping'!$A$137:$A$220,0),MATCH(G413,'ei names mapping'!$B$136:$BK$136,0))</f>
        <v>2.4462423213912864E-2</v>
      </c>
      <c r="C413" s="12" t="str">
        <f>INDEX('ei names mapping'!$B$38:$BK$67,MATCH(B383,'ei names mapping'!$A$4:$A$33,0),MATCH(G413,'ei names mapping'!$B$3:$BK$3,0))</f>
        <v>CH</v>
      </c>
      <c r="D413" s="12" t="str">
        <f>INDEX('ei names mapping'!$B$104:$BK$133,MATCH(B383,'ei names mapping'!$A$4:$A$33,0),MATCH(G413,'ei names mapping'!$B$3:$BK$3,0))</f>
        <v>kilogram</v>
      </c>
      <c r="F413" s="12" t="s">
        <v>91</v>
      </c>
      <c r="G413" s="12" t="s">
        <v>27</v>
      </c>
      <c r="H413" s="12" t="str">
        <f>INDEX('ei names mapping'!$B$71:$BK$100,MATCH(B383,'ei names mapping'!$A$4:$A$33,0),MATCH(G413,'ei names mapping'!$B$3:$BK$3,0))</f>
        <v>petrol, two-stroke blend</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7.7790505820242911E-2</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3.9139877142260582E-7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6.3064426309838157E-5</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2.8595281318181901E-5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3.0236603800841816E-3</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1.4508006757068449E-6</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1.4508006757068449E-6</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1.0879657108582329E-4</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8.3319482805844091E-6</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s="21" customFormat="1"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5.0856232553602115E-4</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s="21" customFormat="1"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3.5860163980104051E-5</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s="21" customFormat="1"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7.3069299645980046E-6</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s="21" customFormat="1"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5.8905096945374687E-5</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s="21" customFormat="1"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2.4169076036747247E-5</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s="21" customFormat="1"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1.8098703450773521E-5</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s="21" customFormat="1"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1.2815231014833424E-5</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s="21" customFormat="1"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8.3186587289269597E-6</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s="21" customFormat="1"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8.2062444217792976E-5</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s="21" customFormat="1"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4.2942265330406731E-5</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s="21" customFormat="1"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1.2365573786242778E-6</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s="21" customFormat="1"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1.2343090924813246E-4</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s="21" customFormat="1"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6.1040968781180262E-5</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s="21" customFormat="1"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2.5405633415371523E-5</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s="21" customFormat="1"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1.9110432215102475E-5</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s="21" customFormat="1"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8.4310730360746207E-6</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s="21" customFormat="1"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2.4731147572485556E-6</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s="21" customFormat="1"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6.8572727360073596E-6</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s="21" customFormat="1"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s="21" customFormat="1"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2.1358718358055709E-6</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s="21" customFormat="1"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1.1353845021913823E-5</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s="21" customFormat="1"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3.6094794700592704E-8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s="21" customFormat="1"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3.1116202328097162E-10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s="21" customFormat="1"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2.0744134885398107E-10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s="21" customFormat="1"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2.2403665676229954E-6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s="21" customFormat="1"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4.3562683259336024E-8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s="21" customFormat="1"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1.348368767550877E-8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s="21" customFormat="1"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1.659530790831849E-8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s="21" customFormat="1"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3.3190615816636971E-11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s="21" customFormat="1"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9.0236986751481759E-9</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s="21" customFormat="1"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1.1201832838114978E-8</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-6.3939999999999993E-6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-6.1789999999999996E-6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Scooter, gasoline, 4-11kW, EURO-5, 2030</v>
      </c>
    </row>
    <row r="459" spans="1:8" x14ac:dyDescent="0.3">
      <c r="A459" t="s">
        <v>73</v>
      </c>
      <c r="B459" t="s">
        <v>37</v>
      </c>
    </row>
    <row r="460" spans="1:8" x14ac:dyDescent="0.3">
      <c r="A460" t="s">
        <v>87</v>
      </c>
      <c r="B460" t="s">
        <v>638</v>
      </c>
    </row>
    <row r="461" spans="1:8" x14ac:dyDescent="0.3">
      <c r="A461" t="s">
        <v>88</v>
      </c>
      <c r="B461" s="12"/>
    </row>
    <row r="462" spans="1:8" x14ac:dyDescent="0.3">
      <c r="A462" t="s">
        <v>89</v>
      </c>
      <c r="B462" s="12">
        <v>2030</v>
      </c>
    </row>
    <row r="463" spans="1:8" x14ac:dyDescent="0.3">
      <c r="A463" t="s">
        <v>131</v>
      </c>
      <c r="B463" s="12" t="str">
        <f>B460&amp;" - "&amp;B462&amp;" - "&amp;B459</f>
        <v>Scooter, gasoline, 4-11kW, EURO-5 - 2030 - CH</v>
      </c>
    </row>
    <row r="464" spans="1:8" x14ac:dyDescent="0.3">
      <c r="A464" t="s">
        <v>74</v>
      </c>
      <c r="B464" s="12" t="str">
        <f>"transport, "&amp;B460</f>
        <v>transport, Scooter, gasoline, 4-11kW, EURO-5</v>
      </c>
    </row>
    <row r="465" spans="1:2" x14ac:dyDescent="0.3">
      <c r="A465" t="s">
        <v>75</v>
      </c>
      <c r="B465" t="s">
        <v>76</v>
      </c>
    </row>
    <row r="466" spans="1:2" x14ac:dyDescent="0.3">
      <c r="A466" t="s">
        <v>77</v>
      </c>
      <c r="B466" t="s">
        <v>172</v>
      </c>
    </row>
    <row r="467" spans="1:2" x14ac:dyDescent="0.3">
      <c r="A467" t="s">
        <v>79</v>
      </c>
      <c r="B467" t="s">
        <v>90</v>
      </c>
    </row>
    <row r="468" spans="1:2" x14ac:dyDescent="0.3">
      <c r="A468" t="s">
        <v>132</v>
      </c>
      <c r="B468">
        <f>INDEX('vehicles specifications'!$B$3:$CK$86,MATCH(B463,'vehicles specifications'!$A$3:$A$86,0),MATCH("Lifetime [km]",'vehicles specifications'!$B$2:$CK$2,0))</f>
        <v>39800</v>
      </c>
    </row>
    <row r="469" spans="1:2" x14ac:dyDescent="0.3">
      <c r="A469" t="s">
        <v>133</v>
      </c>
      <c r="B469">
        <f>INDEX('vehicles specifications'!$B$3:$CK$86,MATCH(B463,'vehicles specifications'!$A$3:$A$86,0),MATCH("Passengers [unit]",'vehicles specifications'!$B$2:$CK$2,0))</f>
        <v>1</v>
      </c>
    </row>
    <row r="470" spans="1:2" x14ac:dyDescent="0.3">
      <c r="A470" t="s">
        <v>134</v>
      </c>
      <c r="B470">
        <f>INDEX('vehicles specifications'!$B$3:$CK$86,MATCH(B463,'vehicles specifications'!$A$3:$A$86,0),MATCH("Servicing [unit]",'vehicles specifications'!$B$2:$CK$2,0))</f>
        <v>1</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2731</v>
      </c>
    </row>
    <row r="473" spans="1:2" x14ac:dyDescent="0.3">
      <c r="A473" t="s">
        <v>137</v>
      </c>
      <c r="B473" s="2">
        <f>INDEX('vehicles specifications'!$B$3:$CK$86,MATCH(B463,'vehicles specifications'!$A$3:$A$86,0),MATCH("Curb mass [kg]",'vehicles specifications'!$B$2:$CK$2,0))</f>
        <v>124.33749999999999</v>
      </c>
    </row>
    <row r="474" spans="1:2" x14ac:dyDescent="0.3">
      <c r="A474" t="s">
        <v>138</v>
      </c>
      <c r="B474">
        <f>INDEX('vehicles specifications'!$B$3:$CK$86,MATCH(B463,'vehicles specifications'!$A$3:$A$86,0),MATCH("Power [kW]",'vehicles specifications'!$B$2:$CK$2,0))</f>
        <v>8.8000000000000007</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s="2">
        <f>INDEX('vehicles specifications'!$B$3:$CK$86,MATCH(B463,'vehicles specifications'!$A$3:$A$86,0),MATCH("Oxydation energy stored [kWh]",'vehicles specifications'!$B$2:$CK$2,0))</f>
        <v>61.833333333333329</v>
      </c>
    </row>
    <row r="478" spans="1:2" x14ac:dyDescent="0.3">
      <c r="A478" t="s">
        <v>145</v>
      </c>
      <c r="B478">
        <f>INDEX('vehicles specifications'!$B$3:$CK$86,MATCH(B463,'vehicles specifications'!$A$3:$A$86,0),MATCH("Fuel mass [kg]",'vehicles specifications'!$B$2:$CK$2,0))</f>
        <v>5.25</v>
      </c>
    </row>
    <row r="479" spans="1:2" x14ac:dyDescent="0.3">
      <c r="A479" t="s">
        <v>141</v>
      </c>
      <c r="B479" s="2">
        <f>INDEX('vehicles specifications'!$B$3:$CK$86,MATCH(B463,'vehicles specifications'!$A$3:$A$86,0),MATCH("Range [km]",'vehicles specifications'!$B$2:$CK$2,0))</f>
        <v>216.78270613903183</v>
      </c>
    </row>
    <row r="480" spans="1:2" x14ac:dyDescent="0.3">
      <c r="A480" t="s">
        <v>142</v>
      </c>
      <c r="B480" t="str">
        <f>INDEX('vehicles specifications'!$B$3:$CK$86,MATCH(B463,'vehicles specifications'!$A$3:$A$86,0),MATCH("Emission standard",'vehicles specifications'!$B$2:$CK$2,0))</f>
        <v>EURO-5</v>
      </c>
    </row>
    <row r="481" spans="1:8" x14ac:dyDescent="0.3">
      <c r="A481" t="s">
        <v>144</v>
      </c>
      <c r="B481" s="6">
        <f>INDEX('vehicles specifications'!$B$3:$CK$86,MATCH(B463,'vehicles specifications'!$A$3:$A$86,0),MATCH("Lightweighting rate [%]",'vehicles specifications'!$B$2:$CK$2,0))</f>
        <v>0.03</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8.8 kW. Lifetime: 39800 km. Annual kilometers: 2731 km. Number of passengers: 1. Curb mass: 124.3 kg. Lightweighting of glider: 3%. Emission standard: EURO-5. Service visits throughout lifetime: 1. Range: 217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Scooter, gasoline, 4-11kW, EURO-5, 2030</v>
      </c>
      <c r="B485" s="12">
        <v>1</v>
      </c>
      <c r="C485" s="12" t="str">
        <f>B459</f>
        <v>CH</v>
      </c>
      <c r="D485" s="12" t="s">
        <v>172</v>
      </c>
      <c r="E485" s="12"/>
      <c r="F485" s="12" t="s">
        <v>85</v>
      </c>
      <c r="G485" s="12" t="s">
        <v>86</v>
      </c>
      <c r="H485" s="12" t="str">
        <f>B464</f>
        <v>transport, Scooter, gasoline, 4-11kW, EURO-5</v>
      </c>
    </row>
    <row r="486" spans="1:8" x14ac:dyDescent="0.3">
      <c r="A486" s="12" t="str">
        <f>RIGHT(A485,LEN(A485)-11)</f>
        <v>Scooter, gasoline, 4-11kW, EURO-5, 2030</v>
      </c>
      <c r="B486" s="12">
        <f>1/B468</f>
        <v>2.5125628140703518E-5</v>
      </c>
      <c r="C486" s="12" t="str">
        <f>B459</f>
        <v>CH</v>
      </c>
      <c r="D486" s="12" t="s">
        <v>77</v>
      </c>
      <c r="E486" s="12"/>
      <c r="F486" s="12" t="s">
        <v>91</v>
      </c>
      <c r="G486" s="12"/>
      <c r="H486" s="12" t="str">
        <f>RIGHT(H485,LEN(H485)-11)</f>
        <v>Scooter, gasoline, 4-11kW, EURO-5</v>
      </c>
    </row>
    <row r="487" spans="1:8" s="21" customFormat="1"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1.0650723749999999E-4</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road maintenance</v>
      </c>
      <c r="B488" s="16">
        <f>INDEX('vehicles specifications'!$B$3:$CK$86,MATCH(B463,'vehicles specifications'!$A$3:$A$86,0),MATCH(G488,'vehicles specifications'!$B$2:$CK$2,0))*INDEX('ei names mapping'!$B$137:$BK$220,MATCH(B463,'ei names mapping'!$A$137:$A$220,0),MATCH(G488,'ei names mapping'!$B$136:$BK$136,0))</f>
        <v>1.2899999999999999E-3</v>
      </c>
      <c r="C488" s="12" t="str">
        <f>INDEX('ei names mapping'!$B$38:$R$67,MATCH(B460,'ei names mapping'!$A$4:$A$33,0),MATCH(G488,'ei names mapping'!$B$3:$R$3,0))</f>
        <v>CH</v>
      </c>
      <c r="D488" s="12" t="str">
        <f>INDEX('ei names mapping'!$B$104:$BK$133,MATCH(B460,'ei names mapping'!$A$4:$A$33,0),MATCH(G488,'ei names mapping'!$B$3:$BK$3,0))</f>
        <v>meter-year</v>
      </c>
      <c r="E488" s="12"/>
      <c r="F488" s="12" t="s">
        <v>91</v>
      </c>
      <c r="G488" t="s">
        <v>117</v>
      </c>
      <c r="H488" s="12" t="str">
        <f>INDEX('ei names mapping'!$B$71:$BK$100,MATCH(B460,'ei names mapping'!$A$4:$A$33,0),MATCH(G488,'ei names mapping'!$B$3:$BK$3,0))</f>
        <v>road maintenance</v>
      </c>
    </row>
    <row r="489" spans="1:8" x14ac:dyDescent="0.3">
      <c r="A489" s="12" t="str">
        <f>INDEX('ei names mapping'!$B$4:$R$33,MATCH(B460,'ei names mapping'!$A$4:$A$33,0),MATCH(G489,'ei names mapping'!$B$3:$R$3,0))</f>
        <v>maintenance, motor scooter</v>
      </c>
      <c r="B489" s="16">
        <f>INDEX('vehicles specifications'!$B$3:$CK$86,MATCH(B463,'vehicles specifications'!$A$3:$A$86,0),MATCH(G489,'vehicles specifications'!$B$2:$CK$2,0))*INDEX('ei names mapping'!$B$137:$BK$220,MATCH(B463,'ei names mapping'!$A$137:$A$220,0),MATCH(G489,'ei names mapping'!$B$136:$BK$136,0))</f>
        <v>2.5125628140703518E-5</v>
      </c>
      <c r="C489" s="12" t="str">
        <f>INDEX('ei names mapping'!$B$38:$BK$67,MATCH(B460,'ei names mapping'!$A$4:$A$33,0),MATCH(G489,'ei names mapping'!$B$3:$BK$3,0))</f>
        <v>CH</v>
      </c>
      <c r="D489" s="12" t="str">
        <f>INDEX('ei names mapping'!$B$104:$BK$133,MATCH(B460,'ei names mapping'!$A$4:$A$33,0),MATCH(G489,'ei names mapping'!$B$3:$BK$3,0))</f>
        <v>unit</v>
      </c>
      <c r="F489" s="12" t="s">
        <v>91</v>
      </c>
      <c r="G489" s="12" t="s">
        <v>123</v>
      </c>
      <c r="H489" s="12" t="str">
        <f>INDEX('ei names mapping'!$B$71:$BK$100,MATCH(B460,'ei names mapping'!$A$4:$A$33,0),MATCH(G489,'ei names mapping'!$B$3:$BK$3,0))</f>
        <v>maintenance, motor scooter</v>
      </c>
    </row>
    <row r="490" spans="1:8" x14ac:dyDescent="0.3">
      <c r="A490" s="12" t="str">
        <f>INDEX('ei names mapping'!$B$4:$R$33,MATCH(B460,'ei names mapping'!$A$4:$A$33,0),MATCH(G490,'ei names mapping'!$B$3:$R$3,0))</f>
        <v>petrol blending for two-stroke engines</v>
      </c>
      <c r="B490" s="16">
        <f>INDEX('vehicles specifications'!$B$3:$CK$86,MATCH(B463,'vehicles specifications'!$A$3:$A$86,0),MATCH(G490,'vehicles specifications'!$B$2:$CK$2,0))*INDEX('ei names mapping'!$B$137:$BK$220,MATCH(B463,'ei names mapping'!$A$137:$A$220,0),MATCH(G490,'ei names mapping'!$B$136:$BK$136,0))</f>
        <v>2.4217798981773734E-2</v>
      </c>
      <c r="C490" s="12" t="str">
        <f>INDEX('ei names mapping'!$B$38:$BK$67,MATCH(B460,'ei names mapping'!$A$4:$A$33,0),MATCH(G490,'ei names mapping'!$B$3:$BK$3,0))</f>
        <v>CH</v>
      </c>
      <c r="D490" s="12" t="str">
        <f>INDEX('ei names mapping'!$B$104:$BK$133,MATCH(B460,'ei names mapping'!$A$4:$A$33,0),MATCH(G490,'ei names mapping'!$B$3:$BK$3,0))</f>
        <v>kilogram</v>
      </c>
      <c r="F490" s="12" t="s">
        <v>91</v>
      </c>
      <c r="G490" s="12" t="s">
        <v>27</v>
      </c>
      <c r="H490" s="12" t="str">
        <f>INDEX('ei names mapping'!$B$71:$BK$100,MATCH(B460,'ei names mapping'!$A$4:$A$33,0),MATCH(G490,'ei names mapping'!$B$3:$BK$3,0))</f>
        <v>petrol, two-stroke blend</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7.7012600762040473E-2</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3.874847837083797E-7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6.2433782046739775E-5</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2.8309328505000081E-5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2.99342377628334E-3</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1.4362926689497763E-6</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1.4362926689497763E-6</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1.0770860537496506E-4</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8.248628797778565E-6</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s="21" customFormat="1"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5.0347670228066102E-4</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s="21" customFormat="1"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3.550156234030301E-5</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s="21" customFormat="1"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7.2338606649520251E-6</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s="21" customFormat="1"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5.8316045975920942E-5</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s="21" customFormat="1"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2.3927385276379776E-5</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s="21" customFormat="1"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1.7917716416265787E-5</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s="21" customFormat="1"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1.268707870468509E-5</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s="21" customFormat="1"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8.2354721416376894E-6</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s="21" customFormat="1"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8.1241819775615057E-5</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s="21" customFormat="1"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4.2512842677102667E-5</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s="21" customFormat="1"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1.2241918048380351E-6</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s="21" customFormat="1"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1.2219660015565112E-4</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s="21" customFormat="1"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6.043055909336846E-5</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s="21" customFormat="1"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2.515157708121781E-5</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s="21" customFormat="1"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1.8919327892951451E-5</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s="21" customFormat="1"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8.3467623057138745E-6</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s="21" customFormat="1"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2.4483836096760702E-6</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s="21" customFormat="1"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6.7887000086472864E-6</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s="21" customFormat="1"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s="21" customFormat="1"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2.1145131174475149E-6</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s="21" customFormat="1"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1.1240306571694684E-5</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s="21" customFormat="1"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3.5733846753586782E-8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s="21" customFormat="1"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3.0805040304816191E-10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s="21" customFormat="1"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2.0536693536544127E-10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s="21" customFormat="1"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2.2179629019467658E-6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s="21" customFormat="1"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4.3127056426742661E-8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s="21" customFormat="1"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1.3348850798753683E-8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s="21" customFormat="1"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1.6429354829235304E-8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s="21" customFormat="1"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3.2858709658470601E-11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s="21" customFormat="1"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8.9334616883966954E-9</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s="21" customFormat="1"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1.1089814509733829E-8</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-6.3939999999999993E-6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-6.1789999999999996E-6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Scooter, gasoline, 4-11kW, EURO-5, 2040</v>
      </c>
    </row>
    <row r="536" spans="1:8" x14ac:dyDescent="0.3">
      <c r="A536" t="s">
        <v>73</v>
      </c>
      <c r="B536" t="s">
        <v>37</v>
      </c>
    </row>
    <row r="537" spans="1:8" x14ac:dyDescent="0.3">
      <c r="A537" t="s">
        <v>87</v>
      </c>
      <c r="B537" t="s">
        <v>638</v>
      </c>
    </row>
    <row r="538" spans="1:8" x14ac:dyDescent="0.3">
      <c r="A538" t="s">
        <v>88</v>
      </c>
      <c r="B538" s="12"/>
    </row>
    <row r="539" spans="1:8" x14ac:dyDescent="0.3">
      <c r="A539" t="s">
        <v>89</v>
      </c>
      <c r="B539" s="12">
        <v>2040</v>
      </c>
    </row>
    <row r="540" spans="1:8" x14ac:dyDescent="0.3">
      <c r="A540" t="s">
        <v>131</v>
      </c>
      <c r="B540" s="12" t="str">
        <f>B537&amp;" - "&amp;B539&amp;" - "&amp;B536</f>
        <v>Scooter, gasoline, 4-11kW, EURO-5 - 2040 - CH</v>
      </c>
    </row>
    <row r="541" spans="1:8" x14ac:dyDescent="0.3">
      <c r="A541" t="s">
        <v>74</v>
      </c>
      <c r="B541" s="12" t="str">
        <f>"transport, "&amp;B537</f>
        <v>transport, Scooter, gasoline, 4-11kW, EURO-5</v>
      </c>
    </row>
    <row r="542" spans="1:8" x14ac:dyDescent="0.3">
      <c r="A542" t="s">
        <v>75</v>
      </c>
      <c r="B542" t="s">
        <v>76</v>
      </c>
    </row>
    <row r="543" spans="1:8" x14ac:dyDescent="0.3">
      <c r="A543" t="s">
        <v>77</v>
      </c>
      <c r="B543" t="s">
        <v>172</v>
      </c>
    </row>
    <row r="544" spans="1:8" x14ac:dyDescent="0.3">
      <c r="A544" t="s">
        <v>79</v>
      </c>
      <c r="B544" t="s">
        <v>90</v>
      </c>
    </row>
    <row r="545" spans="1:2" x14ac:dyDescent="0.3">
      <c r="A545" t="s">
        <v>132</v>
      </c>
      <c r="B545">
        <f>INDEX('vehicles specifications'!$B$3:$CK$86,MATCH(B540,'vehicles specifications'!$A$3:$A$86,0),MATCH("Lifetime [km]",'vehicles specifications'!$B$2:$CK$2,0))</f>
        <v>39800</v>
      </c>
    </row>
    <row r="546" spans="1:2" x14ac:dyDescent="0.3">
      <c r="A546" t="s">
        <v>133</v>
      </c>
      <c r="B546">
        <f>INDEX('vehicles specifications'!$B$3:$CK$86,MATCH(B540,'vehicles specifications'!$A$3:$A$86,0),MATCH("Passengers [unit]",'vehicles specifications'!$B$2:$CK$2,0))</f>
        <v>1</v>
      </c>
    </row>
    <row r="547" spans="1:2" x14ac:dyDescent="0.3">
      <c r="A547" t="s">
        <v>134</v>
      </c>
      <c r="B547">
        <f>INDEX('vehicles specifications'!$B$3:$CK$86,MATCH(B540,'vehicles specifications'!$A$3:$A$86,0),MATCH("Servicing [unit]",'vehicles specifications'!$B$2:$CK$2,0))</f>
        <v>1</v>
      </c>
    </row>
    <row r="548" spans="1:2" x14ac:dyDescent="0.3">
      <c r="A548" t="s">
        <v>135</v>
      </c>
      <c r="B548">
        <f>INDEX('vehicles specifications'!$B$3:$CK$86,MATCH(B540,'vehicles specifications'!$A$3:$A$86,0),MATCH("Energy battery replacement [unit]",'vehicles specifications'!$B$2:$CK$2,0))</f>
        <v>0</v>
      </c>
    </row>
    <row r="549" spans="1:2" x14ac:dyDescent="0.3">
      <c r="A549" t="s">
        <v>136</v>
      </c>
      <c r="B549">
        <f>INDEX('vehicles specifications'!$B$3:$CK$86,MATCH(B540,'vehicles specifications'!$A$3:$A$86,0),MATCH("Annual kilometers [km]",'vehicles specifications'!$B$2:$CK$2,0))</f>
        <v>2731</v>
      </c>
    </row>
    <row r="550" spans="1:2" x14ac:dyDescent="0.3">
      <c r="A550" t="s">
        <v>137</v>
      </c>
      <c r="B550" s="2">
        <f>INDEX('vehicles specifications'!$B$3:$CK$86,MATCH(B540,'vehicles specifications'!$A$3:$A$86,0),MATCH("Curb mass [kg]",'vehicles specifications'!$B$2:$CK$2,0))</f>
        <v>121.63749999999999</v>
      </c>
    </row>
    <row r="551" spans="1:2" x14ac:dyDescent="0.3">
      <c r="A551" t="s">
        <v>138</v>
      </c>
      <c r="B551">
        <f>INDEX('vehicles specifications'!$B$3:$CK$86,MATCH(B540,'vehicles specifications'!$A$3:$A$86,0),MATCH("Power [kW]",'vehicles specifications'!$B$2:$CK$2,0))</f>
        <v>8.8000000000000007</v>
      </c>
    </row>
    <row r="552" spans="1:2" x14ac:dyDescent="0.3">
      <c r="A552" t="s">
        <v>139</v>
      </c>
      <c r="B552">
        <f>INDEX('vehicles specifications'!$B$3:$CK$86,MATCH(B540,'vehicles specifications'!$A$3:$A$86,0),MATCH("Energy battery mass [kg]",'vehicles specifications'!$B$2:$CK$2,0))</f>
        <v>0</v>
      </c>
    </row>
    <row r="553" spans="1:2" x14ac:dyDescent="0.3">
      <c r="A553" t="s">
        <v>140</v>
      </c>
      <c r="B553">
        <f>INDEX('vehicles specifications'!$B$3:$CK$86,MATCH(B540,'vehicles specifications'!$A$3:$A$86,0),MATCH("Electric energy available [kWh]",'vehicles specifications'!$B$2:$CK$2,0))</f>
        <v>0</v>
      </c>
    </row>
    <row r="554" spans="1:2" x14ac:dyDescent="0.3">
      <c r="A554" t="s">
        <v>143</v>
      </c>
      <c r="B554" s="2">
        <f>INDEX('vehicles specifications'!$B$3:$CK$86,MATCH(B540,'vehicles specifications'!$A$3:$A$86,0),MATCH("Oxydation energy stored [kWh]",'vehicles specifications'!$B$2:$CK$2,0))</f>
        <v>61.833333333333329</v>
      </c>
    </row>
    <row r="555" spans="1:2" x14ac:dyDescent="0.3">
      <c r="A555" t="s">
        <v>145</v>
      </c>
      <c r="B555">
        <f>INDEX('vehicles specifications'!$B$3:$CK$86,MATCH(B540,'vehicles specifications'!$A$3:$A$86,0),MATCH("Fuel mass [kg]",'vehicles specifications'!$B$2:$CK$2,0))</f>
        <v>5.25</v>
      </c>
    </row>
    <row r="556" spans="1:2" x14ac:dyDescent="0.3">
      <c r="A556" t="s">
        <v>141</v>
      </c>
      <c r="B556" s="2">
        <f>INDEX('vehicles specifications'!$B$3:$CK$86,MATCH(B540,'vehicles specifications'!$A$3:$A$86,0),MATCH("Range [km]",'vehicles specifications'!$B$2:$CK$2,0))</f>
        <v>218.97243044346649</v>
      </c>
    </row>
    <row r="557" spans="1:2" x14ac:dyDescent="0.3">
      <c r="A557" t="s">
        <v>142</v>
      </c>
      <c r="B557" t="str">
        <f>INDEX('vehicles specifications'!$B$3:$CK$86,MATCH(B540,'vehicles specifications'!$A$3:$A$86,0),MATCH("Emission standard",'vehicles specifications'!$B$2:$CK$2,0))</f>
        <v>EURO-5</v>
      </c>
    </row>
    <row r="558" spans="1:2" x14ac:dyDescent="0.3">
      <c r="A558" t="s">
        <v>144</v>
      </c>
      <c r="B558" s="6">
        <f>INDEX('vehicles specifications'!$B$3:$CK$86,MATCH(B540,'vehicles specifications'!$A$3:$A$86,0),MATCH("Lightweighting rate [%]",'vehicles specifications'!$B$2:$CK$2,0))</f>
        <v>0.05</v>
      </c>
    </row>
    <row r="559" spans="1:2" x14ac:dyDescent="0.3">
      <c r="A559"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8.8 kW. Lifetime: 39800 km. Annual kilometers: 2731 km. Number of passengers: 1. Curb mass: 121.6 kg. Lightweighting of glider: 5%. Emission standard: EURO-5. Service visits throughout lifetime: 1. Range: 219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t="s">
        <v>81</v>
      </c>
      <c r="B561" t="s">
        <v>82</v>
      </c>
      <c r="C561" t="s">
        <v>73</v>
      </c>
      <c r="D561" t="s">
        <v>77</v>
      </c>
      <c r="E561" t="s">
        <v>83</v>
      </c>
      <c r="F561" t="s">
        <v>75</v>
      </c>
      <c r="G561" t="s">
        <v>84</v>
      </c>
      <c r="H561" t="s">
        <v>74</v>
      </c>
    </row>
    <row r="562" spans="1:8" x14ac:dyDescent="0.3">
      <c r="A562" s="12" t="str">
        <f>B535</f>
        <v>transport, Scooter, gasoline, 4-11kW, EURO-5, 2040</v>
      </c>
      <c r="B562" s="12">
        <v>1</v>
      </c>
      <c r="C562" s="12" t="str">
        <f>B536</f>
        <v>CH</v>
      </c>
      <c r="D562" s="12" t="s">
        <v>172</v>
      </c>
      <c r="E562" s="12"/>
      <c r="F562" s="12" t="s">
        <v>85</v>
      </c>
      <c r="G562" s="12" t="s">
        <v>86</v>
      </c>
      <c r="H562" s="12" t="str">
        <f>B541</f>
        <v>transport, Scooter, gasoline, 4-11kW, EURO-5</v>
      </c>
    </row>
    <row r="563" spans="1:8" x14ac:dyDescent="0.3">
      <c r="A563" s="12" t="str">
        <f>RIGHT(A562,LEN(A562)-11)</f>
        <v>Scooter, gasoline, 4-11kW, EURO-5, 2040</v>
      </c>
      <c r="B563" s="12">
        <f>1/B545</f>
        <v>2.5125628140703518E-5</v>
      </c>
      <c r="C563" s="12" t="str">
        <f>B536</f>
        <v>CH</v>
      </c>
      <c r="D563" s="12" t="s">
        <v>77</v>
      </c>
      <c r="E563" s="12"/>
      <c r="F563" s="12" t="s">
        <v>91</v>
      </c>
      <c r="G563" s="12"/>
      <c r="H563" s="12" t="str">
        <f>RIGHT(H562,LEN(H562)-11)</f>
        <v>Scooter, gasoline, 4-11kW, EURO-5</v>
      </c>
    </row>
    <row r="564" spans="1:8" s="21" customFormat="1"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1.050573375E-4</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road maintenance</v>
      </c>
      <c r="B565" s="16">
        <f>INDEX('vehicles specifications'!$B$3:$CK$86,MATCH(B540,'vehicles specifications'!$A$3:$A$86,0),MATCH(G565,'vehicles specifications'!$B$2:$CK$2,0))*INDEX('ei names mapping'!$B$137:$BK$220,MATCH(B540,'ei names mapping'!$A$137:$A$220,0),MATCH(G565,'ei names mapping'!$B$136:$BK$136,0))</f>
        <v>1.2899999999999999E-3</v>
      </c>
      <c r="C565" s="12" t="str">
        <f>INDEX('ei names mapping'!$B$38:$R$67,MATCH(B537,'ei names mapping'!$A$4:$A$33,0),MATCH(G565,'ei names mapping'!$B$3:$R$3,0))</f>
        <v>CH</v>
      </c>
      <c r="D565" s="12" t="str">
        <f>INDEX('ei names mapping'!$B$104:$BK$133,MATCH(B537,'ei names mapping'!$A$4:$A$33,0),MATCH(G565,'ei names mapping'!$B$3:$BK$3,0))</f>
        <v>meter-year</v>
      </c>
      <c r="E565" s="12"/>
      <c r="F565" s="12" t="s">
        <v>91</v>
      </c>
      <c r="G565" t="s">
        <v>117</v>
      </c>
      <c r="H565" s="12" t="str">
        <f>INDEX('ei names mapping'!$B$71:$BK$100,MATCH(B537,'ei names mapping'!$A$4:$A$33,0),MATCH(G565,'ei names mapping'!$B$3:$BK$3,0))</f>
        <v>road maintenance</v>
      </c>
    </row>
    <row r="566" spans="1:8" x14ac:dyDescent="0.3">
      <c r="A566" s="12" t="str">
        <f>INDEX('ei names mapping'!$B$4:$R$33,MATCH(B537,'ei names mapping'!$A$4:$A$33,0),MATCH(G566,'ei names mapping'!$B$3:$R$3,0))</f>
        <v>maintenance, motor scooter</v>
      </c>
      <c r="B566" s="16">
        <f>INDEX('vehicles specifications'!$B$3:$CK$86,MATCH(B540,'vehicles specifications'!$A$3:$A$86,0),MATCH(G566,'vehicles specifications'!$B$2:$CK$2,0))*INDEX('ei names mapping'!$B$137:$BK$220,MATCH(B540,'ei names mapping'!$A$137:$A$220,0),MATCH(G566,'ei names mapping'!$B$136:$BK$136,0))</f>
        <v>2.5125628140703518E-5</v>
      </c>
      <c r="C566" s="12" t="str">
        <f>INDEX('ei names mapping'!$B$38:$BK$67,MATCH(B537,'ei names mapping'!$A$4:$A$33,0),MATCH(G566,'ei names mapping'!$B$3:$BK$3,0))</f>
        <v>CH</v>
      </c>
      <c r="D566" s="12" t="str">
        <f>INDEX('ei names mapping'!$B$104:$BK$133,MATCH(B537,'ei names mapping'!$A$4:$A$33,0),MATCH(G566,'ei names mapping'!$B$3:$BK$3,0))</f>
        <v>unit</v>
      </c>
      <c r="F566" s="12" t="s">
        <v>91</v>
      </c>
      <c r="G566" s="12" t="s">
        <v>123</v>
      </c>
      <c r="H566" s="12" t="str">
        <f>INDEX('ei names mapping'!$B$71:$BK$100,MATCH(B537,'ei names mapping'!$A$4:$A$33,0),MATCH(G566,'ei names mapping'!$B$3:$BK$3,0))</f>
        <v>maintenance, motor scooter</v>
      </c>
    </row>
    <row r="567" spans="1:8" x14ac:dyDescent="0.3">
      <c r="A567" s="12" t="str">
        <f>INDEX('ei names mapping'!$B$4:$R$33,MATCH(B537,'ei names mapping'!$A$4:$A$33,0),MATCH(G567,'ei names mapping'!$B$3:$R$3,0))</f>
        <v>petrol blending for two-stroke engines</v>
      </c>
      <c r="B567" s="16">
        <f>INDEX('vehicles specifications'!$B$3:$CK$86,MATCH(B540,'vehicles specifications'!$A$3:$A$86,0),MATCH(G567,'vehicles specifications'!$B$2:$CK$2,0))*INDEX('ei names mapping'!$B$137:$BK$220,MATCH(B540,'ei names mapping'!$A$137:$A$220,0),MATCH(G567,'ei names mapping'!$B$136:$BK$136,0))</f>
        <v>2.3975620991956E-2</v>
      </c>
      <c r="C567" s="12" t="str">
        <f>INDEX('ei names mapping'!$B$38:$BK$67,MATCH(B537,'ei names mapping'!$A$4:$A$33,0),MATCH(G567,'ei names mapping'!$B$3:$BK$3,0))</f>
        <v>CH</v>
      </c>
      <c r="D567" s="12" t="str">
        <f>INDEX('ei names mapping'!$B$104:$BK$133,MATCH(B537,'ei names mapping'!$A$4:$A$33,0),MATCH(G567,'ei names mapping'!$B$3:$BK$3,0))</f>
        <v>kilogram</v>
      </c>
      <c r="F567" s="12" t="s">
        <v>91</v>
      </c>
      <c r="G567" s="12" t="s">
        <v>27</v>
      </c>
      <c r="H567" s="12" t="str">
        <f>INDEX('ei names mapping'!$B$71:$BK$100,MATCH(B537,'ei names mapping'!$A$4:$A$33,0),MATCH(G567,'ei names mapping'!$B$3:$BK$3,0))</f>
        <v>petrol, two-stroke blend</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7.6242474754420073E-2</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3.836099358712959E-7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6.1809444226272389E-5</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2.8026235219950081E-5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2.9634895385205065E-3</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1.4219297422602786E-6</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1.4219297422602786E-6</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1.066315193212154E-4</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8.1661425098007786E-6</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s="21" customFormat="1"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4.9844193525785442E-4</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s="21" customFormat="1"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3.5146546716899981E-5</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s="21" customFormat="1"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7.1615220583025053E-6</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s="21" customFormat="1"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5.7732885516161735E-5</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s="21" customFormat="1"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2.3688111423615977E-5</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s="21" customFormat="1"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1.7738539252103131E-5</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s="21" customFormat="1"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1.256020791763824E-5</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s="21" customFormat="1"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8.1531174202213136E-6</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s="21" customFormat="1"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8.042940157785891E-5</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s="21" customFormat="1"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4.2087714250331641E-5</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s="21" customFormat="1"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1.2119498867896548E-6</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s="21" customFormat="1"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1.2097463415409463E-4</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s="21" customFormat="1"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5.9826253502434775E-5</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s="21" customFormat="1"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2.4900061310405631E-5</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s="21" customFormat="1"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1.8730134614021937E-5</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s="21" customFormat="1"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8.2632946826567353E-6</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s="21" customFormat="1"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2.4238997735793097E-6</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s="21" customFormat="1"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6.7208130085608136E-6</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s="21" customFormat="1"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s="21" customFormat="1"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2.0933679862730401E-6</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s="21" customFormat="1"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1.1127903505977737E-5</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s="21" customFormat="1"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3.5376508286050916E-8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s="21" customFormat="1"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3.0496989901768027E-10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s="21" customFormat="1"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2.0331326601178686E-10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s="21" customFormat="1"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2.1957832729272979E-6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s="21" customFormat="1"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4.269578586247524E-8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s="21" customFormat="1"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1.3215362290766146E-8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s="21" customFormat="1"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1.6265061280942952E-8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s="21" customFormat="1"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3.2530122561885898E-11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s="21" customFormat="1"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8.844127071512729E-9</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s="21" customFormat="1"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1.097891636463649E-8</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-6.3939999999999993E-6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-6.1789999999999996E-6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Scooter, gasoline, 4-11kW, EURO-5, 2050</v>
      </c>
    </row>
    <row r="613" spans="1:8" x14ac:dyDescent="0.3">
      <c r="A613" t="s">
        <v>73</v>
      </c>
      <c r="B613" t="s">
        <v>37</v>
      </c>
    </row>
    <row r="614" spans="1:8" x14ac:dyDescent="0.3">
      <c r="A614" t="s">
        <v>87</v>
      </c>
      <c r="B614" t="s">
        <v>638</v>
      </c>
    </row>
    <row r="615" spans="1:8" x14ac:dyDescent="0.3">
      <c r="A615" t="s">
        <v>88</v>
      </c>
      <c r="B615" s="12"/>
    </row>
    <row r="616" spans="1:8" x14ac:dyDescent="0.3">
      <c r="A616" t="s">
        <v>89</v>
      </c>
      <c r="B616" s="12">
        <v>2050</v>
      </c>
    </row>
    <row r="617" spans="1:8" x14ac:dyDescent="0.3">
      <c r="A617" t="s">
        <v>131</v>
      </c>
      <c r="B617" s="12" t="str">
        <f>B614&amp;" - "&amp;B616&amp;" - "&amp;B613</f>
        <v>Scooter, gasoline, 4-11kW, EURO-5 - 2050 - CH</v>
      </c>
    </row>
    <row r="618" spans="1:8" x14ac:dyDescent="0.3">
      <c r="A618" t="s">
        <v>74</v>
      </c>
      <c r="B618" s="12" t="str">
        <f>"transport, "&amp;B614</f>
        <v>transport, Scooter, gasoline, 4-11kW, EURO-5</v>
      </c>
    </row>
    <row r="619" spans="1:8" x14ac:dyDescent="0.3">
      <c r="A619" t="s">
        <v>75</v>
      </c>
      <c r="B619" t="s">
        <v>76</v>
      </c>
    </row>
    <row r="620" spans="1:8" x14ac:dyDescent="0.3">
      <c r="A620" t="s">
        <v>77</v>
      </c>
      <c r="B620" t="s">
        <v>172</v>
      </c>
    </row>
    <row r="621" spans="1:8" x14ac:dyDescent="0.3">
      <c r="A621" t="s">
        <v>79</v>
      </c>
      <c r="B621" t="s">
        <v>90</v>
      </c>
    </row>
    <row r="622" spans="1:8" x14ac:dyDescent="0.3">
      <c r="A622" t="s">
        <v>132</v>
      </c>
      <c r="B622">
        <f>INDEX('vehicles specifications'!$B$3:$CK$86,MATCH(B617,'vehicles specifications'!$A$3:$A$86,0),MATCH("Lifetime [km]",'vehicles specifications'!$B$2:$CK$2,0))</f>
        <v>39800</v>
      </c>
    </row>
    <row r="623" spans="1:8" x14ac:dyDescent="0.3">
      <c r="A623" t="s">
        <v>133</v>
      </c>
      <c r="B623">
        <f>INDEX('vehicles specifications'!$B$3:$CK$86,MATCH(B617,'vehicles specifications'!$A$3:$A$86,0),MATCH("Passengers [unit]",'vehicles specifications'!$B$2:$CK$2,0))</f>
        <v>1</v>
      </c>
    </row>
    <row r="624" spans="1:8" x14ac:dyDescent="0.3">
      <c r="A624" t="s">
        <v>134</v>
      </c>
      <c r="B624">
        <f>INDEX('vehicles specifications'!$B$3:$CK$86,MATCH(B617,'vehicles specifications'!$A$3:$A$86,0),MATCH("Servicing [unit]",'vehicles specifications'!$B$2:$CK$2,0))</f>
        <v>1</v>
      </c>
    </row>
    <row r="625" spans="1:8" x14ac:dyDescent="0.3">
      <c r="A625" t="s">
        <v>135</v>
      </c>
      <c r="B625">
        <f>INDEX('vehicles specifications'!$B$3:$CK$86,MATCH(B617,'vehicles specifications'!$A$3:$A$86,0),MATCH("Energy battery replacement [unit]",'vehicles specifications'!$B$2:$CK$2,0))</f>
        <v>0</v>
      </c>
    </row>
    <row r="626" spans="1:8" x14ac:dyDescent="0.3">
      <c r="A626" t="s">
        <v>136</v>
      </c>
      <c r="B626">
        <f>INDEX('vehicles specifications'!$B$3:$CK$86,MATCH(B617,'vehicles specifications'!$A$3:$A$86,0),MATCH("Annual kilometers [km]",'vehicles specifications'!$B$2:$CK$2,0))</f>
        <v>2731</v>
      </c>
    </row>
    <row r="627" spans="1:8" x14ac:dyDescent="0.3">
      <c r="A627" t="s">
        <v>137</v>
      </c>
      <c r="B627" s="2">
        <f>INDEX('vehicles specifications'!$B$3:$CK$86,MATCH(B617,'vehicles specifications'!$A$3:$A$86,0),MATCH("Curb mass [kg]",'vehicles specifications'!$B$2:$CK$2,0))</f>
        <v>118.93749999999999</v>
      </c>
    </row>
    <row r="628" spans="1:8" x14ac:dyDescent="0.3">
      <c r="A628" t="s">
        <v>138</v>
      </c>
      <c r="B628">
        <f>INDEX('vehicles specifications'!$B$3:$CK$86,MATCH(B617,'vehicles specifications'!$A$3:$A$86,0),MATCH("Power [kW]",'vehicles specifications'!$B$2:$CK$2,0))</f>
        <v>8.8000000000000007</v>
      </c>
    </row>
    <row r="629" spans="1:8" x14ac:dyDescent="0.3">
      <c r="A629" t="s">
        <v>139</v>
      </c>
      <c r="B629">
        <f>INDEX('vehicles specifications'!$B$3:$CK$86,MATCH(B617,'vehicles specifications'!$A$3:$A$86,0),MATCH("Energy battery mass [kg]",'vehicles specifications'!$B$2:$CK$2,0))</f>
        <v>0</v>
      </c>
    </row>
    <row r="630" spans="1:8" x14ac:dyDescent="0.3">
      <c r="A630" t="s">
        <v>140</v>
      </c>
      <c r="B630">
        <f>INDEX('vehicles specifications'!$B$3:$CK$86,MATCH(B617,'vehicles specifications'!$A$3:$A$86,0),MATCH("Electric energy available [kWh]",'vehicles specifications'!$B$2:$CK$2,0))</f>
        <v>0</v>
      </c>
    </row>
    <row r="631" spans="1:8" x14ac:dyDescent="0.3">
      <c r="A631" t="s">
        <v>143</v>
      </c>
      <c r="B631" s="2">
        <f>INDEX('vehicles specifications'!$B$3:$CK$86,MATCH(B617,'vehicles specifications'!$A$3:$A$86,0),MATCH("Oxydation energy stored [kWh]",'vehicles specifications'!$B$2:$CK$2,0))</f>
        <v>61.833333333333329</v>
      </c>
    </row>
    <row r="632" spans="1:8" x14ac:dyDescent="0.3">
      <c r="A632" t="s">
        <v>145</v>
      </c>
      <c r="B632">
        <f>INDEX('vehicles specifications'!$B$3:$CK$86,MATCH(B617,'vehicles specifications'!$A$3:$A$86,0),MATCH("Fuel mass [kg]",'vehicles specifications'!$B$2:$CK$2,0))</f>
        <v>5.25</v>
      </c>
    </row>
    <row r="633" spans="1:8" x14ac:dyDescent="0.3">
      <c r="A633" t="s">
        <v>141</v>
      </c>
      <c r="B633" s="2">
        <f>INDEX('vehicles specifications'!$B$3:$CK$86,MATCH(B617,'vehicles specifications'!$A$3:$A$86,0),MATCH("Range [km]",'vehicles specifications'!$B$2:$CK$2,0))</f>
        <v>221.18427317521866</v>
      </c>
    </row>
    <row r="634" spans="1:8" x14ac:dyDescent="0.3">
      <c r="A634" t="s">
        <v>142</v>
      </c>
      <c r="B634" t="str">
        <f>INDEX('vehicles specifications'!$B$3:$CK$86,MATCH(B617,'vehicles specifications'!$A$3:$A$86,0),MATCH("Emission standard",'vehicles specifications'!$B$2:$CK$2,0))</f>
        <v>EURO-5</v>
      </c>
    </row>
    <row r="635" spans="1:8" x14ac:dyDescent="0.3">
      <c r="A635" t="s">
        <v>144</v>
      </c>
      <c r="B635" s="6">
        <f>INDEX('vehicles specifications'!$B$3:$CK$86,MATCH(B617,'vehicles specifications'!$A$3:$A$86,0),MATCH("Lightweighting rate [%]",'vehicles specifications'!$B$2:$CK$2,0))</f>
        <v>7.0000000000000007E-2</v>
      </c>
    </row>
    <row r="636" spans="1:8" x14ac:dyDescent="0.3">
      <c r="A636"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8.8 kW. Lifetime: 39800 km. Annual kilometers: 2731 km. Number of passengers: 1. Curb mass: 118.9 kg. Lightweighting of glider: 7%. Emission standard: EURO-5. Service visits throughout lifetime: 1. Range: 221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t="s">
        <v>81</v>
      </c>
      <c r="B638" t="s">
        <v>82</v>
      </c>
      <c r="C638" t="s">
        <v>73</v>
      </c>
      <c r="D638" t="s">
        <v>77</v>
      </c>
      <c r="E638" t="s">
        <v>83</v>
      </c>
      <c r="F638" t="s">
        <v>75</v>
      </c>
      <c r="G638" t="s">
        <v>84</v>
      </c>
      <c r="H638" t="s">
        <v>74</v>
      </c>
    </row>
    <row r="639" spans="1:8" x14ac:dyDescent="0.3">
      <c r="A639" s="12" t="str">
        <f>B612</f>
        <v>transport, Scooter, gasoline, 4-11kW, EURO-5, 2050</v>
      </c>
      <c r="B639" s="12">
        <v>1</v>
      </c>
      <c r="C639" s="12" t="str">
        <f>B613</f>
        <v>CH</v>
      </c>
      <c r="D639" s="12" t="s">
        <v>172</v>
      </c>
      <c r="E639" s="12"/>
      <c r="F639" s="12" t="s">
        <v>85</v>
      </c>
      <c r="G639" s="12" t="s">
        <v>86</v>
      </c>
      <c r="H639" s="12" t="str">
        <f>B618</f>
        <v>transport, Scooter, gasoline, 4-11kW, EURO-5</v>
      </c>
    </row>
    <row r="640" spans="1:8" x14ac:dyDescent="0.3">
      <c r="A640" s="12" t="str">
        <f>RIGHT(A639,LEN(A639)-11)</f>
        <v>Scooter, gasoline, 4-11kW, EURO-5, 2050</v>
      </c>
      <c r="B640" s="12">
        <f>1/B622</f>
        <v>2.5125628140703518E-5</v>
      </c>
      <c r="C640" s="12" t="str">
        <f>B613</f>
        <v>CH</v>
      </c>
      <c r="D640" s="12" t="s">
        <v>77</v>
      </c>
      <c r="E640" s="12"/>
      <c r="F640" s="12" t="s">
        <v>91</v>
      </c>
      <c r="G640" s="12"/>
      <c r="H640" s="12" t="str">
        <f>RIGHT(H639,LEN(H639)-11)</f>
        <v>Scooter, gasoline, 4-11kW, EURO-5</v>
      </c>
    </row>
    <row r="641" spans="1:8" s="21" customFormat="1"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1.036074375E-4</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road maintenance</v>
      </c>
      <c r="B642" s="16">
        <f>INDEX('vehicles specifications'!$B$3:$CK$86,MATCH(B617,'vehicles specifications'!$A$3:$A$86,0),MATCH(G642,'vehicles specifications'!$B$2:$CK$2,0))*INDEX('ei names mapping'!$B$137:$BK$220,MATCH(B617,'ei names mapping'!$A$137:$A$220,0),MATCH(G642,'ei names mapping'!$B$136:$BK$136,0))</f>
        <v>1.2899999999999999E-3</v>
      </c>
      <c r="C642" s="12" t="str">
        <f>INDEX('ei names mapping'!$B$38:$R$67,MATCH(B614,'ei names mapping'!$A$4:$A$33,0),MATCH(G642,'ei names mapping'!$B$3:$R$3,0))</f>
        <v>CH</v>
      </c>
      <c r="D642" s="12" t="str">
        <f>INDEX('ei names mapping'!$B$104:$BK$133,MATCH(B614,'ei names mapping'!$A$4:$A$33,0),MATCH(G642,'ei names mapping'!$B$3:$BK$3,0))</f>
        <v>meter-year</v>
      </c>
      <c r="E642" s="12"/>
      <c r="F642" s="12" t="s">
        <v>91</v>
      </c>
      <c r="G642" t="s">
        <v>117</v>
      </c>
      <c r="H642" s="12" t="str">
        <f>INDEX('ei names mapping'!$B$71:$BK$100,MATCH(B614,'ei names mapping'!$A$4:$A$33,0),MATCH(G642,'ei names mapping'!$B$3:$BK$3,0))</f>
        <v>road maintenance</v>
      </c>
    </row>
    <row r="643" spans="1:8" x14ac:dyDescent="0.3">
      <c r="A643" s="12" t="str">
        <f>INDEX('ei names mapping'!$B$4:$R$33,MATCH(B614,'ei names mapping'!$A$4:$A$33,0),MATCH(G643,'ei names mapping'!$B$3:$R$3,0))</f>
        <v>maintenance, motor scooter</v>
      </c>
      <c r="B643" s="16">
        <f>INDEX('vehicles specifications'!$B$3:$CK$86,MATCH(B617,'vehicles specifications'!$A$3:$A$86,0),MATCH(G643,'vehicles specifications'!$B$2:$CK$2,0))*INDEX('ei names mapping'!$B$137:$BK$220,MATCH(B617,'ei names mapping'!$A$137:$A$220,0),MATCH(G643,'ei names mapping'!$B$136:$BK$136,0))</f>
        <v>2.5125628140703518E-5</v>
      </c>
      <c r="C643" s="12" t="str">
        <f>INDEX('ei names mapping'!$B$38:$BK$67,MATCH(B614,'ei names mapping'!$A$4:$A$33,0),MATCH(G643,'ei names mapping'!$B$3:$BK$3,0))</f>
        <v>CH</v>
      </c>
      <c r="D643" s="12" t="str">
        <f>INDEX('ei names mapping'!$B$104:$BK$133,MATCH(B614,'ei names mapping'!$A$4:$A$33,0),MATCH(G643,'ei names mapping'!$B$3:$BK$3,0))</f>
        <v>unit</v>
      </c>
      <c r="F643" s="12" t="s">
        <v>91</v>
      </c>
      <c r="G643" s="12" t="s">
        <v>123</v>
      </c>
      <c r="H643" s="12" t="str">
        <f>INDEX('ei names mapping'!$B$71:$BK$100,MATCH(B614,'ei names mapping'!$A$4:$A$33,0),MATCH(G643,'ei names mapping'!$B$3:$BK$3,0))</f>
        <v>maintenance, motor scooter</v>
      </c>
    </row>
    <row r="644" spans="1:8" x14ac:dyDescent="0.3">
      <c r="A644" s="12" t="str">
        <f>INDEX('ei names mapping'!$B$4:$R$33,MATCH(B614,'ei names mapping'!$A$4:$A$33,0),MATCH(G644,'ei names mapping'!$B$3:$R$3,0))</f>
        <v>petrol blending for two-stroke engines</v>
      </c>
      <c r="B644" s="16">
        <f>INDEX('vehicles specifications'!$B$3:$CK$86,MATCH(B617,'vehicles specifications'!$A$3:$A$86,0),MATCH(G644,'vehicles specifications'!$B$2:$CK$2,0))*INDEX('ei names mapping'!$B$137:$BK$220,MATCH(B617,'ei names mapping'!$A$137:$A$220,0),MATCH(G644,'ei names mapping'!$B$136:$BK$136,0))</f>
        <v>2.3735864782036438E-2</v>
      </c>
      <c r="C644" s="12" t="str">
        <f>INDEX('ei names mapping'!$B$38:$BK$67,MATCH(B614,'ei names mapping'!$A$4:$A$33,0),MATCH(G644,'ei names mapping'!$B$3:$BK$3,0))</f>
        <v>CH</v>
      </c>
      <c r="D644" s="12" t="str">
        <f>INDEX('ei names mapping'!$B$104:$BK$133,MATCH(B614,'ei names mapping'!$A$4:$A$33,0),MATCH(G644,'ei names mapping'!$B$3:$BK$3,0))</f>
        <v>kilogram</v>
      </c>
      <c r="F644" s="12" t="s">
        <v>91</v>
      </c>
      <c r="G644" s="12" t="s">
        <v>27</v>
      </c>
      <c r="H644" s="12" t="str">
        <f>INDEX('ei names mapping'!$B$71:$BK$100,MATCH(B614,'ei names mapping'!$A$4:$A$33,0),MATCH(G644,'ei names mapping'!$B$3:$BK$3,0))</f>
        <v>petrol, two-stroke blend</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7.5480050006875882E-2</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3.79773836512583E-7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6.1191349784009663E-5</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2.7745972867750582E-5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2.9338546431353016E-3</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1.4077104448376758E-6</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1.4077104448376758E-6</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1.0556520412800326E-4</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8.0844810847027712E-6</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s="21" customFormat="1"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4.9345751590527584E-4</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s="21" customFormat="1"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3.4795081249730984E-5</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s="21" customFormat="1"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7.0899068377194797E-6</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s="21" customFormat="1"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5.7155556661000123E-5</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s="21" customFormat="1"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2.3451230309379819E-5</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s="21" customFormat="1"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1.7561153859582098E-5</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s="21" customFormat="1"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1.2434605838461858E-5</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s="21" customFormat="1"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8.0715862460191008E-6</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s="21" customFormat="1"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7.962510756208032E-5</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s="21" customFormat="1"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4.1666837107828324E-5</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s="21" customFormat="1"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1.1998303879217583E-6</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s="21" customFormat="1"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1.1976488781255369E-4</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s="21" customFormat="1"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5.9227990967410433E-5</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s="21" customFormat="1"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2.4651060697301577E-5</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s="21" customFormat="1"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1.854283326788172E-5</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s="21" customFormat="1"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8.1806617358301686E-6</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s="21" customFormat="1"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2.3996607758435167E-6</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s="21" customFormat="1"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6.6536048784752052E-6</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s="21" customFormat="1"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s="21" customFormat="1"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2.0724343064103095E-6</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s="21" customFormat="1"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1.101662447091796E-5</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s="21" customFormat="1"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3.5022743203190402E-8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s="21" customFormat="1"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3.0192020002750349E-10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s="21" customFormat="1"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2.0128013335166901E-10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s="21" customFormat="1"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2.1738254401980251E-6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s="21" customFormat="1"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4.2268828003850484E-8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s="21" customFormat="1"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1.3083208667858485E-8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s="21" customFormat="1"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1.6102410668133523E-8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s="21" customFormat="1"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3.220482133626704E-11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s="21" customFormat="1"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8.7556858007976005E-9</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s="21" customFormat="1"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1.0869127200990126E-8</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-6.3939999999999993E-6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-6.1789999999999996E-6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zoomScale="85" zoomScaleNormal="85" workbookViewId="0">
      <selection activeCell="B17" sqref="B17"/>
    </sheetView>
  </sheetViews>
  <sheetFormatPr defaultRowHeight="14.4" x14ac:dyDescent="0.3"/>
  <cols>
    <col min="1" max="1" width="48.21875" style="21" bestFit="1" customWidth="1"/>
    <col min="2" max="2" width="15.6640625" style="21" bestFit="1" customWidth="1"/>
    <col min="3" max="4" width="8.88671875" style="21"/>
    <col min="5" max="5" width="9.77734375" style="21" bestFit="1" customWidth="1"/>
    <col min="6" max="6" width="12.44140625" style="21" bestFit="1" customWidth="1"/>
    <col min="7" max="7" width="32" style="21" bestFit="1" customWidth="1"/>
    <col min="8" max="16384" width="8.88671875" style="21"/>
  </cols>
  <sheetData>
    <row r="1" spans="1:2" ht="15.6" x14ac:dyDescent="0.3">
      <c r="A1" s="11" t="s">
        <v>72</v>
      </c>
      <c r="B1" s="9" t="str">
        <f>B3&amp;", "&amp;B5</f>
        <v>Scooter, electric, &lt;4kW, 2020</v>
      </c>
    </row>
    <row r="2" spans="1:2" x14ac:dyDescent="0.3">
      <c r="A2" s="21" t="s">
        <v>73</v>
      </c>
      <c r="B2" s="21" t="s">
        <v>37</v>
      </c>
    </row>
    <row r="3" spans="1:2" x14ac:dyDescent="0.3">
      <c r="A3" s="21" t="s">
        <v>87</v>
      </c>
      <c r="B3" s="21" t="s">
        <v>674</v>
      </c>
    </row>
    <row r="4" spans="1:2" x14ac:dyDescent="0.3">
      <c r="A4" s="21" t="s">
        <v>88</v>
      </c>
      <c r="B4" s="12"/>
    </row>
    <row r="5" spans="1:2" x14ac:dyDescent="0.3">
      <c r="A5" s="21" t="s">
        <v>89</v>
      </c>
      <c r="B5" s="12">
        <v>2020</v>
      </c>
    </row>
    <row r="6" spans="1:2" x14ac:dyDescent="0.3">
      <c r="A6" s="21" t="s">
        <v>131</v>
      </c>
      <c r="B6" s="12" t="str">
        <f>B3&amp;" - "&amp;B5&amp;" - "&amp;B2</f>
        <v>Scooter, electric, &lt;4kW - 2020 - CH</v>
      </c>
    </row>
    <row r="7" spans="1:2" x14ac:dyDescent="0.3">
      <c r="A7" s="21" t="s">
        <v>74</v>
      </c>
      <c r="B7" s="21" t="str">
        <f>B3</f>
        <v>Scooter, electric, &lt;4kW</v>
      </c>
    </row>
    <row r="8" spans="1:2" x14ac:dyDescent="0.3">
      <c r="A8" s="21" t="s">
        <v>75</v>
      </c>
      <c r="B8" s="21" t="s">
        <v>76</v>
      </c>
    </row>
    <row r="9" spans="1:2" x14ac:dyDescent="0.3">
      <c r="A9" s="21" t="s">
        <v>77</v>
      </c>
      <c r="B9" s="21" t="s">
        <v>77</v>
      </c>
    </row>
    <row r="10" spans="1:2" x14ac:dyDescent="0.3">
      <c r="A10" s="21" t="s">
        <v>79</v>
      </c>
      <c r="B10" s="21" t="s">
        <v>90</v>
      </c>
    </row>
    <row r="11" spans="1:2" x14ac:dyDescent="0.3">
      <c r="A11" s="21" t="s">
        <v>132</v>
      </c>
      <c r="B11" s="21">
        <f>INDEX('vehicles specifications'!$B$3:$CK$86,MATCH(B6,'vehicles specifications'!$A$3:$A$86,0),MATCH("Lifetime [km]",'vehicles specifications'!$B$2:$CK$2,0))</f>
        <v>33400</v>
      </c>
    </row>
    <row r="12" spans="1:2" x14ac:dyDescent="0.3">
      <c r="A12" s="21" t="s">
        <v>133</v>
      </c>
      <c r="B12" s="21">
        <f>INDEX('vehicles specifications'!$B$3:$CK$86,MATCH(B6,'vehicles specifications'!$A$3:$A$86,0),MATCH("Passengers [unit]",'vehicles specifications'!$B$2:$CK$2,0))</f>
        <v>1</v>
      </c>
    </row>
    <row r="13" spans="1:2" x14ac:dyDescent="0.3">
      <c r="A13" s="21" t="s">
        <v>134</v>
      </c>
      <c r="B13" s="21">
        <f>INDEX('vehicles specifications'!$B$3:$CK$86,MATCH(B6,'vehicles specifications'!$A$3:$A$86,0),MATCH("Servicing [unit]",'vehicles specifications'!$B$2:$CK$2,0))</f>
        <v>1</v>
      </c>
    </row>
    <row r="14" spans="1:2" x14ac:dyDescent="0.3">
      <c r="A14" s="21" t="s">
        <v>135</v>
      </c>
      <c r="B14" s="21">
        <f>INDEX('vehicles specifications'!$B$3:$CK$86,MATCH(B6,'vehicles specifications'!$A$3:$A$86,0),MATCH("Energy battery replacement [unit]",'vehicles specifications'!$B$2:$CK$2,0))</f>
        <v>1</v>
      </c>
    </row>
    <row r="15" spans="1:2" x14ac:dyDescent="0.3">
      <c r="A15" s="21" t="s">
        <v>136</v>
      </c>
      <c r="B15" s="21">
        <f>INDEX('vehicles specifications'!$B$3:$CK$86,MATCH(B6,'vehicles specifications'!$A$3:$A$86,0),MATCH("Annual kilometers [km]",'vehicles specifications'!$B$2:$CK$2,0))</f>
        <v>2553</v>
      </c>
    </row>
    <row r="16" spans="1:2" x14ac:dyDescent="0.3">
      <c r="A16" s="21" t="s">
        <v>137</v>
      </c>
      <c r="B16" s="2">
        <f>INDEX('vehicles specifications'!$B$3:$CK$86,MATCH(B6,'vehicles specifications'!$A$3:$A$86,0),MATCH("Curb mass [kg]",'vehicles specifications'!$B$2:$CK$2,0))</f>
        <v>99.8</v>
      </c>
    </row>
    <row r="17" spans="1:8" x14ac:dyDescent="0.3">
      <c r="A17" s="21" t="s">
        <v>138</v>
      </c>
      <c r="B17" s="21">
        <f>INDEX('vehicles specifications'!$B$3:$CK$86,MATCH(B6,'vehicles specifications'!$A$3:$A$86,0),MATCH("Power [kW]",'vehicles specifications'!$B$2:$CK$2,0))</f>
        <v>2.6</v>
      </c>
    </row>
    <row r="18" spans="1:8" x14ac:dyDescent="0.3">
      <c r="A18" s="21" t="s">
        <v>139</v>
      </c>
      <c r="B18" s="21">
        <f>INDEX('vehicles specifications'!$B$3:$CK$86,MATCH(B6,'vehicles specifications'!$A$3:$A$86,0),MATCH("Energy battery mass [kg]",'vehicles specifications'!$B$2:$CK$2,0))</f>
        <v>13.799999999999997</v>
      </c>
    </row>
    <row r="19" spans="1:8" x14ac:dyDescent="0.3">
      <c r="A19" s="21" t="s">
        <v>140</v>
      </c>
      <c r="B19" s="21">
        <f>INDEX('vehicles specifications'!$B$3:$CK$86,MATCH(B6,'vehicles specifications'!$A$3:$A$86,0),MATCH("Electric energy stored [kWh]",'vehicles specifications'!$B$2:$CK$2,0))</f>
        <v>2.2999999999999998</v>
      </c>
    </row>
    <row r="20" spans="1:8" x14ac:dyDescent="0.3">
      <c r="A20" s="21" t="s">
        <v>654</v>
      </c>
      <c r="B20" s="21">
        <f>INDEX('vehicles specifications'!$B$3:$CK$86,MATCH(B6,'vehicles specifications'!$A$3:$A$86,0),MATCH("Electric energy available [kWh]",'vehicles specifications'!$B$2:$CK$2,0))</f>
        <v>1.8399999999999999</v>
      </c>
    </row>
    <row r="21" spans="1:8" x14ac:dyDescent="0.3">
      <c r="A21" s="21" t="s">
        <v>143</v>
      </c>
      <c r="B21" s="2">
        <f>INDEX('vehicles specifications'!$B$3:$CK$86,MATCH(B6,'vehicles specifications'!$A$3:$A$86,0),MATCH("Oxydation energy stored [kWh]",'vehicles specifications'!$B$2:$CK$2,0))</f>
        <v>0</v>
      </c>
    </row>
    <row r="22" spans="1:8" x14ac:dyDescent="0.3">
      <c r="A22" s="21" t="s">
        <v>145</v>
      </c>
      <c r="B22" s="21">
        <f>INDEX('vehicles specifications'!$B$3:$CK$86,MATCH(B6,'vehicles specifications'!$A$3:$A$86,0),MATCH("Fuel mass [kg]",'vehicles specifications'!$B$2:$CK$2,0))</f>
        <v>0</v>
      </c>
    </row>
    <row r="23" spans="1:8" x14ac:dyDescent="0.3">
      <c r="A23" s="21" t="s">
        <v>141</v>
      </c>
      <c r="B23" s="2">
        <f>INDEX('vehicles specifications'!$B$3:$CK$86,MATCH(B6,'vehicles specifications'!$A$3:$A$86,0),MATCH("Range [km]",'vehicles specifications'!$B$2:$CK$2,0))</f>
        <v>49.641735985533444</v>
      </c>
    </row>
    <row r="24" spans="1:8" x14ac:dyDescent="0.3">
      <c r="A24" s="21" t="s">
        <v>142</v>
      </c>
      <c r="B24" s="21" t="str">
        <f>INDEX('vehicles specifications'!$B$3:$CK$86,MATCH(B6,'vehicles specifications'!$A$3:$A$86,0),MATCH("Emission standard",'vehicles specifications'!$B$2:$CK$2,0))</f>
        <v>None</v>
      </c>
    </row>
    <row r="25" spans="1:8" x14ac:dyDescent="0.3">
      <c r="A25" s="21" t="s">
        <v>144</v>
      </c>
      <c r="B25" s="6">
        <f>INDEX('vehicles specifications'!$B$3:$CK$86,MATCH(B6,'vehicles specifications'!$A$3:$A$86,0),MATCH("Lightweighting rate [%]",'vehicles specifications'!$B$2:$CK$2,0))</f>
        <v>0</v>
      </c>
    </row>
    <row r="26" spans="1:8" x14ac:dyDescent="0.3">
      <c r="A26" s="21" t="s">
        <v>513</v>
      </c>
      <c r="B26" s="6" t="s">
        <v>514</v>
      </c>
    </row>
    <row r="27" spans="1:8" x14ac:dyDescent="0.3">
      <c r="A27" s="21" t="s">
        <v>515</v>
      </c>
      <c r="B27" s="2">
        <v>15900</v>
      </c>
    </row>
    <row r="28" spans="1:8" x14ac:dyDescent="0.3">
      <c r="A28" s="21" t="s">
        <v>516</v>
      </c>
      <c r="B28" s="2">
        <v>1000</v>
      </c>
    </row>
    <row r="29" spans="1:8"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2.6 kW. Lifetime: 33400 km. Annual kilometers: 2553 km. Number of passengers: 1. Curb mass: 99.8 kg. Lightweighting of glider: 0%. Emission standard: None. Service visits throughout lifetime: 1. Range: 50 km. Battery capacity: 2.3 kWh. Available battery capacity: 1.84 kWh. Battery mass: 13.8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s="21" t="s">
        <v>81</v>
      </c>
      <c r="B31" s="21" t="s">
        <v>82</v>
      </c>
      <c r="C31" s="21" t="s">
        <v>73</v>
      </c>
      <c r="D31" s="21" t="s">
        <v>77</v>
      </c>
      <c r="E31" s="21" t="s">
        <v>83</v>
      </c>
      <c r="F31" s="21" t="s">
        <v>75</v>
      </c>
      <c r="G31" s="21" t="s">
        <v>84</v>
      </c>
      <c r="H31" s="21" t="s">
        <v>74</v>
      </c>
    </row>
    <row r="32" spans="1:8" x14ac:dyDescent="0.3">
      <c r="A32" s="12" t="str">
        <f>B1</f>
        <v>Scooter, electric, &lt;4kW, 2020</v>
      </c>
      <c r="B32" s="12">
        <v>1</v>
      </c>
      <c r="C32" s="12" t="str">
        <f>B2</f>
        <v>CH</v>
      </c>
      <c r="D32" s="12" t="str">
        <f>B9</f>
        <v>unit</v>
      </c>
      <c r="E32" s="12"/>
      <c r="F32" s="12" t="s">
        <v>85</v>
      </c>
      <c r="G32" s="12" t="s">
        <v>86</v>
      </c>
      <c r="H32" s="12" t="str">
        <f>B3</f>
        <v>Scooter, electric, &lt;4kW</v>
      </c>
    </row>
    <row r="33" spans="1:8" x14ac:dyDescent="0.3">
      <c r="A33" s="12" t="str">
        <f>INDEX('ei names mapping'!$B$4:$R$33,MATCH(B3,'ei names mapping'!$A$4:$A$33,0),MATCH(G33,'ei names mapping'!$B$3:$R$3,0))</f>
        <v>market for glider, for electric scooter</v>
      </c>
      <c r="B33" s="16">
        <f>INDEX('vehicles specifications'!$B$3:$CK$86,MATCH(B6,'vehicles specifications'!$A$3:$A$86,0),MATCH(G33,'vehicles specifications'!$B$2:$CK$2,0))*INDEX('ei names mapping'!$B$137:$BK$220,MATCH(B6,'ei names mapping'!$A$137:$A$220,0),MATCH(G33,'ei names mapping'!$B$136:$BK$136,0))</f>
        <v>73</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x14ac:dyDescent="0.3">
      <c r="A34" s="12" t="str">
        <f>INDEX('ei names mapping'!$B$4:$R$33,MATCH(B3,'ei names mapping'!$A$4:$A$33,0),MATCH(G34,'ei names mapping'!$B$3:$R$3,0))</f>
        <v>glider lightweighting</v>
      </c>
      <c r="B34" s="16">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16">
        <f>INDEX('vehicles specifications'!$B$3:$CK$86,MATCH(B6,'vehicles specifications'!$A$3:$A$86,0),MATCH(G35,'vehicles specifications'!$B$2:$CK$2,0))*INDEX('ei names mapping'!$B$137:$BK$220,MATCH(B6,'ei names mapping'!$A$137:$A$220,0),MATCH(G35,'ei names mapping'!$B$136:$BK$136,0))</f>
        <v>5</v>
      </c>
      <c r="C35" s="12" t="str">
        <f>INDEX('ei names mapping'!$B$38:$R$67,MATCH(B3,'ei names mapping'!$A$4:$A$33,0),MATCH(G35,'ei names mapping'!$B$3:$R$3,0))</f>
        <v>GLO</v>
      </c>
      <c r="D35" s="12" t="str">
        <f>INDEX('ei names mapping'!$B$104:$R$133,MATCH(B3,'ei names mapping'!$A$104:$A$133,0),MATCH(G35,'ei names mapping'!$B$3:$R$3,0))</f>
        <v>kilogram</v>
      </c>
      <c r="E35" s="12"/>
      <c r="F35" s="12" t="s">
        <v>91</v>
      </c>
      <c r="G35" s="21"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16">
        <f>INDEX('vehicles specifications'!$B$3:$CK$86,MATCH(B6,'vehicles specifications'!$A$3:$A$86,0),MATCH(G36,'vehicles specifications'!$B$2:$CK$2,0))*INDEX('ei names mapping'!$B$137:$BK$220,MATCH(B6,'ei names mapping'!$A$137:$A$220,0),MATCH(G36,'ei names mapping'!$B$136:$BK$136,0))</f>
        <v>8</v>
      </c>
      <c r="C36" s="12" t="str">
        <f>INDEX('ei names mapping'!$B$38:$R$67,MATCH(B3,'ei names mapping'!$A$4:$A$33,0),MATCH(G36,'ei names mapping'!$B$3:$R$3,0))</f>
        <v>GLO</v>
      </c>
      <c r="D36" s="12" t="str">
        <f>INDEX('ei names mapping'!$B$104:$R$133,MATCH(B3,'ei names mapping'!$A$104:$A$133,0),MATCH(G36,'ei names mapping'!$B$3:$R$3,0))</f>
        <v>kilogram</v>
      </c>
      <c r="E36" s="12"/>
      <c r="F36" s="12" t="s">
        <v>91</v>
      </c>
      <c r="G36" s="21"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16">
        <f>INDEX('vehicles specifications'!$B$3:$CK$86,MATCH(B6,'vehicles specifications'!$A$3:$A$86,0),MATCH(G37,'vehicles specifications'!$B$2:$CK$2,0))*INDEX('ei names mapping'!$B$137:$BK$220,MATCH(B6,'ei names mapping'!$A$137:$A$220,0),MATCH(G37,'ei names mapping'!$B$136:$BK$136,0))</f>
        <v>22.999999999999996</v>
      </c>
      <c r="C37" s="12" t="str">
        <f>INDEX('ei names mapping'!$B$38:$R$67,MATCH(B3,'ei names mapping'!$A$4:$A$33,0),MATCH(G37,'ei names mapping'!$B$3:$R$3,0))</f>
        <v>GLO</v>
      </c>
      <c r="D37" s="12" t="str">
        <f>INDEX('ei names mapping'!$B$104:$R$133,MATCH(B3,'ei names mapping'!$A$104:$A$133,0),MATCH(G37,'ei names mapping'!$B$3:$R$3,0))</f>
        <v>kilogram</v>
      </c>
      <c r="E37" s="12"/>
      <c r="F37" s="12" t="s">
        <v>91</v>
      </c>
      <c r="G37" s="21"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6">
        <f>INDEX('vehicles specifications'!$B$3:$CK$86,MATCH(B6,'vehicles specifications'!$A$3:$A$86,0),MATCH(G38,'vehicles specifications'!$B$2:$CK$2,0))*INDEX('ei names mapping'!$B$137:$BK$220,MATCH(B6,'ei names mapping'!$A$137:$A$220,0),MATCH(G38,'ei names mapping'!$B$136:$BK$136,0))</f>
        <v>4.5999999999999996</v>
      </c>
      <c r="C38" s="12" t="str">
        <f>INDEX('ei names mapping'!$B$38:$R$67,MATCH(B3,'ei names mapping'!$A$4:$A$33,0),MATCH(G38,'ei names mapping'!$B$3:$R$3,0))</f>
        <v>GLO</v>
      </c>
      <c r="D38" s="12" t="str">
        <f>INDEX('ei names mapping'!$B$104:$R$133,MATCH(B3,'ei names mapping'!$A$104:$A$133,0),MATCH(G38,'ei names mapping'!$B$3:$R$3,0))</f>
        <v>kilogram</v>
      </c>
      <c r="E38" s="12"/>
      <c r="F38" s="12" t="s">
        <v>91</v>
      </c>
      <c r="G38" s="21"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16">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s="21"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market for manual dismantling of electric scooter</v>
      </c>
      <c r="B40" s="16">
        <f>INDEX('vehicles specifications'!$B$3:$CK$86,MATCH(B6,'vehicles specifications'!$A$3:$A$86,0),MATCH(G40,'vehicles specifications'!$B$2:$CK$2,0))*INDEX('ei names mapping'!$B$137:$BK$220,MATCH(B6,'ei names mapping'!$A$137:$A$220,0),MATCH(G40,'ei names mapping'!$B$136:$BK$136,0))</f>
        <v>73</v>
      </c>
      <c r="C40" s="12" t="str">
        <f>INDEX('ei names mapping'!$B$38:$R$67,MATCH(B3,'ei names mapping'!$A$4:$A$33,0),MATCH(G40,'ei names mapping'!$B$3:$R$3,0))</f>
        <v>GLO</v>
      </c>
      <c r="D40" s="12" t="str">
        <f>INDEX('ei names mapping'!$B$104:$R$133,MATCH(B3,'ei names mapping'!$A$104:$A$133,0),MATCH(G40,'ei names mapping'!$B$3:$R$3,0))</f>
        <v>unit</v>
      </c>
      <c r="E40" s="12"/>
      <c r="F40" s="12" t="s">
        <v>91</v>
      </c>
      <c r="G40" s="21"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market for manual dismantling of electric scooter</v>
      </c>
      <c r="B41" s="16">
        <f>INDEX('vehicles specifications'!$B$3:$CK$86,MATCH(B6,'vehicles specifications'!$A$3:$A$86,0),MATCH(G41,'vehicles specifications'!$B$2:$CK$2,0))*INDEX('ei names mapping'!$B$137:$BK$220,MATCH(B6,'ei names mapping'!$A$137:$A$220,0),MATCH(G41,'ei names mapping'!$B$136:$BK$136,0))</f>
        <v>13</v>
      </c>
      <c r="C41" s="12" t="str">
        <f>INDEX('ei names mapping'!$B$38:$R$67,MATCH(B3,'ei names mapping'!$A$4:$A$33,0),MATCH(G41,'ei names mapping'!$B$3:$R$3,0))</f>
        <v>GLO</v>
      </c>
      <c r="D41" s="12" t="str">
        <f>INDEX('ei names mapping'!$B$104:$R$133,MATCH(B3,'ei names mapping'!$A$104:$A$133,0),MATCH(G41,'ei names mapping'!$B$3:$R$3,0))</f>
        <v>unit</v>
      </c>
      <c r="E41" s="12"/>
      <c r="F41" s="12" t="s">
        <v>91</v>
      </c>
      <c r="G41" s="2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specifications'!$B$3:$CK$86,MATCH(B6,'vehicles specifications'!$A$3:$A$86,0),MATCH(G42,'vehicles specifications'!$B$2:$CK$2,0))*INDEX('ei names mapping'!$B$137:$BK$220,MATCH(B6,'ei names mapping'!$A$137:$A$220,0),MATCH(G42,'ei names mapping'!$B$136:$BK$136,0))</f>
        <v>-27.599999999999994</v>
      </c>
      <c r="C42" s="12" t="str">
        <f>INDEX('ei names mapping'!$B$38:$R$67,MATCH(B3,'ei names mapping'!$A$4:$A$33,0),MATCH(G42,'ei names mapping'!$B$3:$R$3,0))</f>
        <v>GLO</v>
      </c>
      <c r="D42" s="12" t="str">
        <f>INDEX('ei names mapping'!$B$104:$R$133,MATCH(B3,'ei names mapping'!$A$104:$A$133,0),MATCH(G42,'ei names mapping'!$B$3:$R$3,0))</f>
        <v>kilogram</v>
      </c>
      <c r="E42" s="12"/>
      <c r="F42" s="12" t="s">
        <v>91</v>
      </c>
      <c r="G42" s="21" t="s">
        <v>152</v>
      </c>
      <c r="H42" s="12" t="str">
        <f>INDEX('ei names mapping'!$B$71:$R$100,MATCH(B3,'ei names mapping'!$A$4:$A$33,0),MATCH(G42,'ei names mapping'!$B$3:$R$3,0))</f>
        <v>used Li-ion battery</v>
      </c>
    </row>
    <row r="43" spans="1:8" x14ac:dyDescent="0.3">
      <c r="A43" s="22" t="s">
        <v>468</v>
      </c>
      <c r="B43" s="21">
        <f>(B16/1000)*B28</f>
        <v>99.8</v>
      </c>
      <c r="C43" s="21" t="s">
        <v>94</v>
      </c>
      <c r="D43" s="21" t="s">
        <v>243</v>
      </c>
      <c r="F43" s="21" t="s">
        <v>91</v>
      </c>
      <c r="H43" s="22" t="s">
        <v>469</v>
      </c>
    </row>
    <row r="44" spans="1:8" x14ac:dyDescent="0.3">
      <c r="A44" s="22" t="s">
        <v>467</v>
      </c>
      <c r="B44" s="2">
        <f>(B16/1000)*B27</f>
        <v>1586.82</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Scooter, electric, &lt;4kW, 2030</v>
      </c>
    </row>
    <row r="47" spans="1:8" x14ac:dyDescent="0.3">
      <c r="A47" s="21" t="s">
        <v>73</v>
      </c>
      <c r="B47" s="21" t="s">
        <v>37</v>
      </c>
    </row>
    <row r="48" spans="1:8" x14ac:dyDescent="0.3">
      <c r="A48" s="21" t="s">
        <v>87</v>
      </c>
      <c r="B48" s="21" t="s">
        <v>674</v>
      </c>
    </row>
    <row r="49" spans="1:2" x14ac:dyDescent="0.3">
      <c r="A49" s="21" t="s">
        <v>88</v>
      </c>
      <c r="B49" s="12"/>
    </row>
    <row r="50" spans="1:2" x14ac:dyDescent="0.3">
      <c r="A50" s="21" t="s">
        <v>89</v>
      </c>
      <c r="B50" s="12">
        <v>2030</v>
      </c>
    </row>
    <row r="51" spans="1:2" x14ac:dyDescent="0.3">
      <c r="A51" s="21" t="s">
        <v>131</v>
      </c>
      <c r="B51" s="12" t="str">
        <f>B48&amp;" - "&amp;B50&amp;" - "&amp;B47</f>
        <v>Scooter, electric, &lt;4kW - 2030 - CH</v>
      </c>
    </row>
    <row r="52" spans="1:2" x14ac:dyDescent="0.3">
      <c r="A52" s="21" t="s">
        <v>74</v>
      </c>
      <c r="B52" s="21" t="str">
        <f>B48</f>
        <v>Scooter, electric, &lt;4kW</v>
      </c>
    </row>
    <row r="53" spans="1:2" x14ac:dyDescent="0.3">
      <c r="A53" s="21" t="s">
        <v>75</v>
      </c>
      <c r="B53" s="21" t="s">
        <v>76</v>
      </c>
    </row>
    <row r="54" spans="1:2" x14ac:dyDescent="0.3">
      <c r="A54" s="21" t="s">
        <v>77</v>
      </c>
      <c r="B54" s="21" t="s">
        <v>77</v>
      </c>
    </row>
    <row r="55" spans="1:2" x14ac:dyDescent="0.3">
      <c r="A55" s="21" t="s">
        <v>79</v>
      </c>
      <c r="B55" s="21" t="s">
        <v>90</v>
      </c>
    </row>
    <row r="56" spans="1:2" x14ac:dyDescent="0.3">
      <c r="A56" s="21" t="s">
        <v>132</v>
      </c>
      <c r="B56" s="21">
        <f>INDEX('vehicles specifications'!$B$3:$CK$86,MATCH(B51,'vehicles specifications'!$A$3:$A$86,0),MATCH("Lifetime [km]",'vehicles specifications'!$B$2:$CK$2,0))</f>
        <v>33400</v>
      </c>
    </row>
    <row r="57" spans="1:2" x14ac:dyDescent="0.3">
      <c r="A57" s="21" t="s">
        <v>133</v>
      </c>
      <c r="B57" s="21">
        <f>INDEX('vehicles specifications'!$B$3:$CK$86,MATCH(B51,'vehicles specifications'!$A$3:$A$86,0),MATCH("Passengers [unit]",'vehicles specifications'!$B$2:$CK$2,0))</f>
        <v>1</v>
      </c>
    </row>
    <row r="58" spans="1:2" x14ac:dyDescent="0.3">
      <c r="A58" s="21" t="s">
        <v>134</v>
      </c>
      <c r="B58" s="21">
        <f>INDEX('vehicles specifications'!$B$3:$CK$86,MATCH(B51,'vehicles specifications'!$A$3:$A$86,0),MATCH("Servicing [unit]",'vehicles specifications'!$B$2:$CK$2,0))</f>
        <v>1</v>
      </c>
    </row>
    <row r="59" spans="1:2" x14ac:dyDescent="0.3">
      <c r="A59" s="21" t="s">
        <v>135</v>
      </c>
      <c r="B59" s="21">
        <f>INDEX('vehicles specifications'!$B$3:$CK$86,MATCH(B51,'vehicles specifications'!$A$3:$A$86,0),MATCH("Energy battery replacement [unit]",'vehicles specifications'!$B$2:$CK$2,0))</f>
        <v>0.5</v>
      </c>
    </row>
    <row r="60" spans="1:2" x14ac:dyDescent="0.3">
      <c r="A60" s="21" t="s">
        <v>136</v>
      </c>
      <c r="B60" s="21">
        <f>INDEX('vehicles specifications'!$B$3:$CK$86,MATCH(B51,'vehicles specifications'!$A$3:$A$86,0),MATCH("Annual kilometers [km]",'vehicles specifications'!$B$2:$CK$2,0))</f>
        <v>2553</v>
      </c>
    </row>
    <row r="61" spans="1:2" x14ac:dyDescent="0.3">
      <c r="A61" s="21" t="s">
        <v>137</v>
      </c>
      <c r="B61" s="2">
        <f>INDEX('vehicles specifications'!$B$3:$CK$86,MATCH(B51,'vehicles specifications'!$A$3:$A$86,0),MATCH("Curb mass [kg]",'vehicles specifications'!$B$2:$CK$2,0))</f>
        <v>99.81</v>
      </c>
    </row>
    <row r="62" spans="1:2" x14ac:dyDescent="0.3">
      <c r="A62" s="21" t="s">
        <v>138</v>
      </c>
      <c r="B62" s="21">
        <f>INDEX('vehicles specifications'!$B$3:$CK$86,MATCH(B51,'vehicles specifications'!$A$3:$A$86,0),MATCH("Power [kW]",'vehicles specifications'!$B$2:$CK$2,0))</f>
        <v>2.6</v>
      </c>
    </row>
    <row r="63" spans="1:2" x14ac:dyDescent="0.3">
      <c r="A63" s="21" t="s">
        <v>139</v>
      </c>
      <c r="B63" s="21">
        <f>INDEX('vehicles specifications'!$B$3:$CK$86,MATCH(B51,'vehicles specifications'!$A$3:$A$86,0),MATCH("Energy battery mass [kg]",'vehicles specifications'!$B$2:$CK$2,0))</f>
        <v>16</v>
      </c>
    </row>
    <row r="64" spans="1:2" x14ac:dyDescent="0.3">
      <c r="A64" s="21" t="s">
        <v>140</v>
      </c>
      <c r="B64" s="21">
        <f>INDEX('vehicles specifications'!$B$3:$CK$86,MATCH(B51,'vehicles specifications'!$A$3:$A$86,0),MATCH("Electric energy stored [kWh]",'vehicles specifications'!$B$2:$CK$2,0))</f>
        <v>4</v>
      </c>
    </row>
    <row r="65" spans="1:8" x14ac:dyDescent="0.3">
      <c r="A65" s="21" t="s">
        <v>654</v>
      </c>
      <c r="B65" s="21">
        <f>INDEX('vehicles specifications'!$B$3:$CK$86,MATCH(B51,'vehicles specifications'!$A$3:$A$86,0),MATCH("Electric energy available [kWh]",'vehicles specifications'!$B$2:$CK$2,0))</f>
        <v>3.2</v>
      </c>
    </row>
    <row r="66" spans="1:8" x14ac:dyDescent="0.3">
      <c r="A66" s="21" t="s">
        <v>143</v>
      </c>
      <c r="B66" s="2">
        <f>INDEX('vehicles specifications'!$B$3:$CK$86,MATCH(B51,'vehicles specifications'!$A$3:$A$86,0),MATCH("Oxydation energy stored [kWh]",'vehicles specifications'!$B$2:$CK$2,0))</f>
        <v>0</v>
      </c>
    </row>
    <row r="67" spans="1:8" x14ac:dyDescent="0.3">
      <c r="A67" s="21" t="s">
        <v>145</v>
      </c>
      <c r="B67" s="21">
        <f>INDEX('vehicles specifications'!$B$3:$CK$86,MATCH(B51,'vehicles specifications'!$A$3:$A$86,0),MATCH("Fuel mass [kg]",'vehicles specifications'!$B$2:$CK$2,0))</f>
        <v>0</v>
      </c>
    </row>
    <row r="68" spans="1:8" x14ac:dyDescent="0.3">
      <c r="A68" s="21" t="s">
        <v>141</v>
      </c>
      <c r="B68" s="2">
        <f>INDEX('vehicles specifications'!$B$3:$CK$86,MATCH(B51,'vehicles specifications'!$A$3:$A$86,0),MATCH("Range [km]",'vehicles specifications'!$B$2:$CK$2,0))</f>
        <v>86.333453887884261</v>
      </c>
    </row>
    <row r="69" spans="1:8" x14ac:dyDescent="0.3">
      <c r="A69" s="21" t="s">
        <v>142</v>
      </c>
      <c r="B69" s="21" t="str">
        <f>INDEX('vehicles specifications'!$B$3:$CK$86,MATCH(B51,'vehicles specifications'!$A$3:$A$86,0),MATCH("Emission standard",'vehicles specifications'!$B$2:$CK$2,0))</f>
        <v>None</v>
      </c>
    </row>
    <row r="70" spans="1:8" x14ac:dyDescent="0.3">
      <c r="A70" s="21" t="s">
        <v>144</v>
      </c>
      <c r="B70" s="6">
        <f>INDEX('vehicles specifications'!$B$3:$CK$86,MATCH(B51,'vehicles specifications'!$A$3:$A$86,0),MATCH("Lightweighting rate [%]",'vehicles specifications'!$B$2:$CK$2,0))</f>
        <v>0.03</v>
      </c>
    </row>
    <row r="71" spans="1:8" x14ac:dyDescent="0.3">
      <c r="A71" s="21" t="s">
        <v>513</v>
      </c>
      <c r="B71" s="6" t="s">
        <v>514</v>
      </c>
    </row>
    <row r="72" spans="1:8" x14ac:dyDescent="0.3">
      <c r="A72" s="21" t="s">
        <v>515</v>
      </c>
      <c r="B72" s="2">
        <v>15900</v>
      </c>
    </row>
    <row r="73" spans="1:8" x14ac:dyDescent="0.3">
      <c r="A73" s="21" t="s">
        <v>516</v>
      </c>
      <c r="B73" s="2">
        <v>1000</v>
      </c>
    </row>
    <row r="74" spans="1:8"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2.6 kW. Lifetime: 33400 km. Annual kilometers: 2553 km. Number of passengers: 1. Curb mass: 99.8 kg. Lightweighting of glider: 3%. Emission standard: None. Service visits throughout lifetime: 1. Range: 86 km. Battery capacity: 4 kWh. Available battery capacity: 3.2 kWh. Battery mass: 16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s="21" t="s">
        <v>81</v>
      </c>
      <c r="B76" s="21" t="s">
        <v>82</v>
      </c>
      <c r="C76" s="21" t="s">
        <v>73</v>
      </c>
      <c r="D76" s="21" t="s">
        <v>77</v>
      </c>
      <c r="E76" s="21" t="s">
        <v>83</v>
      </c>
      <c r="F76" s="21" t="s">
        <v>75</v>
      </c>
      <c r="G76" s="21" t="s">
        <v>84</v>
      </c>
      <c r="H76" s="21" t="s">
        <v>74</v>
      </c>
    </row>
    <row r="77" spans="1:8" x14ac:dyDescent="0.3">
      <c r="A77" s="12" t="str">
        <f>B46</f>
        <v>Scooter, electric, &lt;4kW, 2030</v>
      </c>
      <c r="B77" s="12">
        <v>1</v>
      </c>
      <c r="C77" s="12" t="str">
        <f>B47</f>
        <v>CH</v>
      </c>
      <c r="D77" s="12" t="str">
        <f>B54</f>
        <v>unit</v>
      </c>
      <c r="E77" s="12"/>
      <c r="F77" s="12" t="s">
        <v>85</v>
      </c>
      <c r="G77" s="12" t="s">
        <v>86</v>
      </c>
      <c r="H77" s="12" t="str">
        <f>B48</f>
        <v>Scooter, electric, &lt;4kW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73</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2.19</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5</v>
      </c>
      <c r="C80" s="12" t="str">
        <f>INDEX('ei names mapping'!$B$38:$R$67,MATCH(B48,'ei names mapping'!$A$4:$A$33,0),MATCH(G80,'ei names mapping'!$B$3:$R$3,0))</f>
        <v>GLO</v>
      </c>
      <c r="D80" s="12" t="str">
        <f>INDEX('ei names mapping'!$B$104:$R$133,MATCH(B48,'ei names mapping'!$A$104:$A$133,0),MATCH(G80,'ei names mapping'!$B$3:$R$3,0))</f>
        <v>kilogram</v>
      </c>
      <c r="E80" s="12"/>
      <c r="F80" s="12" t="s">
        <v>91</v>
      </c>
      <c r="G80" s="21"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8</v>
      </c>
      <c r="C81" s="12" t="str">
        <f>INDEX('ei names mapping'!$B$38:$R$67,MATCH(B48,'ei names mapping'!$A$4:$A$33,0),MATCH(G81,'ei names mapping'!$B$3:$R$3,0))</f>
        <v>GLO</v>
      </c>
      <c r="D81" s="12" t="str">
        <f>INDEX('ei names mapping'!$B$104:$R$133,MATCH(B48,'ei names mapping'!$A$104:$A$133,0),MATCH(G81,'ei names mapping'!$B$3:$R$3,0))</f>
        <v>kilogram</v>
      </c>
      <c r="E81" s="12"/>
      <c r="F81" s="12" t="s">
        <v>91</v>
      </c>
      <c r="G81" s="2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20</v>
      </c>
      <c r="C82" s="12" t="str">
        <f>INDEX('ei names mapping'!$B$38:$R$67,MATCH(B48,'ei names mapping'!$A$4:$A$33,0),MATCH(G82,'ei names mapping'!$B$3:$R$3,0))</f>
        <v>GLO</v>
      </c>
      <c r="D82" s="12" t="str">
        <f>INDEX('ei names mapping'!$B$104:$R$133,MATCH(B48,'ei names mapping'!$A$104:$A$133,0),MATCH(G82,'ei names mapping'!$B$3:$R$3,0))</f>
        <v>kilogram</v>
      </c>
      <c r="E82" s="12"/>
      <c r="F82" s="12" t="s">
        <v>91</v>
      </c>
      <c r="G82" s="21"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4</v>
      </c>
      <c r="C83" s="12" t="str">
        <f>INDEX('ei names mapping'!$B$38:$R$67,MATCH(B48,'ei names mapping'!$A$4:$A$33,0),MATCH(G83,'ei names mapping'!$B$3:$R$3,0))</f>
        <v>GLO</v>
      </c>
      <c r="D83" s="12" t="str">
        <f>INDEX('ei names mapping'!$B$104:$R$133,MATCH(B48,'ei names mapping'!$A$104:$A$133,0),MATCH(G83,'ei names mapping'!$B$3:$R$3,0))</f>
        <v>kilogram</v>
      </c>
      <c r="E83" s="12"/>
      <c r="F83" s="12" t="s">
        <v>91</v>
      </c>
      <c r="G83" s="21"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s="21"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market for manual dismantling of electric scooter</v>
      </c>
      <c r="B85" s="16">
        <f>INDEX('vehicles specifications'!$B$3:$CK$86,MATCH(B51,'vehicles specifications'!$A$3:$A$86,0),MATCH(G85,'vehicles specifications'!$B$2:$CK$2,0))*INDEX('ei names mapping'!$B$137:$BK$220,MATCH(B51,'ei names mapping'!$A$137:$A$220,0),MATCH(G85,'ei names mapping'!$B$136:$BK$136,0))</f>
        <v>70.81</v>
      </c>
      <c r="C85" s="12" t="str">
        <f>INDEX('ei names mapping'!$B$38:$R$67,MATCH(B48,'ei names mapping'!$A$4:$A$33,0),MATCH(G85,'ei names mapping'!$B$3:$R$3,0))</f>
        <v>GLO</v>
      </c>
      <c r="D85" s="12" t="str">
        <f>INDEX('ei names mapping'!$B$104:$R$133,MATCH(B48,'ei names mapping'!$A$104:$A$133,0),MATCH(G85,'ei names mapping'!$B$3:$R$3,0))</f>
        <v>unit</v>
      </c>
      <c r="E85" s="12"/>
      <c r="F85" s="12" t="s">
        <v>91</v>
      </c>
      <c r="G85" s="21"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market for manual dismantling of electric scooter</v>
      </c>
      <c r="B86" s="16">
        <f>INDEX('vehicles specifications'!$B$3:$CK$86,MATCH(B51,'vehicles specifications'!$A$3:$A$86,0),MATCH(G86,'vehicles specifications'!$B$2:$CK$2,0))*INDEX('ei names mapping'!$B$137:$BK$220,MATCH(B51,'ei names mapping'!$A$137:$A$220,0),MATCH(G86,'ei names mapping'!$B$136:$BK$136,0))</f>
        <v>13</v>
      </c>
      <c r="C86" s="12" t="str">
        <f>INDEX('ei names mapping'!$B$38:$R$67,MATCH(B48,'ei names mapping'!$A$4:$A$33,0),MATCH(G86,'ei names mapping'!$B$3:$R$3,0))</f>
        <v>GLO</v>
      </c>
      <c r="D86" s="12" t="str">
        <f>INDEX('ei names mapping'!$B$104:$R$133,MATCH(B48,'ei names mapping'!$A$104:$A$133,0),MATCH(G86,'ei names mapping'!$B$3:$R$3,0))</f>
        <v>unit</v>
      </c>
      <c r="E86" s="12"/>
      <c r="F86" s="12" t="s">
        <v>91</v>
      </c>
      <c r="G86" s="21"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-24</v>
      </c>
      <c r="C87" s="12" t="str">
        <f>INDEX('ei names mapping'!$B$38:$R$67,MATCH(B48,'ei names mapping'!$A$4:$A$33,0),MATCH(G87,'ei names mapping'!$B$3:$R$3,0))</f>
        <v>GLO</v>
      </c>
      <c r="D87" s="12" t="str">
        <f>INDEX('ei names mapping'!$B$104:$R$133,MATCH(B48,'ei names mapping'!$A$104:$A$133,0),MATCH(G87,'ei names mapping'!$B$3:$R$3,0))</f>
        <v>kilogram</v>
      </c>
      <c r="E87" s="12"/>
      <c r="F87" s="12" t="s">
        <v>91</v>
      </c>
      <c r="G87" s="21" t="s">
        <v>152</v>
      </c>
      <c r="H87" s="12" t="str">
        <f>INDEX('ei names mapping'!$B$71:$R$100,MATCH(B48,'ei names mapping'!$A$4:$A$33,0),MATCH(G87,'ei names mapping'!$B$3:$R$3,0))</f>
        <v>used Li-ion battery</v>
      </c>
    </row>
    <row r="88" spans="1:8" x14ac:dyDescent="0.3">
      <c r="A88" s="22" t="s">
        <v>468</v>
      </c>
      <c r="B88" s="21">
        <f>(B61/1000)*B73</f>
        <v>99.81</v>
      </c>
      <c r="C88" s="21" t="s">
        <v>94</v>
      </c>
      <c r="D88" s="21" t="s">
        <v>243</v>
      </c>
      <c r="F88" s="21" t="s">
        <v>91</v>
      </c>
      <c r="H88" s="22" t="s">
        <v>469</v>
      </c>
    </row>
    <row r="89" spans="1:8" x14ac:dyDescent="0.3">
      <c r="A89" s="22" t="s">
        <v>467</v>
      </c>
      <c r="B89" s="2">
        <f>(B61/1000)*B72</f>
        <v>1586.979</v>
      </c>
      <c r="C89" s="21" t="s">
        <v>98</v>
      </c>
      <c r="D89" s="21" t="s">
        <v>243</v>
      </c>
      <c r="F89" s="21" t="s">
        <v>91</v>
      </c>
      <c r="H89" s="22" t="s">
        <v>467</v>
      </c>
    </row>
    <row r="90" spans="1:8" x14ac:dyDescent="0.3">
      <c r="B90" s="12"/>
    </row>
    <row r="91" spans="1:8" ht="15.6" x14ac:dyDescent="0.3">
      <c r="A91" s="11" t="s">
        <v>72</v>
      </c>
      <c r="B91" s="9" t="str">
        <f>B93&amp;", "&amp;B95</f>
        <v>Scooter, electric, &lt;4kW, 2040</v>
      </c>
    </row>
    <row r="92" spans="1:8" x14ac:dyDescent="0.3">
      <c r="A92" s="21" t="s">
        <v>73</v>
      </c>
      <c r="B92" s="21" t="s">
        <v>37</v>
      </c>
    </row>
    <row r="93" spans="1:8" x14ac:dyDescent="0.3">
      <c r="A93" s="21" t="s">
        <v>87</v>
      </c>
      <c r="B93" s="21" t="s">
        <v>674</v>
      </c>
    </row>
    <row r="94" spans="1:8" x14ac:dyDescent="0.3">
      <c r="A94" s="21" t="s">
        <v>88</v>
      </c>
      <c r="B94" s="12"/>
    </row>
    <row r="95" spans="1:8" x14ac:dyDescent="0.3">
      <c r="A95" s="21" t="s">
        <v>89</v>
      </c>
      <c r="B95" s="12">
        <v>2040</v>
      </c>
    </row>
    <row r="96" spans="1:8" x14ac:dyDescent="0.3">
      <c r="A96" s="21" t="s">
        <v>131</v>
      </c>
      <c r="B96" s="12" t="str">
        <f>B93&amp;" - "&amp;B95&amp;" - "&amp;B92</f>
        <v>Scooter, electric, &lt;4kW - 2040 - CH</v>
      </c>
    </row>
    <row r="97" spans="1:2" x14ac:dyDescent="0.3">
      <c r="A97" s="21" t="s">
        <v>74</v>
      </c>
      <c r="B97" s="21" t="str">
        <f>B93</f>
        <v>Scooter, electric, &lt;4kW</v>
      </c>
    </row>
    <row r="98" spans="1:2" x14ac:dyDescent="0.3">
      <c r="A98" s="21" t="s">
        <v>75</v>
      </c>
      <c r="B98" s="21" t="s">
        <v>76</v>
      </c>
    </row>
    <row r="99" spans="1:2" x14ac:dyDescent="0.3">
      <c r="A99" s="21" t="s">
        <v>77</v>
      </c>
      <c r="B99" s="21" t="s">
        <v>77</v>
      </c>
    </row>
    <row r="100" spans="1:2" x14ac:dyDescent="0.3">
      <c r="A100" s="21" t="s">
        <v>79</v>
      </c>
      <c r="B100" s="21" t="s">
        <v>90</v>
      </c>
    </row>
    <row r="101" spans="1:2" x14ac:dyDescent="0.3">
      <c r="A101" s="21" t="s">
        <v>132</v>
      </c>
      <c r="B101" s="21">
        <f>INDEX('vehicles specifications'!$B$3:$CK$86,MATCH(B96,'vehicles specifications'!$A$3:$A$86,0),MATCH("Lifetime [km]",'vehicles specifications'!$B$2:$CK$2,0))</f>
        <v>33400</v>
      </c>
    </row>
    <row r="102" spans="1:2" x14ac:dyDescent="0.3">
      <c r="A102" s="21" t="s">
        <v>133</v>
      </c>
      <c r="B102" s="21">
        <f>INDEX('vehicles specifications'!$B$3:$CK$86,MATCH(B96,'vehicles specifications'!$A$3:$A$86,0),MATCH("Passengers [unit]",'vehicles specifications'!$B$2:$CK$2,0))</f>
        <v>1</v>
      </c>
    </row>
    <row r="103" spans="1:2" x14ac:dyDescent="0.3">
      <c r="A103" s="21" t="s">
        <v>134</v>
      </c>
      <c r="B103" s="21">
        <f>INDEX('vehicles specifications'!$B$3:$CK$86,MATCH(B96,'vehicles specifications'!$A$3:$A$86,0),MATCH("Servicing [unit]",'vehicles specifications'!$B$2:$CK$2,0))</f>
        <v>1</v>
      </c>
    </row>
    <row r="104" spans="1:2" x14ac:dyDescent="0.3">
      <c r="A104" s="21" t="s">
        <v>135</v>
      </c>
      <c r="B104" s="21">
        <f>INDEX('vehicles specifications'!$B$3:$CK$86,MATCH(B96,'vehicles specifications'!$A$3:$A$86,0),MATCH("Energy battery replacement [unit]",'vehicles specifications'!$B$2:$CK$2,0))</f>
        <v>0.25</v>
      </c>
    </row>
    <row r="105" spans="1:2" x14ac:dyDescent="0.3">
      <c r="A105" s="21" t="s">
        <v>136</v>
      </c>
      <c r="B105" s="21">
        <f>INDEX('vehicles specifications'!$B$3:$CK$86,MATCH(B96,'vehicles specifications'!$A$3:$A$86,0),MATCH("Annual kilometers [km]",'vehicles specifications'!$B$2:$CK$2,0))</f>
        <v>2553</v>
      </c>
    </row>
    <row r="106" spans="1:2" x14ac:dyDescent="0.3">
      <c r="A106" s="21" t="s">
        <v>137</v>
      </c>
      <c r="B106" s="2">
        <f>INDEX('vehicles specifications'!$B$3:$CK$86,MATCH(B96,'vehicles specifications'!$A$3:$A$86,0),MATCH("Curb mass [kg]",'vehicles specifications'!$B$2:$CK$2,0))</f>
        <v>99.75</v>
      </c>
    </row>
    <row r="107" spans="1:2" x14ac:dyDescent="0.3">
      <c r="A107" s="21" t="s">
        <v>138</v>
      </c>
      <c r="B107" s="21">
        <f>INDEX('vehicles specifications'!$B$3:$CK$86,MATCH(B96,'vehicles specifications'!$A$3:$A$86,0),MATCH("Power [kW]",'vehicles specifications'!$B$2:$CK$2,0))</f>
        <v>2.6</v>
      </c>
    </row>
    <row r="108" spans="1:2" x14ac:dyDescent="0.3">
      <c r="A108" s="21" t="s">
        <v>139</v>
      </c>
      <c r="B108" s="21">
        <f>INDEX('vehicles specifications'!$B$3:$CK$86,MATCH(B96,'vehicles specifications'!$A$3:$A$86,0),MATCH("Energy battery mass [kg]",'vehicles specifications'!$B$2:$CK$2,0))</f>
        <v>17.399999999999999</v>
      </c>
    </row>
    <row r="109" spans="1:2" x14ac:dyDescent="0.3">
      <c r="A109" s="21" t="s">
        <v>140</v>
      </c>
      <c r="B109" s="21">
        <f>INDEX('vehicles specifications'!$B$3:$CK$86,MATCH(B96,'vehicles specifications'!$A$3:$A$86,0),MATCH("Electric energy stored [kWh]",'vehicles specifications'!$B$2:$CK$2,0))</f>
        <v>5.8</v>
      </c>
    </row>
    <row r="110" spans="1:2" x14ac:dyDescent="0.3">
      <c r="A110" s="21" t="s">
        <v>654</v>
      </c>
      <c r="B110" s="21">
        <f>INDEX('vehicles specifications'!$B$3:$CK$86,MATCH(B96,'vehicles specifications'!$A$3:$A$86,0),MATCH("Electric energy available [kWh]",'vehicles specifications'!$B$2:$CK$2,0))</f>
        <v>4.6399999999999997</v>
      </c>
    </row>
    <row r="111" spans="1:2" x14ac:dyDescent="0.3">
      <c r="A111" s="21" t="s">
        <v>143</v>
      </c>
      <c r="B111" s="2">
        <f>INDEX('vehicles specifications'!$B$3:$CK$86,MATCH(B96,'vehicles specifications'!$A$3:$A$86,0),MATCH("Oxydation energy stored [kWh]",'vehicles specifications'!$B$2:$CK$2,0))</f>
        <v>0</v>
      </c>
    </row>
    <row r="112" spans="1:2" x14ac:dyDescent="0.3">
      <c r="A112" s="21" t="s">
        <v>145</v>
      </c>
      <c r="B112" s="21">
        <f>INDEX('vehicles specifications'!$B$3:$CK$86,MATCH(B96,'vehicles specifications'!$A$3:$A$86,0),MATCH("Fuel mass [kg]",'vehicles specifications'!$B$2:$CK$2,0))</f>
        <v>0</v>
      </c>
    </row>
    <row r="113" spans="1:8" x14ac:dyDescent="0.3">
      <c r="A113" s="21" t="s">
        <v>141</v>
      </c>
      <c r="B113" s="2">
        <f>INDEX('vehicles specifications'!$B$3:$CK$86,MATCH(B96,'vehicles specifications'!$A$3:$A$86,0),MATCH("Range [km]",'vehicles specifications'!$B$2:$CK$2,0))</f>
        <v>125.18350813743217</v>
      </c>
    </row>
    <row r="114" spans="1:8" x14ac:dyDescent="0.3">
      <c r="A114" s="21" t="s">
        <v>142</v>
      </c>
      <c r="B114" s="21" t="str">
        <f>INDEX('vehicles specifications'!$B$3:$CK$86,MATCH(B96,'vehicles specifications'!$A$3:$A$86,0),MATCH("Emission standard",'vehicles specifications'!$B$2:$CK$2,0))</f>
        <v>None</v>
      </c>
    </row>
    <row r="115" spans="1:8" x14ac:dyDescent="0.3">
      <c r="A115" s="21" t="s">
        <v>144</v>
      </c>
      <c r="B115" s="6">
        <f>INDEX('vehicles specifications'!$B$3:$CK$86,MATCH(B96,'vehicles specifications'!$A$3:$A$86,0),MATCH("Lightweighting rate [%]",'vehicles specifications'!$B$2:$CK$2,0))</f>
        <v>0.05</v>
      </c>
    </row>
    <row r="116" spans="1:8" x14ac:dyDescent="0.3">
      <c r="A116" s="21" t="s">
        <v>513</v>
      </c>
      <c r="B116" s="6" t="s">
        <v>514</v>
      </c>
    </row>
    <row r="117" spans="1:8" x14ac:dyDescent="0.3">
      <c r="A117" s="21" t="s">
        <v>515</v>
      </c>
      <c r="B117" s="2">
        <v>15900</v>
      </c>
    </row>
    <row r="118" spans="1:8" x14ac:dyDescent="0.3">
      <c r="A118" s="21" t="s">
        <v>516</v>
      </c>
      <c r="B118" s="2">
        <v>1000</v>
      </c>
    </row>
    <row r="119" spans="1:8" x14ac:dyDescent="0.3">
      <c r="A119" s="21"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scooter'!B100</f>
        <v>Power: 2.6 kW. Lifetime: 33400 km. Annual kilometers: 2553 km. Number of passengers: 1. Curb mass: 99.8 kg. Lightweighting of glider: 5%. Emission standard: None. Service visits throughout lifetime: 1. Range: 125 km. Battery capacity: 5.8 kWh. Available battery capacity: 4.64 kWh. Battery mass: 17.4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1</v>
      </c>
    </row>
    <row r="120" spans="1:8" ht="15.6" x14ac:dyDescent="0.3">
      <c r="A120" s="11" t="s">
        <v>80</v>
      </c>
    </row>
    <row r="121" spans="1:8" x14ac:dyDescent="0.3">
      <c r="A121" s="21" t="s">
        <v>81</v>
      </c>
      <c r="B121" s="21" t="s">
        <v>82</v>
      </c>
      <c r="C121" s="21" t="s">
        <v>73</v>
      </c>
      <c r="D121" s="21" t="s">
        <v>77</v>
      </c>
      <c r="E121" s="21" t="s">
        <v>83</v>
      </c>
      <c r="F121" s="21" t="s">
        <v>75</v>
      </c>
      <c r="G121" s="21" t="s">
        <v>84</v>
      </c>
      <c r="H121" s="21" t="s">
        <v>74</v>
      </c>
    </row>
    <row r="122" spans="1:8" x14ac:dyDescent="0.3">
      <c r="A122" s="12" t="str">
        <f>B91</f>
        <v>Scooter, electric, &lt;4kW, 2040</v>
      </c>
      <c r="B122" s="12">
        <v>1</v>
      </c>
      <c r="C122" s="12" t="str">
        <f>B92</f>
        <v>CH</v>
      </c>
      <c r="D122" s="12" t="str">
        <f>B99</f>
        <v>unit</v>
      </c>
      <c r="E122" s="12"/>
      <c r="F122" s="12" t="s">
        <v>85</v>
      </c>
      <c r="G122" s="12" t="s">
        <v>86</v>
      </c>
      <c r="H122" s="12" t="str">
        <f>B93</f>
        <v>Scooter, electric, &lt;4kW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73</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3.6500000000000004</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5</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s="21"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8</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s="21"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18.124999999999996</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s="21"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3.625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s="21"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s="21"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market for manual dismantling of electric scooter</v>
      </c>
      <c r="B130" s="16">
        <f>INDEX('vehicles specifications'!$B$3:$CK$86,MATCH(B96,'vehicles specifications'!$A$3:$A$86,0),MATCH(G130,'vehicles specifications'!$B$2:$CK$2,0))*INDEX('ei names mapping'!$B$137:$BK$220,MATCH(B96,'ei names mapping'!$A$137:$A$220,0),MATCH(G130,'ei names mapping'!$B$136:$BK$136,0))</f>
        <v>69.349999999999994</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s="21"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market for manual dismantling of electric scooter</v>
      </c>
      <c r="B131" s="16">
        <f>INDEX('vehicles specifications'!$B$3:$CK$86,MATCH(B96,'vehicles specifications'!$A$3:$A$86,0),MATCH(G131,'vehicles specifications'!$B$2:$CK$2,0))*INDEX('ei names mapping'!$B$137:$BK$220,MATCH(B96,'ei names mapping'!$A$137:$A$220,0),MATCH(G131,'ei names mapping'!$B$136:$BK$136,0))</f>
        <v>13</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s="2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-21.75</v>
      </c>
      <c r="C132" s="12" t="str">
        <f>INDEX('ei names mapping'!$B$38:$R$67,MATCH(B93,'ei names mapping'!$A$4:$A$33,0),MATCH(G132,'ei names mapping'!$B$3:$R$3,0))</f>
        <v>GLO</v>
      </c>
      <c r="D132" s="12" t="str">
        <f>INDEX('ei names mapping'!$B$104:$R$133,MATCH(B93,'ei names mapping'!$A$104:$A$133,0),MATCH(G132,'ei names mapping'!$B$3:$R$3,0))</f>
        <v>kilogram</v>
      </c>
      <c r="E132" s="12"/>
      <c r="F132" s="12" t="s">
        <v>91</v>
      </c>
      <c r="G132" s="21" t="s">
        <v>152</v>
      </c>
      <c r="H132" s="12" t="str">
        <f>INDEX('ei names mapping'!$B$71:$R$100,MATCH(B93,'ei names mapping'!$A$4:$A$33,0),MATCH(G132,'ei names mapping'!$B$3:$R$3,0))</f>
        <v>used Li-ion battery</v>
      </c>
    </row>
    <row r="133" spans="1:8" x14ac:dyDescent="0.3">
      <c r="A133" s="22" t="s">
        <v>468</v>
      </c>
      <c r="B133" s="21">
        <f>(B106/1000)*B118</f>
        <v>99.75</v>
      </c>
      <c r="C133" s="21" t="s">
        <v>94</v>
      </c>
      <c r="D133" s="21" t="s">
        <v>243</v>
      </c>
      <c r="F133" s="21" t="s">
        <v>91</v>
      </c>
      <c r="H133" s="22" t="s">
        <v>469</v>
      </c>
    </row>
    <row r="134" spans="1:8" x14ac:dyDescent="0.3">
      <c r="A134" s="22" t="s">
        <v>467</v>
      </c>
      <c r="B134" s="2">
        <f>(B106/1000)*B117</f>
        <v>1586.0250000000001</v>
      </c>
      <c r="C134" s="21" t="s">
        <v>98</v>
      </c>
      <c r="D134" s="21" t="s">
        <v>243</v>
      </c>
      <c r="F134" s="21" t="s">
        <v>91</v>
      </c>
      <c r="H134" s="22" t="s">
        <v>467</v>
      </c>
    </row>
    <row r="136" spans="1:8" ht="15.6" x14ac:dyDescent="0.3">
      <c r="A136" s="11" t="s">
        <v>72</v>
      </c>
      <c r="B136" s="9" t="str">
        <f>B138&amp;", "&amp;B140</f>
        <v>Scooter, electric, &lt;4kW, 2050</v>
      </c>
    </row>
    <row r="137" spans="1:8" x14ac:dyDescent="0.3">
      <c r="A137" s="21" t="s">
        <v>73</v>
      </c>
      <c r="B137" s="21" t="s">
        <v>37</v>
      </c>
    </row>
    <row r="138" spans="1:8" x14ac:dyDescent="0.3">
      <c r="A138" s="21" t="s">
        <v>87</v>
      </c>
      <c r="B138" s="21" t="s">
        <v>674</v>
      </c>
    </row>
    <row r="139" spans="1:8" x14ac:dyDescent="0.3">
      <c r="A139" s="21" t="s">
        <v>88</v>
      </c>
      <c r="B139" s="12"/>
    </row>
    <row r="140" spans="1:8" x14ac:dyDescent="0.3">
      <c r="A140" s="21" t="s">
        <v>89</v>
      </c>
      <c r="B140" s="12">
        <v>2050</v>
      </c>
    </row>
    <row r="141" spans="1:8" x14ac:dyDescent="0.3">
      <c r="A141" s="21" t="s">
        <v>131</v>
      </c>
      <c r="B141" s="12" t="str">
        <f>B138&amp;" - "&amp;B140&amp;" - "&amp;B137</f>
        <v>Scooter, electric, &lt;4kW - 2050 - CH</v>
      </c>
    </row>
    <row r="142" spans="1:8" x14ac:dyDescent="0.3">
      <c r="A142" s="21" t="s">
        <v>74</v>
      </c>
      <c r="B142" s="21" t="str">
        <f>B138</f>
        <v>Scooter, electric, &lt;4kW</v>
      </c>
    </row>
    <row r="143" spans="1:8" x14ac:dyDescent="0.3">
      <c r="A143" s="21" t="s">
        <v>75</v>
      </c>
      <c r="B143" s="21" t="s">
        <v>76</v>
      </c>
    </row>
    <row r="144" spans="1:8" x14ac:dyDescent="0.3">
      <c r="A144" s="21" t="s">
        <v>77</v>
      </c>
      <c r="B144" s="21" t="s">
        <v>77</v>
      </c>
    </row>
    <row r="145" spans="1:2" x14ac:dyDescent="0.3">
      <c r="A145" s="21" t="s">
        <v>79</v>
      </c>
      <c r="B145" s="21" t="s">
        <v>90</v>
      </c>
    </row>
    <row r="146" spans="1:2" x14ac:dyDescent="0.3">
      <c r="A146" s="21" t="s">
        <v>132</v>
      </c>
      <c r="B146" s="21">
        <f>INDEX('vehicles specifications'!$B$3:$CK$86,MATCH(B141,'vehicles specifications'!$A$3:$A$86,0),MATCH("Lifetime [km]",'vehicles specifications'!$B$2:$CK$2,0))</f>
        <v>33400</v>
      </c>
    </row>
    <row r="147" spans="1:2" x14ac:dyDescent="0.3">
      <c r="A147" s="21" t="s">
        <v>133</v>
      </c>
      <c r="B147" s="21">
        <f>INDEX('vehicles specifications'!$B$3:$CK$86,MATCH(B141,'vehicles specifications'!$A$3:$A$86,0),MATCH("Passengers [unit]",'vehicles specifications'!$B$2:$CK$2,0))</f>
        <v>1</v>
      </c>
    </row>
    <row r="148" spans="1:2" x14ac:dyDescent="0.3">
      <c r="A148" s="21" t="s">
        <v>134</v>
      </c>
      <c r="B148" s="21">
        <f>INDEX('vehicles specifications'!$B$3:$CK$86,MATCH(B141,'vehicles specifications'!$A$3:$A$86,0),MATCH("Servicing [unit]",'vehicles specifications'!$B$2:$CK$2,0))</f>
        <v>1</v>
      </c>
    </row>
    <row r="149" spans="1:2" x14ac:dyDescent="0.3">
      <c r="A149" s="21" t="s">
        <v>135</v>
      </c>
      <c r="B149" s="21">
        <f>INDEX('vehicles specifications'!$B$3:$CK$86,MATCH(B141,'vehicles specifications'!$A$3:$A$86,0),MATCH("Energy battery replacement [unit]",'vehicles specifications'!$B$2:$CK$2,0))</f>
        <v>0</v>
      </c>
    </row>
    <row r="150" spans="1:2" x14ac:dyDescent="0.3">
      <c r="A150" s="21" t="s">
        <v>136</v>
      </c>
      <c r="B150" s="21">
        <f>INDEX('vehicles specifications'!$B$3:$CK$86,MATCH(B141,'vehicles specifications'!$A$3:$A$86,0),MATCH("Annual kilometers [km]",'vehicles specifications'!$B$2:$CK$2,0))</f>
        <v>2553</v>
      </c>
    </row>
    <row r="151" spans="1:2" x14ac:dyDescent="0.3">
      <c r="A151" s="21" t="s">
        <v>137</v>
      </c>
      <c r="B151" s="2">
        <f>INDEX('vehicles specifications'!$B$3:$CK$86,MATCH(B141,'vehicles specifications'!$A$3:$A$86,0),MATCH("Curb mass [kg]",'vehicles specifications'!$B$2:$CK$2,0))</f>
        <v>100.09</v>
      </c>
    </row>
    <row r="152" spans="1:2" x14ac:dyDescent="0.3">
      <c r="A152" s="21" t="s">
        <v>138</v>
      </c>
      <c r="B152" s="21">
        <f>INDEX('vehicles specifications'!$B$3:$CK$86,MATCH(B141,'vehicles specifications'!$A$3:$A$86,0),MATCH("Power [kW]",'vehicles specifications'!$B$2:$CK$2,0))</f>
        <v>2.6</v>
      </c>
    </row>
    <row r="153" spans="1:2" x14ac:dyDescent="0.3">
      <c r="A153" s="21" t="s">
        <v>139</v>
      </c>
      <c r="B153" s="21">
        <f>INDEX('vehicles specifications'!$B$3:$CK$86,MATCH(B141,'vehicles specifications'!$A$3:$A$86,0),MATCH("Energy battery mass [kg]",'vehicles specifications'!$B$2:$CK$2,0))</f>
        <v>19.2</v>
      </c>
    </row>
    <row r="154" spans="1:2" x14ac:dyDescent="0.3">
      <c r="A154" s="21" t="s">
        <v>140</v>
      </c>
      <c r="B154" s="21">
        <f>INDEX('vehicles specifications'!$B$3:$CK$86,MATCH(B141,'vehicles specifications'!$A$3:$A$86,0),MATCH("Electric energy stored [kWh]",'vehicles specifications'!$B$2:$CK$2,0))</f>
        <v>8</v>
      </c>
    </row>
    <row r="155" spans="1:2" x14ac:dyDescent="0.3">
      <c r="A155" s="21" t="s">
        <v>654</v>
      </c>
      <c r="B155" s="21">
        <f>INDEX('vehicles specifications'!$B$3:$CK$86,MATCH(B141,'vehicles specifications'!$A$3:$A$86,0),MATCH("Electric energy available [kWh]",'vehicles specifications'!$B$2:$CK$2,0))</f>
        <v>6.4</v>
      </c>
    </row>
    <row r="156" spans="1:2" x14ac:dyDescent="0.3">
      <c r="A156" s="21" t="s">
        <v>143</v>
      </c>
      <c r="B156" s="2">
        <f>INDEX('vehicles specifications'!$B$3:$CK$86,MATCH(B141,'vehicles specifications'!$A$3:$A$86,0),MATCH("Oxydation energy stored [kWh]",'vehicles specifications'!$B$2:$CK$2,0))</f>
        <v>0</v>
      </c>
    </row>
    <row r="157" spans="1:2" x14ac:dyDescent="0.3">
      <c r="A157" s="21" t="s">
        <v>145</v>
      </c>
      <c r="B157" s="21">
        <f>INDEX('vehicles specifications'!$B$3:$CK$86,MATCH(B141,'vehicles specifications'!$A$3:$A$86,0),MATCH("Fuel mass [kg]",'vehicles specifications'!$B$2:$CK$2,0))</f>
        <v>0</v>
      </c>
    </row>
    <row r="158" spans="1:2" x14ac:dyDescent="0.3">
      <c r="A158" s="21" t="s">
        <v>141</v>
      </c>
      <c r="B158" s="2">
        <f>INDEX('vehicles specifications'!$B$3:$CK$86,MATCH(B141,'vehicles specifications'!$A$3:$A$86,0),MATCH("Range [km]",'vehicles specifications'!$B$2:$CK$2,0))</f>
        <v>172.66690777576852</v>
      </c>
    </row>
    <row r="159" spans="1:2" x14ac:dyDescent="0.3">
      <c r="A159" s="21" t="s">
        <v>142</v>
      </c>
      <c r="B159" s="21" t="str">
        <f>INDEX('vehicles specifications'!$B$3:$CK$86,MATCH(B141,'vehicles specifications'!$A$3:$A$86,0),MATCH("Emission standard",'vehicles specifications'!$B$2:$CK$2,0))</f>
        <v>None</v>
      </c>
    </row>
    <row r="160" spans="1:2" x14ac:dyDescent="0.3">
      <c r="A160" s="21" t="s">
        <v>144</v>
      </c>
      <c r="B160" s="6">
        <f>INDEX('vehicles specifications'!$B$3:$CK$86,MATCH(B141,'vehicles specifications'!$A$3:$A$86,0),MATCH("Lightweighting rate [%]",'vehicles specifications'!$B$2:$CK$2,0))</f>
        <v>7.0000000000000007E-2</v>
      </c>
    </row>
    <row r="161" spans="1:8" x14ac:dyDescent="0.3">
      <c r="A161" s="21" t="s">
        <v>513</v>
      </c>
      <c r="B161" s="6" t="s">
        <v>514</v>
      </c>
    </row>
    <row r="162" spans="1:8" x14ac:dyDescent="0.3">
      <c r="A162" s="21" t="s">
        <v>515</v>
      </c>
      <c r="B162" s="2">
        <v>15900</v>
      </c>
    </row>
    <row r="163" spans="1:8" x14ac:dyDescent="0.3">
      <c r="A163" s="21" t="s">
        <v>516</v>
      </c>
      <c r="B163" s="2">
        <v>1000</v>
      </c>
    </row>
    <row r="164" spans="1:8" x14ac:dyDescent="0.3">
      <c r="A164" s="21"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scooter'!B145</f>
        <v>Power: 2.6 kW. Lifetime: 33400 km. Annual kilometers: 2553 km. Number of passengers: 1. Curb mass: 100.1 kg. Lightweighting of glider: 7%. Emission standard: None. Service visits throughout lifetime: 1. Range: 173 km. Battery capacity: 8 kWh. Available battery capacity: 6.4 kWh. Battery mass: 19.2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v>
      </c>
    </row>
    <row r="165" spans="1:8" ht="15.6" x14ac:dyDescent="0.3">
      <c r="A165" s="11" t="s">
        <v>80</v>
      </c>
    </row>
    <row r="166" spans="1:8" x14ac:dyDescent="0.3">
      <c r="A166" s="21" t="s">
        <v>81</v>
      </c>
      <c r="B166" s="21" t="s">
        <v>82</v>
      </c>
      <c r="C166" s="21" t="s">
        <v>73</v>
      </c>
      <c r="D166" s="21" t="s">
        <v>77</v>
      </c>
      <c r="E166" s="21" t="s">
        <v>83</v>
      </c>
      <c r="F166" s="21" t="s">
        <v>75</v>
      </c>
      <c r="G166" s="21" t="s">
        <v>84</v>
      </c>
      <c r="H166" s="21" t="s">
        <v>74</v>
      </c>
    </row>
    <row r="167" spans="1:8" x14ac:dyDescent="0.3">
      <c r="A167" s="12" t="str">
        <f>B136</f>
        <v>Scooter, electric, &lt;4kW, 2050</v>
      </c>
      <c r="B167" s="12">
        <v>1</v>
      </c>
      <c r="C167" s="12" t="str">
        <f>B137</f>
        <v>CH</v>
      </c>
      <c r="D167" s="12" t="str">
        <f>B144</f>
        <v>unit</v>
      </c>
      <c r="E167" s="12"/>
      <c r="F167" s="12" t="s">
        <v>85</v>
      </c>
      <c r="G167" s="12" t="s">
        <v>86</v>
      </c>
      <c r="H167" s="12" t="str">
        <f>B138</f>
        <v>Scooter, electric, &lt;4kW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73</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5.1100000000000003</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5</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s="21"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8</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s="2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16</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s="21"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3.2</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s="21"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s="21"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market for manual dismantling of electric scooter</v>
      </c>
      <c r="B175" s="16">
        <f>INDEX('vehicles specifications'!$B$3:$CK$86,MATCH(B141,'vehicles specifications'!$A$3:$A$86,0),MATCH(G175,'vehicles specifications'!$B$2:$CK$2,0))*INDEX('ei names mapping'!$B$137:$BK$220,MATCH(B141,'ei names mapping'!$A$137:$A$220,0),MATCH(G175,'ei names mapping'!$B$136:$BK$136,0))</f>
        <v>67.89</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s="21"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market for manual dismantling of electric scooter</v>
      </c>
      <c r="B176" s="16">
        <f>INDEX('vehicles specifications'!$B$3:$CK$86,MATCH(B141,'vehicles specifications'!$A$3:$A$86,0),MATCH(G176,'vehicles specifications'!$B$2:$CK$2,0))*INDEX('ei names mapping'!$B$137:$BK$220,MATCH(B141,'ei names mapping'!$A$137:$A$220,0),MATCH(G176,'ei names mapping'!$B$136:$BK$136,0))</f>
        <v>13</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s="21"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-19.2</v>
      </c>
      <c r="C177" s="12" t="str">
        <f>INDEX('ei names mapping'!$B$38:$R$67,MATCH(B138,'ei names mapping'!$A$4:$A$33,0),MATCH(G177,'ei names mapping'!$B$3:$R$3,0))</f>
        <v>GLO</v>
      </c>
      <c r="D177" s="12" t="str">
        <f>INDEX('ei names mapping'!$B$104:$R$133,MATCH(B138,'ei names mapping'!$A$104:$A$133,0),MATCH(G177,'ei names mapping'!$B$3:$R$3,0))</f>
        <v>kilogram</v>
      </c>
      <c r="E177" s="12"/>
      <c r="F177" s="12" t="s">
        <v>91</v>
      </c>
      <c r="G177" s="21" t="s">
        <v>152</v>
      </c>
      <c r="H177" s="12" t="str">
        <f>INDEX('ei names mapping'!$B$71:$R$100,MATCH(B138,'ei names mapping'!$A$4:$A$33,0),MATCH(G177,'ei names mapping'!$B$3:$R$3,0))</f>
        <v>used Li-ion battery</v>
      </c>
    </row>
    <row r="178" spans="1:8" x14ac:dyDescent="0.3">
      <c r="A178" s="22" t="s">
        <v>468</v>
      </c>
      <c r="B178" s="21">
        <f>(B151/1000)*B163</f>
        <v>100.09</v>
      </c>
      <c r="C178" s="21" t="s">
        <v>94</v>
      </c>
      <c r="D178" s="21" t="s">
        <v>243</v>
      </c>
      <c r="F178" s="21" t="s">
        <v>91</v>
      </c>
      <c r="H178" s="22" t="s">
        <v>469</v>
      </c>
    </row>
    <row r="179" spans="1:8" x14ac:dyDescent="0.3">
      <c r="A179" s="22" t="s">
        <v>467</v>
      </c>
      <c r="B179" s="2">
        <f>(B151/1000)*B162</f>
        <v>1591.431</v>
      </c>
      <c r="C179" s="21" t="s">
        <v>98</v>
      </c>
      <c r="D179" s="21" t="s">
        <v>243</v>
      </c>
      <c r="F179" s="21" t="s">
        <v>91</v>
      </c>
      <c r="H179" s="22" t="s">
        <v>467</v>
      </c>
    </row>
    <row r="180" spans="1:8" x14ac:dyDescent="0.3">
      <c r="B180" s="2"/>
    </row>
    <row r="181" spans="1:8" ht="15.6" x14ac:dyDescent="0.3">
      <c r="A181" s="11" t="s">
        <v>72</v>
      </c>
      <c r="B181" s="9" t="str">
        <f>"transport, "&amp;B183&amp;", "&amp;B185</f>
        <v>transport, Scooter, electric, &lt;4kW, 2020</v>
      </c>
    </row>
    <row r="182" spans="1:8" x14ac:dyDescent="0.3">
      <c r="A182" s="21" t="s">
        <v>73</v>
      </c>
      <c r="B182" s="21" t="s">
        <v>37</v>
      </c>
    </row>
    <row r="183" spans="1:8" x14ac:dyDescent="0.3">
      <c r="A183" s="21" t="s">
        <v>87</v>
      </c>
      <c r="B183" s="21" t="s">
        <v>674</v>
      </c>
    </row>
    <row r="184" spans="1:8" x14ac:dyDescent="0.3">
      <c r="A184" s="21" t="s">
        <v>88</v>
      </c>
      <c r="B184" s="12"/>
    </row>
    <row r="185" spans="1:8" x14ac:dyDescent="0.3">
      <c r="A185" s="21" t="s">
        <v>89</v>
      </c>
      <c r="B185" s="12">
        <v>2020</v>
      </c>
    </row>
    <row r="186" spans="1:8" x14ac:dyDescent="0.3">
      <c r="A186" s="21" t="s">
        <v>131</v>
      </c>
      <c r="B186" s="12" t="str">
        <f>B183&amp;" - "&amp;B185&amp;" - "&amp;B182</f>
        <v>Scooter, electric, &lt;4kW - 2020 - CH</v>
      </c>
    </row>
    <row r="187" spans="1:8" x14ac:dyDescent="0.3">
      <c r="A187" s="21" t="s">
        <v>74</v>
      </c>
      <c r="B187" s="12" t="str">
        <f>"transport, "&amp;B183</f>
        <v>transport, Scooter, electric, &lt;4kW</v>
      </c>
    </row>
    <row r="188" spans="1:8" x14ac:dyDescent="0.3">
      <c r="A188" s="21" t="s">
        <v>75</v>
      </c>
      <c r="B188" s="21" t="s">
        <v>76</v>
      </c>
    </row>
    <row r="189" spans="1:8" x14ac:dyDescent="0.3">
      <c r="A189" s="21" t="s">
        <v>77</v>
      </c>
      <c r="B189" s="21" t="s">
        <v>172</v>
      </c>
    </row>
    <row r="190" spans="1:8" x14ac:dyDescent="0.3">
      <c r="A190" s="21" t="s">
        <v>79</v>
      </c>
      <c r="B190" s="21" t="s">
        <v>90</v>
      </c>
    </row>
    <row r="191" spans="1:8" x14ac:dyDescent="0.3">
      <c r="A191" s="21" t="s">
        <v>132</v>
      </c>
      <c r="B191" s="21">
        <f>INDEX('vehicles specifications'!$B$3:$CK$86,MATCH(B186,'vehicles specifications'!$A$3:$A$86,0),MATCH("Lifetime [km]",'vehicles specifications'!$B$2:$CK$2,0))</f>
        <v>33400</v>
      </c>
    </row>
    <row r="192" spans="1:8" x14ac:dyDescent="0.3">
      <c r="A192" s="21" t="s">
        <v>133</v>
      </c>
      <c r="B192" s="21">
        <f>INDEX('vehicles specifications'!$B$3:$CK$86,MATCH(B186,'vehicles specifications'!$A$3:$A$86,0),MATCH("Passengers [unit]",'vehicles specifications'!$B$2:$CK$2,0))</f>
        <v>1</v>
      </c>
    </row>
    <row r="193" spans="1:8" x14ac:dyDescent="0.3">
      <c r="A193" s="21" t="s">
        <v>134</v>
      </c>
      <c r="B193" s="21">
        <f>INDEX('vehicles specifications'!$B$3:$CK$86,MATCH(B186,'vehicles specifications'!$A$3:$A$86,0),MATCH("Servicing [unit]",'vehicles specifications'!$B$2:$CK$2,0))</f>
        <v>1</v>
      </c>
    </row>
    <row r="194" spans="1:8" x14ac:dyDescent="0.3">
      <c r="A194" s="21" t="s">
        <v>135</v>
      </c>
      <c r="B194" s="21">
        <f>INDEX('vehicles specifications'!$B$3:$CK$86,MATCH(B186,'vehicles specifications'!$A$3:$A$86,0),MATCH("Energy battery replacement [unit]",'vehicles specifications'!$B$2:$CK$2,0))</f>
        <v>1</v>
      </c>
    </row>
    <row r="195" spans="1:8" x14ac:dyDescent="0.3">
      <c r="A195" s="21" t="s">
        <v>136</v>
      </c>
      <c r="B195" s="21">
        <f>INDEX('vehicles specifications'!$B$3:$CK$86,MATCH(B186,'vehicles specifications'!$A$3:$A$86,0),MATCH("Annual kilometers [km]",'vehicles specifications'!$B$2:$CK$2,0))</f>
        <v>2553</v>
      </c>
    </row>
    <row r="196" spans="1:8" x14ac:dyDescent="0.3">
      <c r="A196" s="21" t="s">
        <v>137</v>
      </c>
      <c r="B196" s="2">
        <f>INDEX('vehicles specifications'!$B$3:$CK$86,MATCH(B186,'vehicles specifications'!$A$3:$A$86,0),MATCH("Curb mass [kg]",'vehicles specifications'!$B$2:$CK$2,0))</f>
        <v>99.8</v>
      </c>
    </row>
    <row r="197" spans="1:8" x14ac:dyDescent="0.3">
      <c r="A197" s="21" t="s">
        <v>138</v>
      </c>
      <c r="B197" s="21">
        <f>INDEX('vehicles specifications'!$B$3:$CK$86,MATCH(B186,'vehicles specifications'!$A$3:$A$86,0),MATCH("Power [kW]",'vehicles specifications'!$B$2:$CK$2,0))</f>
        <v>2.6</v>
      </c>
    </row>
    <row r="198" spans="1:8" x14ac:dyDescent="0.3">
      <c r="A198" s="21" t="s">
        <v>139</v>
      </c>
      <c r="B198" s="21">
        <f>INDEX('vehicles specifications'!$B$3:$CK$86,MATCH(B186,'vehicles specifications'!$A$3:$A$86,0),MATCH("Energy battery mass [kg]",'vehicles specifications'!$B$2:$CK$2,0))</f>
        <v>13.799999999999997</v>
      </c>
    </row>
    <row r="199" spans="1:8" x14ac:dyDescent="0.3">
      <c r="A199" s="21" t="s">
        <v>140</v>
      </c>
      <c r="B199" s="21">
        <f>INDEX('vehicles specifications'!$B$3:$CK$86,MATCH(B186,'vehicles specifications'!$A$3:$A$86,0),MATCH("Electric energy stored [kWh]",'vehicles specifications'!$B$2:$CK$2,0))</f>
        <v>2.2999999999999998</v>
      </c>
    </row>
    <row r="200" spans="1:8" x14ac:dyDescent="0.3">
      <c r="A200" s="21" t="s">
        <v>654</v>
      </c>
      <c r="B200" s="21">
        <f>INDEX('vehicles specifications'!$B$3:$CK$86,MATCH(B186,'vehicles specifications'!$A$3:$A$86,0),MATCH("Electric energy available [kWh]",'vehicles specifications'!$B$2:$CK$2,0))</f>
        <v>1.8399999999999999</v>
      </c>
    </row>
    <row r="201" spans="1:8" x14ac:dyDescent="0.3">
      <c r="A201" s="21" t="s">
        <v>143</v>
      </c>
      <c r="B201" s="2">
        <f>INDEX('vehicles specifications'!$B$3:$CK$86,MATCH(B186,'vehicles specifications'!$A$3:$A$86,0),MATCH("Oxydation energy stored [kWh]",'vehicles specifications'!$B$2:$CK$2,0))</f>
        <v>0</v>
      </c>
    </row>
    <row r="202" spans="1:8" x14ac:dyDescent="0.3">
      <c r="A202" s="21" t="s">
        <v>145</v>
      </c>
      <c r="B202" s="21">
        <f>INDEX('vehicles specifications'!$B$3:$CK$86,MATCH(B186,'vehicles specifications'!$A$3:$A$86,0),MATCH("Fuel mass [kg]",'vehicles specifications'!$B$2:$CK$2,0))</f>
        <v>0</v>
      </c>
    </row>
    <row r="203" spans="1:8" x14ac:dyDescent="0.3">
      <c r="A203" s="21" t="s">
        <v>141</v>
      </c>
      <c r="B203" s="2">
        <f>INDEX('vehicles specifications'!$B$3:$CK$86,MATCH(B186,'vehicles specifications'!$A$3:$A$86,0),MATCH("Range [km]",'vehicles specifications'!$B$2:$CK$2,0))</f>
        <v>49.641735985533444</v>
      </c>
    </row>
    <row r="204" spans="1:8" x14ac:dyDescent="0.3">
      <c r="A204" s="21" t="s">
        <v>142</v>
      </c>
      <c r="B204" s="21" t="str">
        <f>INDEX('vehicles specifications'!$B$3:$CK$86,MATCH(B186,'vehicles specifications'!$A$3:$A$86,0),MATCH("Emission standard",'vehicles specifications'!$B$2:$CK$2,0))</f>
        <v>None</v>
      </c>
    </row>
    <row r="205" spans="1:8" x14ac:dyDescent="0.3">
      <c r="A205" s="21" t="s">
        <v>144</v>
      </c>
      <c r="B205" s="6">
        <f>INDEX('vehicles specifications'!$B$3:$CK$86,MATCH(B186,'vehicles specifications'!$A$3:$A$86,0),MATCH("Lightweighting rate [%]",'vehicles specifications'!$B$2:$CK$2,0))</f>
        <v>0</v>
      </c>
    </row>
    <row r="206" spans="1:8" x14ac:dyDescent="0.3">
      <c r="A206" s="21"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"&amp;B190</f>
        <v>Power: 2.6 kW. Lifetime: 33400 km. Annual kilometers: 2553 km. Number of passengers: 1. Curb mass: 99.8 kg. Lightweighting of glider: 0%. Emission standard: None. Service visits throughout lifetime: 1. Range: 50 km. Battery capacity: 2.3 kWh. Available battery capacity: 1.84 kWh. Battery mass: 13.8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7" spans="1:8" ht="15.6" x14ac:dyDescent="0.3">
      <c r="A207" s="11" t="s">
        <v>80</v>
      </c>
    </row>
    <row r="208" spans="1:8" x14ac:dyDescent="0.3">
      <c r="A208" s="21" t="s">
        <v>81</v>
      </c>
      <c r="B208" s="21" t="s">
        <v>82</v>
      </c>
      <c r="C208" s="21" t="s">
        <v>73</v>
      </c>
      <c r="D208" s="21" t="s">
        <v>77</v>
      </c>
      <c r="E208" s="21" t="s">
        <v>83</v>
      </c>
      <c r="F208" s="21" t="s">
        <v>75</v>
      </c>
      <c r="G208" s="21" t="s">
        <v>84</v>
      </c>
      <c r="H208" s="21" t="s">
        <v>74</v>
      </c>
    </row>
    <row r="209" spans="1:8" x14ac:dyDescent="0.3">
      <c r="A209" s="12" t="str">
        <f>B181</f>
        <v>transport, Scooter, electric, &lt;4kW, 2020</v>
      </c>
      <c r="B209" s="12">
        <v>1</v>
      </c>
      <c r="C209" s="12" t="str">
        <f>B182</f>
        <v>CH</v>
      </c>
      <c r="D209" s="12" t="s">
        <v>172</v>
      </c>
      <c r="E209" s="12"/>
      <c r="F209" s="12" t="s">
        <v>85</v>
      </c>
      <c r="G209" s="12" t="s">
        <v>86</v>
      </c>
      <c r="H209" s="12" t="str">
        <f>B187</f>
        <v>transport, Scooter, electric, &lt;4kW</v>
      </c>
    </row>
    <row r="210" spans="1:8" x14ac:dyDescent="0.3">
      <c r="A210" s="12" t="str">
        <f>RIGHT(A209,LEN(A209)-11)</f>
        <v>Scooter, electric, &lt;4kW, 2020</v>
      </c>
      <c r="B210" s="15">
        <f>1/B191</f>
        <v>2.9940119760479042E-5</v>
      </c>
      <c r="C210" s="12" t="str">
        <f>B182</f>
        <v>CH</v>
      </c>
      <c r="D210" s="12" t="s">
        <v>77</v>
      </c>
      <c r="E210" s="12"/>
      <c r="F210" s="12" t="s">
        <v>91</v>
      </c>
      <c r="G210" s="12"/>
      <c r="H210" s="12" t="str">
        <f>RIGHT(H209,LEN(H209)-11)</f>
        <v>Scooter, electric, &lt;4kW</v>
      </c>
    </row>
    <row r="211" spans="1:8" x14ac:dyDescent="0.3">
      <c r="A211" s="12" t="str">
        <f>INDEX('ei names mapping'!$B$4:$R$33,MATCH(B183,'ei names mapping'!$A$4:$A$33,0),MATCH(G211,'ei names mapping'!$B$3:$R$3,0))</f>
        <v>road construction</v>
      </c>
      <c r="B211" s="16">
        <f>INDEX('vehicles specifications'!$B$3:$CK$86,MATCH(B186,'vehicles specifications'!$A$3:$A$86,0),MATCH(G211,'vehicles specifications'!$B$2:$CK$2,0))*INDEX('ei names mapping'!$B$137:$BK$220,MATCH(B186,'ei names mapping'!$A$137:$A$220,0),MATCH(G211,'ei names mapping'!$B$136:$BK$136,0))</f>
        <v>9.3330600000000004E-5</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s="21" t="s">
        <v>108</v>
      </c>
      <c r="H211" s="12" t="str">
        <f>INDEX('ei names mapping'!$B$71:$BK$100,MATCH(B183,'ei names mapping'!$A$4:$A$33,0),MATCH(G211,'ei names mapping'!$B$3:$BK$3,0))</f>
        <v>road</v>
      </c>
    </row>
    <row r="212" spans="1:8" x14ac:dyDescent="0.3">
      <c r="A212" s="12" t="str">
        <f>INDEX('ei names mapping'!$B$4:$R$33,MATCH(B183,'ei names mapping'!$A$4:$A$33,0),MATCH(G212,'ei names mapping'!$B$3:$R$3,0))</f>
        <v>road maintenance</v>
      </c>
      <c r="B212" s="16">
        <f>INDEX('vehicles specifications'!$B$3:$CK$86,MATCH(B186,'vehicles specifications'!$A$3:$A$86,0),MATCH(G212,'vehicles specifications'!$B$2:$CK$2,0))*INDEX('ei names mapping'!$B$137:$BK$220,MATCH(B186,'ei names mapping'!$A$137:$A$220,0),MATCH(G212,'ei names mapping'!$B$136:$BK$136,0))</f>
        <v>1.2899999999999999E-3</v>
      </c>
      <c r="C212" s="12" t="str">
        <f>INDEX('ei names mapping'!$B$38:$R$67,MATCH(B183,'ei names mapping'!$A$4:$A$33,0),MATCH(G212,'ei names mapping'!$B$3:$R$3,0))</f>
        <v>CH</v>
      </c>
      <c r="D212" s="12" t="str">
        <f>INDEX('ei names mapping'!$B$104:$BK$133,MATCH(B183,'ei names mapping'!$A$4:$A$33,0),MATCH(G212,'ei names mapping'!$B$3:$BK$3,0))</f>
        <v>meter-year</v>
      </c>
      <c r="E212" s="12"/>
      <c r="F212" s="12" t="s">
        <v>91</v>
      </c>
      <c r="G212" s="21" t="s">
        <v>117</v>
      </c>
      <c r="H212" s="12" t="str">
        <f>INDEX('ei names mapping'!$B$71:$BK$100,MATCH(B183,'ei names mapping'!$A$4:$A$33,0),MATCH(G212,'ei names mapping'!$B$3:$BK$3,0))</f>
        <v>road maintenance</v>
      </c>
    </row>
    <row r="213" spans="1:8" x14ac:dyDescent="0.3">
      <c r="A213" s="12" t="str">
        <f>INDEX('ei names mapping'!$B$4:$R$33,MATCH(B183,'ei names mapping'!$A$4:$A$33,0),MATCH(G213,'ei names mapping'!$B$3:$R$3,0))</f>
        <v>market for electricity, low voltage</v>
      </c>
      <c r="B213" s="14">
        <f>INDEX('vehicles specifications'!$B$3:$CK$86,MATCH(B186,'vehicles specifications'!$A$3:$A$86,0),MATCH(G213,'vehicles specifications'!$B$2:$CK$2,0))*INDEX('ei names mapping'!$B$137:$BK$220,MATCH(B186,'ei names mapping'!$A$137:$A$220,0),MATCH(G213,'ei names mapping'!$B$136:$BK$136,0))</f>
        <v>4.0772143838600498E-2</v>
      </c>
      <c r="C213" s="12" t="str">
        <f>INDEX('ei names mapping'!$B$38:$R$67,MATCH($B$3,'ei names mapping'!$A$4:$A$33,0),MATCH(G213,'ei names mapping'!$B$3:$R$3,0))</f>
        <v>CH</v>
      </c>
      <c r="D213" s="12" t="str">
        <f>INDEX('ei names mapping'!$B$104:$R$133,MATCH($B$3,'ei names mapping'!$A$4:$A$33,0),MATCH(G213,'ei names mapping'!$B$3:$R$3,0))</f>
        <v>kilowatt hour</v>
      </c>
      <c r="E213" s="12"/>
      <c r="F213" s="12" t="s">
        <v>91</v>
      </c>
      <c r="G213" s="21" t="s">
        <v>28</v>
      </c>
      <c r="H213" s="12" t="str">
        <f>INDEX('ei names mapping'!$B$71:$R$100,MATCH(B183,'ei names mapping'!$A$4:$A$33,0),MATCH(G213,'ei names mapping'!$B$3:$R$3,0))</f>
        <v>electricity, low voltage</v>
      </c>
    </row>
    <row r="214" spans="1:8" x14ac:dyDescent="0.3">
      <c r="A214" s="12" t="str">
        <f>INDEX('ei names mapping'!$B$4:$R$33,MATCH(B183,'ei names mapping'!$A$4:$A$33,0),MATCH(G214,'ei names mapping'!$B$3:$R$3,0))</f>
        <v>market for maintenance, electric scooter, without battery</v>
      </c>
      <c r="B214" s="16">
        <f>INDEX('vehicles specifications'!$B$3:$CK$86,MATCH(B186,'vehicles specifications'!$A$3:$A$86,0),MATCH(G214,'vehicles specifications'!$B$2:$CK$2,0))*INDEX('ei names mapping'!$B$137:$BK$220,MATCH(B186,'ei names mapping'!$A$137:$A$220,0),MATCH(G214,'ei names mapping'!$B$136:$BK$136,0))</f>
        <v>2.9940119760479042E-5</v>
      </c>
      <c r="C214" s="12" t="str">
        <f>INDEX('ei names mapping'!$B$38:$BK$67,MATCH(B183,'ei names mapping'!$A$4:$A$33,0),MATCH(G214,'ei names mapping'!$B$3:$BK$3,0))</f>
        <v>GLO</v>
      </c>
      <c r="D214" s="12" t="str">
        <f>INDEX('ei names mapping'!$B$104:$BK$133,MATCH(B183,'ei names mapping'!$A$4:$A$33,0),MATCH(G214,'ei names mapping'!$B$3:$BK$3,0))</f>
        <v>unit</v>
      </c>
      <c r="F214" s="12" t="s">
        <v>91</v>
      </c>
      <c r="G214" s="12" t="s">
        <v>123</v>
      </c>
      <c r="H214" s="12" t="str">
        <f>INDEX('ei names mapping'!$B$71:$BK$100,MATCH(B183,'ei names mapping'!$A$4:$A$33,0),MATCH(G214,'ei names mapping'!$B$3:$BK$3,0))</f>
        <v>maintenance, electric scooter, without battery</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s="21"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-6.3939999999999993E-6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s="21"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-3.0894999999999998E-6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s="21"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Scooter, electric, &lt;4kW, 2030</v>
      </c>
    </row>
    <row r="220" spans="1:8" x14ac:dyDescent="0.3">
      <c r="A220" s="21" t="s">
        <v>73</v>
      </c>
      <c r="B220" s="21" t="s">
        <v>37</v>
      </c>
    </row>
    <row r="221" spans="1:8" x14ac:dyDescent="0.3">
      <c r="A221" s="21" t="s">
        <v>87</v>
      </c>
      <c r="B221" s="21" t="s">
        <v>674</v>
      </c>
    </row>
    <row r="222" spans="1:8" x14ac:dyDescent="0.3">
      <c r="A222" s="21" t="s">
        <v>88</v>
      </c>
      <c r="B222" s="12"/>
    </row>
    <row r="223" spans="1:8" x14ac:dyDescent="0.3">
      <c r="A223" s="21" t="s">
        <v>89</v>
      </c>
      <c r="B223" s="12">
        <v>2030</v>
      </c>
    </row>
    <row r="224" spans="1:8" x14ac:dyDescent="0.3">
      <c r="A224" s="21" t="s">
        <v>131</v>
      </c>
      <c r="B224" s="12" t="str">
        <f>B221&amp;" - "&amp;B223&amp;" - "&amp;B220</f>
        <v>Scooter, electric, &lt;4kW - 2030 - CH</v>
      </c>
    </row>
    <row r="225" spans="1:2" x14ac:dyDescent="0.3">
      <c r="A225" s="21" t="s">
        <v>74</v>
      </c>
      <c r="B225" s="12" t="str">
        <f>"transport, "&amp;B221</f>
        <v>transport, Scooter, electric, &lt;4kW</v>
      </c>
    </row>
    <row r="226" spans="1:2" x14ac:dyDescent="0.3">
      <c r="A226" s="21" t="s">
        <v>75</v>
      </c>
      <c r="B226" s="21" t="s">
        <v>76</v>
      </c>
    </row>
    <row r="227" spans="1:2" x14ac:dyDescent="0.3">
      <c r="A227" s="21" t="s">
        <v>77</v>
      </c>
      <c r="B227" s="21" t="s">
        <v>172</v>
      </c>
    </row>
    <row r="228" spans="1:2" x14ac:dyDescent="0.3">
      <c r="A228" s="21" t="s">
        <v>79</v>
      </c>
      <c r="B228" s="21" t="s">
        <v>90</v>
      </c>
    </row>
    <row r="229" spans="1:2" x14ac:dyDescent="0.3">
      <c r="A229" s="21" t="s">
        <v>132</v>
      </c>
      <c r="B229" s="21">
        <f>INDEX('vehicles specifications'!$B$3:$CK$86,MATCH(B224,'vehicles specifications'!$A$3:$A$86,0),MATCH("Lifetime [km]",'vehicles specifications'!$B$2:$CK$2,0))</f>
        <v>33400</v>
      </c>
    </row>
    <row r="230" spans="1:2" x14ac:dyDescent="0.3">
      <c r="A230" s="21" t="s">
        <v>133</v>
      </c>
      <c r="B230" s="21">
        <f>INDEX('vehicles specifications'!$B$3:$CK$86,MATCH(B224,'vehicles specifications'!$A$3:$A$86,0),MATCH("Passengers [unit]",'vehicles specifications'!$B$2:$CK$2,0))</f>
        <v>1</v>
      </c>
    </row>
    <row r="231" spans="1:2" x14ac:dyDescent="0.3">
      <c r="A231" s="21" t="s">
        <v>134</v>
      </c>
      <c r="B231" s="21">
        <f>INDEX('vehicles specifications'!$B$3:$CK$86,MATCH(B224,'vehicles specifications'!$A$3:$A$86,0),MATCH("Servicing [unit]",'vehicles specifications'!$B$2:$CK$2,0))</f>
        <v>1</v>
      </c>
    </row>
    <row r="232" spans="1:2" x14ac:dyDescent="0.3">
      <c r="A232" s="21" t="s">
        <v>135</v>
      </c>
      <c r="B232" s="21">
        <f>INDEX('vehicles specifications'!$B$3:$CK$86,MATCH(B224,'vehicles specifications'!$A$3:$A$86,0),MATCH("Energy battery replacement [unit]",'vehicles specifications'!$B$2:$CK$2,0))</f>
        <v>0.5</v>
      </c>
    </row>
    <row r="233" spans="1:2" x14ac:dyDescent="0.3">
      <c r="A233" s="21" t="s">
        <v>136</v>
      </c>
      <c r="B233" s="21">
        <f>INDEX('vehicles specifications'!$B$3:$CK$86,MATCH(B224,'vehicles specifications'!$A$3:$A$86,0),MATCH("Annual kilometers [km]",'vehicles specifications'!$B$2:$CK$2,0))</f>
        <v>2553</v>
      </c>
    </row>
    <row r="234" spans="1:2" x14ac:dyDescent="0.3">
      <c r="A234" s="21" t="s">
        <v>137</v>
      </c>
      <c r="B234" s="2">
        <f>INDEX('vehicles specifications'!$B$3:$CK$86,MATCH(B224,'vehicles specifications'!$A$3:$A$86,0),MATCH("Curb mass [kg]",'vehicles specifications'!$B$2:$CK$2,0))</f>
        <v>99.81</v>
      </c>
    </row>
    <row r="235" spans="1:2" x14ac:dyDescent="0.3">
      <c r="A235" s="21" t="s">
        <v>138</v>
      </c>
      <c r="B235" s="21">
        <f>INDEX('vehicles specifications'!$B$3:$CK$86,MATCH(B224,'vehicles specifications'!$A$3:$A$86,0),MATCH("Power [kW]",'vehicles specifications'!$B$2:$CK$2,0))</f>
        <v>2.6</v>
      </c>
    </row>
    <row r="236" spans="1:2" x14ac:dyDescent="0.3">
      <c r="A236" s="21" t="s">
        <v>139</v>
      </c>
      <c r="B236" s="21">
        <f>INDEX('vehicles specifications'!$B$3:$CK$86,MATCH(B224,'vehicles specifications'!$A$3:$A$86,0),MATCH("Energy battery mass [kg]",'vehicles specifications'!$B$2:$CK$2,0))</f>
        <v>16</v>
      </c>
    </row>
    <row r="237" spans="1:2" x14ac:dyDescent="0.3">
      <c r="A237" s="21" t="s">
        <v>140</v>
      </c>
      <c r="B237" s="21">
        <f>INDEX('vehicles specifications'!$B$3:$CK$86,MATCH(B224,'vehicles specifications'!$A$3:$A$86,0),MATCH("Electric energy stored [kWh]",'vehicles specifications'!$B$2:$CK$2,0))</f>
        <v>4</v>
      </c>
    </row>
    <row r="238" spans="1:2" x14ac:dyDescent="0.3">
      <c r="A238" s="21" t="s">
        <v>654</v>
      </c>
      <c r="B238" s="21">
        <f>INDEX('vehicles specifications'!$B$3:$CK$86,MATCH(B224,'vehicles specifications'!$A$3:$A$86,0),MATCH("Electric energy available [kWh]",'vehicles specifications'!$B$2:$CK$2,0))</f>
        <v>3.2</v>
      </c>
    </row>
    <row r="239" spans="1:2" x14ac:dyDescent="0.3">
      <c r="A239" s="21" t="s">
        <v>143</v>
      </c>
      <c r="B239" s="2">
        <f>INDEX('vehicles specifications'!$B$3:$CK$86,MATCH(B224,'vehicles specifications'!$A$3:$A$86,0),MATCH("Oxydation energy stored [kWh]",'vehicles specifications'!$B$2:$CK$2,0))</f>
        <v>0</v>
      </c>
    </row>
    <row r="240" spans="1:2" x14ac:dyDescent="0.3">
      <c r="A240" s="21" t="s">
        <v>145</v>
      </c>
      <c r="B240" s="21">
        <f>INDEX('vehicles specifications'!$B$3:$CK$86,MATCH(B224,'vehicles specifications'!$A$3:$A$86,0),MATCH("Fuel mass [kg]",'vehicles specifications'!$B$2:$CK$2,0))</f>
        <v>0</v>
      </c>
    </row>
    <row r="241" spans="1:8" x14ac:dyDescent="0.3">
      <c r="A241" s="21" t="s">
        <v>141</v>
      </c>
      <c r="B241" s="2">
        <f>INDEX('vehicles specifications'!$B$3:$CK$86,MATCH(B224,'vehicles specifications'!$A$3:$A$86,0),MATCH("Range [km]",'vehicles specifications'!$B$2:$CK$2,0))</f>
        <v>86.333453887884261</v>
      </c>
    </row>
    <row r="242" spans="1:8" x14ac:dyDescent="0.3">
      <c r="A242" s="21" t="s">
        <v>142</v>
      </c>
      <c r="B242" s="21" t="str">
        <f>INDEX('vehicles specifications'!$B$3:$CK$86,MATCH(B224,'vehicles specifications'!$A$3:$A$86,0),MATCH("Emission standard",'vehicles specifications'!$B$2:$CK$2,0))</f>
        <v>None</v>
      </c>
    </row>
    <row r="243" spans="1:8" x14ac:dyDescent="0.3">
      <c r="A243" s="21" t="s">
        <v>144</v>
      </c>
      <c r="B243" s="6">
        <f>INDEX('vehicles specifications'!$B$3:$CK$86,MATCH(B224,'vehicles specifications'!$A$3:$A$86,0),MATCH("Lightweighting rate [%]",'vehicles specifications'!$B$2:$CK$2,0))</f>
        <v>0.03</v>
      </c>
    </row>
    <row r="244" spans="1:8" x14ac:dyDescent="0.3">
      <c r="A244" s="21"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"&amp;B228</f>
        <v>Power: 2.6 kW. Lifetime: 33400 km. Annual kilometers: 2553 km. Number of passengers: 1. Curb mass: 99.8 kg. Lightweighting of glider: 3%. Emission standard: None. Service visits throughout lifetime: 1. Range: 86 km. Battery capacity: 4 kWh. Available battery capacity: 3.2 kWh. Battery mass: 16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5" spans="1:8" ht="15.6" x14ac:dyDescent="0.3">
      <c r="A245" s="11" t="s">
        <v>80</v>
      </c>
    </row>
    <row r="246" spans="1:8" x14ac:dyDescent="0.3">
      <c r="A246" s="21" t="s">
        <v>81</v>
      </c>
      <c r="B246" s="21" t="s">
        <v>82</v>
      </c>
      <c r="C246" s="21" t="s">
        <v>73</v>
      </c>
      <c r="D246" s="21" t="s">
        <v>77</v>
      </c>
      <c r="E246" s="21" t="s">
        <v>83</v>
      </c>
      <c r="F246" s="21" t="s">
        <v>75</v>
      </c>
      <c r="G246" s="21" t="s">
        <v>84</v>
      </c>
      <c r="H246" s="21" t="s">
        <v>74</v>
      </c>
    </row>
    <row r="247" spans="1:8" x14ac:dyDescent="0.3">
      <c r="A247" s="12" t="str">
        <f>B219</f>
        <v>transport, Scooter, electric, &lt;4kW, 2030</v>
      </c>
      <c r="B247" s="12">
        <v>1</v>
      </c>
      <c r="C247" s="12" t="str">
        <f>B220</f>
        <v>CH</v>
      </c>
      <c r="D247" s="12" t="s">
        <v>172</v>
      </c>
      <c r="E247" s="12"/>
      <c r="F247" s="12" t="s">
        <v>85</v>
      </c>
      <c r="G247" s="12" t="s">
        <v>86</v>
      </c>
      <c r="H247" s="12" t="str">
        <f>B225</f>
        <v>transport, Scooter, electric, &lt;4kW</v>
      </c>
    </row>
    <row r="248" spans="1:8" x14ac:dyDescent="0.3">
      <c r="A248" s="12" t="str">
        <f>RIGHT(A247,LEN(A247)-11)</f>
        <v>Scooter, electric, &lt;4kW, 2030</v>
      </c>
      <c r="B248" s="12">
        <f>1/B229</f>
        <v>2.9940119760479042E-5</v>
      </c>
      <c r="C248" s="12" t="str">
        <f>B220</f>
        <v>CH</v>
      </c>
      <c r="D248" s="12" t="s">
        <v>77</v>
      </c>
      <c r="E248" s="12"/>
      <c r="F248" s="12" t="s">
        <v>91</v>
      </c>
      <c r="G248" s="12"/>
      <c r="H248" s="12" t="str">
        <f>RIGHT(H247,LEN(H247)-11)</f>
        <v>Scooter, electric, &lt;4kW</v>
      </c>
    </row>
    <row r="249" spans="1:8" x14ac:dyDescent="0.3">
      <c r="A249" s="12" t="str">
        <f>INDEX('ei names mapping'!$B$4:$R$33,MATCH(B221,'ei names mapping'!$A$4:$A$33,0),MATCH(G249,'ei names mapping'!$B$3:$R$3,0))</f>
        <v>road construction</v>
      </c>
      <c r="B249" s="16">
        <f>INDEX('vehicles specifications'!$B$3:$CK$86,MATCH(B224,'vehicles specifications'!$A$3:$A$86,0),MATCH(G249,'vehicles specifications'!$B$2:$CK$2,0))*INDEX('ei names mapping'!$B$137:$BK$220,MATCH(B224,'ei names mapping'!$A$137:$A$220,0),MATCH(G249,'ei names mapping'!$B$136:$BK$136,0))</f>
        <v>9.333597E-5</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s="21" t="s">
        <v>108</v>
      </c>
      <c r="H249" s="12" t="str">
        <f>INDEX('ei names mapping'!$B$71:$BK$100,MATCH(B221,'ei names mapping'!$A$4:$A$33,0),MATCH(G249,'ei names mapping'!$B$3:$BK$3,0))</f>
        <v>road</v>
      </c>
    </row>
    <row r="250" spans="1:8" x14ac:dyDescent="0.3">
      <c r="A250" s="12" t="str">
        <f>INDEX('ei names mapping'!$B$4:$R$33,MATCH(B221,'ei names mapping'!$A$4:$A$33,0),MATCH(G250,'ei names mapping'!$B$3:$R$3,0))</f>
        <v>road maintenance</v>
      </c>
      <c r="B250" s="16">
        <f>INDEX('vehicles specifications'!$B$3:$CK$86,MATCH(B224,'vehicles specifications'!$A$3:$A$86,0),MATCH(G250,'vehicles specifications'!$B$2:$CK$2,0))*INDEX('ei names mapping'!$B$137:$BK$220,MATCH(B224,'ei names mapping'!$A$137:$A$220,0),MATCH(G250,'ei names mapping'!$B$136:$BK$136,0))</f>
        <v>1.2899999999999999E-3</v>
      </c>
      <c r="C250" s="12" t="str">
        <f>INDEX('ei names mapping'!$B$38:$R$67,MATCH(B221,'ei names mapping'!$A$4:$A$33,0),MATCH(G250,'ei names mapping'!$B$3:$R$3,0))</f>
        <v>CH</v>
      </c>
      <c r="D250" s="12" t="str">
        <f>INDEX('ei names mapping'!$B$104:$BK$133,MATCH(B221,'ei names mapping'!$A$4:$A$33,0),MATCH(G250,'ei names mapping'!$B$3:$BK$3,0))</f>
        <v>meter-year</v>
      </c>
      <c r="E250" s="12"/>
      <c r="F250" s="12" t="s">
        <v>91</v>
      </c>
      <c r="G250" s="21" t="s">
        <v>117</v>
      </c>
      <c r="H250" s="12" t="str">
        <f>INDEX('ei names mapping'!$B$71:$BK$100,MATCH(B221,'ei names mapping'!$A$4:$A$33,0),MATCH(G250,'ei names mapping'!$B$3:$BK$3,0))</f>
        <v>road maintenance</v>
      </c>
    </row>
    <row r="251" spans="1:8" x14ac:dyDescent="0.3">
      <c r="A251" s="12" t="str">
        <f>INDEX('ei names mapping'!$B$4:$R$33,MATCH(B221,'ei names mapping'!$A$4:$A$33,0),MATCH(G251,'ei names mapping'!$B$3:$R$3,0))</f>
        <v>market for electricity, low voltage</v>
      </c>
      <c r="B251" s="14">
        <f>INDEX('vehicles specifications'!$B$3:$CK$86,MATCH(B224,'vehicles specifications'!$A$3:$A$86,0),MATCH(G251,'vehicles specifications'!$B$2:$CK$2,0))*INDEX('ei names mapping'!$B$137:$BK$220,MATCH(B224,'ei names mapping'!$A$137:$A$220,0),MATCH(G251,'ei names mapping'!$B$136:$BK$136,0))</f>
        <v>4.0772143838600498E-2</v>
      </c>
      <c r="C251" s="12" t="str">
        <f>INDEX('ei names mapping'!$B$38:$R$67,MATCH($B$3,'ei names mapping'!$A$4:$A$33,0),MATCH(G251,'ei names mapping'!$B$3:$R$3,0))</f>
        <v>CH</v>
      </c>
      <c r="D251" s="12" t="str">
        <f>INDEX('ei names mapping'!$B$104:$R$133,MATCH($B$3,'ei names mapping'!$A$4:$A$33,0),MATCH(G251,'ei names mapping'!$B$3:$R$3,0))</f>
        <v>kilowatt hour</v>
      </c>
      <c r="E251" s="12"/>
      <c r="F251" s="12" t="s">
        <v>91</v>
      </c>
      <c r="G251" s="21" t="s">
        <v>28</v>
      </c>
      <c r="H251" s="12" t="str">
        <f>INDEX('ei names mapping'!$B$71:$R$100,MATCH(B221,'ei names mapping'!$A$4:$A$33,0),MATCH(G251,'ei names mapping'!$B$3:$R$3,0))</f>
        <v>electricity, low voltage</v>
      </c>
    </row>
    <row r="252" spans="1:8" x14ac:dyDescent="0.3">
      <c r="A252" s="12" t="str">
        <f>INDEX('ei names mapping'!$B$4:$R$33,MATCH(B221,'ei names mapping'!$A$4:$A$33,0),MATCH(G252,'ei names mapping'!$B$3:$R$3,0))</f>
        <v>market for maintenance, electric scooter, without battery</v>
      </c>
      <c r="B252" s="16">
        <f>INDEX('vehicles specifications'!$B$3:$CK$86,MATCH(B224,'vehicles specifications'!$A$3:$A$86,0),MATCH(G252,'vehicles specifications'!$B$2:$CK$2,0))*INDEX('ei names mapping'!$B$137:$BK$220,MATCH(B224,'ei names mapping'!$A$137:$A$220,0),MATCH(G252,'ei names mapping'!$B$136:$BK$136,0))</f>
        <v>2.9940119760479042E-5</v>
      </c>
      <c r="C252" s="12" t="str">
        <f>INDEX('ei names mapping'!$B$38:$BK$67,MATCH(B221,'ei names mapping'!$A$4:$A$33,0),MATCH(G252,'ei names mapping'!$B$3:$BK$3,0))</f>
        <v>GLO</v>
      </c>
      <c r="D252" s="12" t="str">
        <f>INDEX('ei names mapping'!$B$104:$BK$133,MATCH(B221,'ei names mapping'!$A$4:$A$33,0),MATCH(G252,'ei names mapping'!$B$3:$BK$3,0))</f>
        <v>unit</v>
      </c>
      <c r="F252" s="12" t="s">
        <v>91</v>
      </c>
      <c r="G252" s="12" t="s">
        <v>123</v>
      </c>
      <c r="H252" s="12" t="str">
        <f>INDEX('ei names mapping'!$B$71:$BK$100,MATCH(B221,'ei names mapping'!$A$4:$A$33,0),MATCH(G252,'ei names mapping'!$B$3:$BK$3,0))</f>
        <v>maintenance, electric scooter, without battery</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s="21"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-6.3939999999999993E-6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s="21"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-3.0894999999999998E-6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s="21"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Scooter, electric, &lt;4kW, 2040</v>
      </c>
    </row>
    <row r="258" spans="1:2" x14ac:dyDescent="0.3">
      <c r="A258" s="21" t="s">
        <v>73</v>
      </c>
      <c r="B258" s="21" t="s">
        <v>37</v>
      </c>
    </row>
    <row r="259" spans="1:2" x14ac:dyDescent="0.3">
      <c r="A259" s="21" t="s">
        <v>87</v>
      </c>
      <c r="B259" s="21" t="s">
        <v>674</v>
      </c>
    </row>
    <row r="260" spans="1:2" x14ac:dyDescent="0.3">
      <c r="A260" s="21" t="s">
        <v>88</v>
      </c>
      <c r="B260" s="12"/>
    </row>
    <row r="261" spans="1:2" x14ac:dyDescent="0.3">
      <c r="A261" s="21" t="s">
        <v>89</v>
      </c>
      <c r="B261" s="12">
        <v>2040</v>
      </c>
    </row>
    <row r="262" spans="1:2" x14ac:dyDescent="0.3">
      <c r="A262" s="21" t="s">
        <v>131</v>
      </c>
      <c r="B262" s="12" t="str">
        <f>B259&amp;" - "&amp;B261&amp;" - "&amp;B258</f>
        <v>Scooter, electric, &lt;4kW - 2040 - CH</v>
      </c>
    </row>
    <row r="263" spans="1:2" x14ac:dyDescent="0.3">
      <c r="A263" s="21" t="s">
        <v>74</v>
      </c>
      <c r="B263" s="12" t="str">
        <f>"transport, "&amp;B259</f>
        <v>transport, Scooter, electric, &lt;4kW</v>
      </c>
    </row>
    <row r="264" spans="1:2" x14ac:dyDescent="0.3">
      <c r="A264" s="21" t="s">
        <v>75</v>
      </c>
      <c r="B264" s="21" t="s">
        <v>76</v>
      </c>
    </row>
    <row r="265" spans="1:2" x14ac:dyDescent="0.3">
      <c r="A265" s="21" t="s">
        <v>77</v>
      </c>
      <c r="B265" s="21" t="s">
        <v>172</v>
      </c>
    </row>
    <row r="266" spans="1:2" x14ac:dyDescent="0.3">
      <c r="A266" s="21" t="s">
        <v>79</v>
      </c>
      <c r="B266" s="21" t="s">
        <v>90</v>
      </c>
    </row>
    <row r="267" spans="1:2" x14ac:dyDescent="0.3">
      <c r="A267" s="21" t="s">
        <v>132</v>
      </c>
      <c r="B267" s="21">
        <f>INDEX('vehicles specifications'!$B$3:$CK$86,MATCH(B262,'vehicles specifications'!$A$3:$A$86,0),MATCH("Lifetime [km]",'vehicles specifications'!$B$2:$CK$2,0))</f>
        <v>33400</v>
      </c>
    </row>
    <row r="268" spans="1:2" x14ac:dyDescent="0.3">
      <c r="A268" s="21" t="s">
        <v>133</v>
      </c>
      <c r="B268" s="21">
        <f>INDEX('vehicles specifications'!$B$3:$CK$86,MATCH(B262,'vehicles specifications'!$A$3:$A$86,0),MATCH("Passengers [unit]",'vehicles specifications'!$B$2:$CK$2,0))</f>
        <v>1</v>
      </c>
    </row>
    <row r="269" spans="1:2" x14ac:dyDescent="0.3">
      <c r="A269" s="21" t="s">
        <v>134</v>
      </c>
      <c r="B269" s="21">
        <f>INDEX('vehicles specifications'!$B$3:$CK$86,MATCH(B262,'vehicles specifications'!$A$3:$A$86,0),MATCH("Servicing [unit]",'vehicles specifications'!$B$2:$CK$2,0))</f>
        <v>1</v>
      </c>
    </row>
    <row r="270" spans="1:2" x14ac:dyDescent="0.3">
      <c r="A270" s="21" t="s">
        <v>135</v>
      </c>
      <c r="B270" s="21">
        <f>INDEX('vehicles specifications'!$B$3:$CK$86,MATCH(B262,'vehicles specifications'!$A$3:$A$86,0),MATCH("Energy battery replacement [unit]",'vehicles specifications'!$B$2:$CK$2,0))</f>
        <v>0.25</v>
      </c>
    </row>
    <row r="271" spans="1:2" x14ac:dyDescent="0.3">
      <c r="A271" s="21" t="s">
        <v>136</v>
      </c>
      <c r="B271" s="21">
        <f>INDEX('vehicles specifications'!$B$3:$CK$86,MATCH(B262,'vehicles specifications'!$A$3:$A$86,0),MATCH("Annual kilometers [km]",'vehicles specifications'!$B$2:$CK$2,0))</f>
        <v>2553</v>
      </c>
    </row>
    <row r="272" spans="1:2" x14ac:dyDescent="0.3">
      <c r="A272" s="21" t="s">
        <v>137</v>
      </c>
      <c r="B272" s="2">
        <f>INDEX('vehicles specifications'!$B$3:$CK$86,MATCH(B262,'vehicles specifications'!$A$3:$A$86,0),MATCH("Curb mass [kg]",'vehicles specifications'!$B$2:$CK$2,0))</f>
        <v>99.75</v>
      </c>
    </row>
    <row r="273" spans="1:8" x14ac:dyDescent="0.3">
      <c r="A273" s="21" t="s">
        <v>138</v>
      </c>
      <c r="B273" s="21">
        <f>INDEX('vehicles specifications'!$B$3:$CK$86,MATCH(B262,'vehicles specifications'!$A$3:$A$86,0),MATCH("Power [kW]",'vehicles specifications'!$B$2:$CK$2,0))</f>
        <v>2.6</v>
      </c>
    </row>
    <row r="274" spans="1:8" x14ac:dyDescent="0.3">
      <c r="A274" s="21" t="s">
        <v>139</v>
      </c>
      <c r="B274" s="21">
        <f>INDEX('vehicles specifications'!$B$3:$CK$86,MATCH(B262,'vehicles specifications'!$A$3:$A$86,0),MATCH("Energy battery mass [kg]",'vehicles specifications'!$B$2:$CK$2,0))</f>
        <v>17.399999999999999</v>
      </c>
    </row>
    <row r="275" spans="1:8" x14ac:dyDescent="0.3">
      <c r="A275" s="21" t="s">
        <v>140</v>
      </c>
      <c r="B275" s="21">
        <f>INDEX('vehicles specifications'!$B$3:$CK$86,MATCH(B262,'vehicles specifications'!$A$3:$A$86,0),MATCH("Electric energy stored [kWh]",'vehicles specifications'!$B$2:$CK$2,0))</f>
        <v>5.8</v>
      </c>
    </row>
    <row r="276" spans="1:8" x14ac:dyDescent="0.3">
      <c r="A276" s="21" t="s">
        <v>654</v>
      </c>
      <c r="B276" s="21">
        <f>INDEX('vehicles specifications'!$B$3:$CK$86,MATCH(B262,'vehicles specifications'!$A$3:$A$86,0),MATCH("Electric energy available [kWh]",'vehicles specifications'!$B$2:$CK$2,0))</f>
        <v>4.6399999999999997</v>
      </c>
    </row>
    <row r="277" spans="1:8" x14ac:dyDescent="0.3">
      <c r="A277" s="21" t="s">
        <v>143</v>
      </c>
      <c r="B277" s="2">
        <f>INDEX('vehicles specifications'!$B$3:$CK$86,MATCH(B262,'vehicles specifications'!$A$3:$A$86,0),MATCH("Oxydation energy stored [kWh]",'vehicles specifications'!$B$2:$CK$2,0))</f>
        <v>0</v>
      </c>
    </row>
    <row r="278" spans="1:8" x14ac:dyDescent="0.3">
      <c r="A278" s="21" t="s">
        <v>145</v>
      </c>
      <c r="B278" s="21">
        <f>INDEX('vehicles specifications'!$B$3:$CK$86,MATCH(B262,'vehicles specifications'!$A$3:$A$86,0),MATCH("Fuel mass [kg]",'vehicles specifications'!$B$2:$CK$2,0))</f>
        <v>0</v>
      </c>
    </row>
    <row r="279" spans="1:8" x14ac:dyDescent="0.3">
      <c r="A279" s="21" t="s">
        <v>141</v>
      </c>
      <c r="B279" s="2">
        <f>INDEX('vehicles specifications'!$B$3:$CK$86,MATCH(B262,'vehicles specifications'!$A$3:$A$86,0),MATCH("Range [km]",'vehicles specifications'!$B$2:$CK$2,0))</f>
        <v>125.18350813743217</v>
      </c>
    </row>
    <row r="280" spans="1:8" x14ac:dyDescent="0.3">
      <c r="A280" s="21" t="s">
        <v>142</v>
      </c>
      <c r="B280" s="21" t="str">
        <f>INDEX('vehicles specifications'!$B$3:$CK$86,MATCH(B262,'vehicles specifications'!$A$3:$A$86,0),MATCH("Emission standard",'vehicles specifications'!$B$2:$CK$2,0))</f>
        <v>None</v>
      </c>
    </row>
    <row r="281" spans="1:8" x14ac:dyDescent="0.3">
      <c r="A281" s="21" t="s">
        <v>144</v>
      </c>
      <c r="B281" s="6">
        <f>INDEX('vehicles specifications'!$B$3:$CK$86,MATCH(B262,'vehicles specifications'!$A$3:$A$86,0),MATCH("Lightweighting rate [%]",'vehicles specifications'!$B$2:$CK$2,0))</f>
        <v>0.05</v>
      </c>
    </row>
    <row r="282" spans="1:8" x14ac:dyDescent="0.3">
      <c r="A282" s="21"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"&amp;B266</f>
        <v>Power: 2.6 kW. Lifetime: 33400 km. Annual kilometers: 2553 km. Number of passengers: 1. Curb mass: 99.8 kg. Lightweighting of glider: 5%. Emission standard: None. Service visits throughout lifetime: 1. Range: 125 km. Battery capacity: 5.8 kWh. Available battery capacity: 4.64 kWh. Battery mass: 17.4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83" spans="1:8" ht="15.6" x14ac:dyDescent="0.3">
      <c r="A283" s="11" t="s">
        <v>80</v>
      </c>
    </row>
    <row r="284" spans="1:8" x14ac:dyDescent="0.3">
      <c r="A284" s="21" t="s">
        <v>81</v>
      </c>
      <c r="B284" s="21" t="s">
        <v>82</v>
      </c>
      <c r="C284" s="21" t="s">
        <v>73</v>
      </c>
      <c r="D284" s="21" t="s">
        <v>77</v>
      </c>
      <c r="E284" s="21" t="s">
        <v>83</v>
      </c>
      <c r="F284" s="21" t="s">
        <v>75</v>
      </c>
      <c r="G284" s="21" t="s">
        <v>84</v>
      </c>
      <c r="H284" s="21" t="s">
        <v>74</v>
      </c>
    </row>
    <row r="285" spans="1:8" x14ac:dyDescent="0.3">
      <c r="A285" s="12" t="str">
        <f>B257</f>
        <v>transport, Scooter, electric, &lt;4kW, 2040</v>
      </c>
      <c r="B285" s="12">
        <v>1</v>
      </c>
      <c r="C285" s="12" t="str">
        <f>B258</f>
        <v>CH</v>
      </c>
      <c r="D285" s="12" t="s">
        <v>172</v>
      </c>
      <c r="E285" s="12"/>
      <c r="F285" s="12" t="s">
        <v>85</v>
      </c>
      <c r="G285" s="12" t="s">
        <v>86</v>
      </c>
      <c r="H285" s="12" t="str">
        <f>B263</f>
        <v>transport, Scooter, electric, &lt;4kW</v>
      </c>
    </row>
    <row r="286" spans="1:8" x14ac:dyDescent="0.3">
      <c r="A286" s="12" t="str">
        <f>RIGHT(A285,LEN(A285)-11)</f>
        <v>Scooter, electric, &lt;4kW, 2040</v>
      </c>
      <c r="B286" s="12">
        <f>1/B267</f>
        <v>2.9940119760479042E-5</v>
      </c>
      <c r="C286" s="12" t="str">
        <f>B258</f>
        <v>CH</v>
      </c>
      <c r="D286" s="12" t="s">
        <v>77</v>
      </c>
      <c r="E286" s="12"/>
      <c r="F286" s="12" t="s">
        <v>91</v>
      </c>
      <c r="G286" s="12"/>
      <c r="H286" s="12" t="str">
        <f>RIGHT(H285,LEN(H285)-11)</f>
        <v>Scooter, electric, &lt;4kW</v>
      </c>
    </row>
    <row r="287" spans="1:8" x14ac:dyDescent="0.3">
      <c r="A287" s="12" t="str">
        <f>INDEX('ei names mapping'!$B$4:$R$33,MATCH(B259,'ei names mapping'!$A$4:$A$33,0),MATCH(G287,'ei names mapping'!$B$3:$R$3,0))</f>
        <v>road construction</v>
      </c>
      <c r="B287" s="16">
        <f>INDEX('vehicles specifications'!$B$3:$CK$86,MATCH(B262,'vehicles specifications'!$A$3:$A$86,0),MATCH(G287,'vehicles specifications'!$B$2:$CK$2,0))*INDEX('ei names mapping'!$B$137:$BK$220,MATCH(B262,'ei names mapping'!$A$137:$A$220,0),MATCH(G287,'ei names mapping'!$B$136:$BK$136,0))</f>
        <v>9.3303749999999996E-5</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s="21" t="s">
        <v>108</v>
      </c>
      <c r="H287" s="12" t="str">
        <f>INDEX('ei names mapping'!$B$71:$BK$100,MATCH(B259,'ei names mapping'!$A$4:$A$33,0),MATCH(G287,'ei names mapping'!$B$3:$BK$3,0))</f>
        <v>road</v>
      </c>
    </row>
    <row r="288" spans="1:8" x14ac:dyDescent="0.3">
      <c r="A288" s="12" t="str">
        <f>INDEX('ei names mapping'!$B$4:$R$33,MATCH(B259,'ei names mapping'!$A$4:$A$33,0),MATCH(G288,'ei names mapping'!$B$3:$R$3,0))</f>
        <v>road maintenance</v>
      </c>
      <c r="B288" s="16">
        <f>INDEX('vehicles specifications'!$B$3:$CK$86,MATCH(B262,'vehicles specifications'!$A$3:$A$86,0),MATCH(G288,'vehicles specifications'!$B$2:$CK$2,0))*INDEX('ei names mapping'!$B$137:$BK$220,MATCH(B262,'ei names mapping'!$A$137:$A$220,0),MATCH(G288,'ei names mapping'!$B$136:$BK$136,0))</f>
        <v>1.2899999999999999E-3</v>
      </c>
      <c r="C288" s="12" t="str">
        <f>INDEX('ei names mapping'!$B$38:$R$67,MATCH(B259,'ei names mapping'!$A$4:$A$33,0),MATCH(G288,'ei names mapping'!$B$3:$R$3,0))</f>
        <v>CH</v>
      </c>
      <c r="D288" s="12" t="str">
        <f>INDEX('ei names mapping'!$B$104:$BK$133,MATCH(B259,'ei names mapping'!$A$4:$A$33,0),MATCH(G288,'ei names mapping'!$B$3:$BK$3,0))</f>
        <v>meter-year</v>
      </c>
      <c r="E288" s="12"/>
      <c r="F288" s="12" t="s">
        <v>91</v>
      </c>
      <c r="G288" s="21" t="s">
        <v>117</v>
      </c>
      <c r="H288" s="12" t="str">
        <f>INDEX('ei names mapping'!$B$71:$BK$100,MATCH(B259,'ei names mapping'!$A$4:$A$33,0),MATCH(G288,'ei names mapping'!$B$3:$BK$3,0))</f>
        <v>road maintenance</v>
      </c>
    </row>
    <row r="289" spans="1:8" x14ac:dyDescent="0.3">
      <c r="A289" s="12" t="str">
        <f>INDEX('ei names mapping'!$B$4:$R$33,MATCH(B259,'ei names mapping'!$A$4:$A$33,0),MATCH(G289,'ei names mapping'!$B$3:$R$3,0))</f>
        <v>market for electricity, low voltage</v>
      </c>
      <c r="B289" s="14">
        <f>INDEX('vehicles specifications'!$B$3:$CK$86,MATCH(B262,'vehicles specifications'!$A$3:$A$86,0),MATCH(G289,'vehicles specifications'!$B$2:$CK$2,0))*INDEX('ei names mapping'!$B$137:$BK$220,MATCH(B262,'ei names mapping'!$A$137:$A$220,0),MATCH(G289,'ei names mapping'!$B$136:$BK$136,0))</f>
        <v>4.0772143838600498E-2</v>
      </c>
      <c r="C289" s="12" t="str">
        <f>INDEX('ei names mapping'!$B$38:$R$67,MATCH($B$3,'ei names mapping'!$A$4:$A$33,0),MATCH(G289,'ei names mapping'!$B$3:$R$3,0))</f>
        <v>CH</v>
      </c>
      <c r="D289" s="12" t="str">
        <f>INDEX('ei names mapping'!$B$104:$R$133,MATCH($B$3,'ei names mapping'!$A$4:$A$33,0),MATCH(G289,'ei names mapping'!$B$3:$R$3,0))</f>
        <v>kilowatt hour</v>
      </c>
      <c r="E289" s="12"/>
      <c r="F289" s="12" t="s">
        <v>91</v>
      </c>
      <c r="G289" s="21" t="s">
        <v>28</v>
      </c>
      <c r="H289" s="12" t="str">
        <f>INDEX('ei names mapping'!$B$71:$R$100,MATCH(B259,'ei names mapping'!$A$4:$A$33,0),MATCH(G289,'ei names mapping'!$B$3:$R$3,0))</f>
        <v>electricity, low voltage</v>
      </c>
    </row>
    <row r="290" spans="1:8" x14ac:dyDescent="0.3">
      <c r="A290" s="12" t="str">
        <f>INDEX('ei names mapping'!$B$4:$R$33,MATCH(B259,'ei names mapping'!$A$4:$A$33,0),MATCH(G290,'ei names mapping'!$B$3:$R$3,0))</f>
        <v>market for maintenance, electric scooter, without battery</v>
      </c>
      <c r="B290" s="16">
        <f>INDEX('vehicles specifications'!$B$3:$CK$86,MATCH(B262,'vehicles specifications'!$A$3:$A$86,0),MATCH(G290,'vehicles specifications'!$B$2:$CK$2,0))*INDEX('ei names mapping'!$B$137:$BK$220,MATCH(B262,'ei names mapping'!$A$137:$A$220,0),MATCH(G290,'ei names mapping'!$B$136:$BK$136,0))</f>
        <v>2.9940119760479042E-5</v>
      </c>
      <c r="C290" s="12" t="str">
        <f>INDEX('ei names mapping'!$B$38:$BK$67,MATCH(B259,'ei names mapping'!$A$4:$A$33,0),MATCH(G290,'ei names mapping'!$B$3:$BK$3,0))</f>
        <v>GLO</v>
      </c>
      <c r="D290" s="12" t="str">
        <f>INDEX('ei names mapping'!$B$104:$BK$133,MATCH(B259,'ei names mapping'!$A$4:$A$33,0),MATCH(G290,'ei names mapping'!$B$3:$BK$3,0))</f>
        <v>unit</v>
      </c>
      <c r="F290" s="12" t="s">
        <v>91</v>
      </c>
      <c r="G290" s="12" t="s">
        <v>123</v>
      </c>
      <c r="H290" s="12" t="str">
        <f>INDEX('ei names mapping'!$B$71:$BK$100,MATCH(B259,'ei names mapping'!$A$4:$A$33,0),MATCH(G290,'ei names mapping'!$B$3:$BK$3,0))</f>
        <v>maintenance, electric scooter, without battery</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s="2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-6.3939999999999993E-6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s="21"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-3.0894999999999998E-6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s="21"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Scooter, electric, &lt;4kW, 2050</v>
      </c>
    </row>
    <row r="296" spans="1:8" x14ac:dyDescent="0.3">
      <c r="A296" s="21" t="s">
        <v>73</v>
      </c>
      <c r="B296" s="21" t="s">
        <v>37</v>
      </c>
    </row>
    <row r="297" spans="1:8" x14ac:dyDescent="0.3">
      <c r="A297" s="21" t="s">
        <v>87</v>
      </c>
      <c r="B297" s="21" t="s">
        <v>674</v>
      </c>
    </row>
    <row r="298" spans="1:8" x14ac:dyDescent="0.3">
      <c r="A298" s="21" t="s">
        <v>88</v>
      </c>
      <c r="B298" s="12"/>
    </row>
    <row r="299" spans="1:8" x14ac:dyDescent="0.3">
      <c r="A299" s="21" t="s">
        <v>89</v>
      </c>
      <c r="B299" s="12">
        <v>2050</v>
      </c>
    </row>
    <row r="300" spans="1:8" x14ac:dyDescent="0.3">
      <c r="A300" s="21" t="s">
        <v>131</v>
      </c>
      <c r="B300" s="12" t="str">
        <f>B297&amp;" - "&amp;B299&amp;" - "&amp;B296</f>
        <v>Scooter, electric, &lt;4kW - 2050 - CH</v>
      </c>
    </row>
    <row r="301" spans="1:8" x14ac:dyDescent="0.3">
      <c r="A301" s="21" t="s">
        <v>74</v>
      </c>
      <c r="B301" s="12" t="str">
        <f>"transport, "&amp;B297</f>
        <v>transport, Scooter, electric, &lt;4kW</v>
      </c>
    </row>
    <row r="302" spans="1:8" x14ac:dyDescent="0.3">
      <c r="A302" s="21" t="s">
        <v>75</v>
      </c>
      <c r="B302" s="21" t="s">
        <v>76</v>
      </c>
    </row>
    <row r="303" spans="1:8" x14ac:dyDescent="0.3">
      <c r="A303" s="21" t="s">
        <v>77</v>
      </c>
      <c r="B303" s="21" t="s">
        <v>172</v>
      </c>
    </row>
    <row r="304" spans="1:8" x14ac:dyDescent="0.3">
      <c r="A304" s="21" t="s">
        <v>79</v>
      </c>
      <c r="B304" s="21" t="s">
        <v>90</v>
      </c>
    </row>
    <row r="305" spans="1:2" x14ac:dyDescent="0.3">
      <c r="A305" s="21" t="s">
        <v>132</v>
      </c>
      <c r="B305" s="21">
        <f>INDEX('vehicles specifications'!$B$3:$CK$86,MATCH(B300,'vehicles specifications'!$A$3:$A$86,0),MATCH("Lifetime [km]",'vehicles specifications'!$B$2:$CK$2,0))</f>
        <v>33400</v>
      </c>
    </row>
    <row r="306" spans="1:2" x14ac:dyDescent="0.3">
      <c r="A306" s="21" t="s">
        <v>133</v>
      </c>
      <c r="B306" s="21">
        <f>INDEX('vehicles specifications'!$B$3:$CK$86,MATCH(B300,'vehicles specifications'!$A$3:$A$86,0),MATCH("Passengers [unit]",'vehicles specifications'!$B$2:$CK$2,0))</f>
        <v>1</v>
      </c>
    </row>
    <row r="307" spans="1:2" x14ac:dyDescent="0.3">
      <c r="A307" s="21" t="s">
        <v>134</v>
      </c>
      <c r="B307" s="21">
        <f>INDEX('vehicles specifications'!$B$3:$CK$86,MATCH(B300,'vehicles specifications'!$A$3:$A$86,0),MATCH("Servicing [unit]",'vehicles specifications'!$B$2:$CK$2,0))</f>
        <v>1</v>
      </c>
    </row>
    <row r="308" spans="1:2" x14ac:dyDescent="0.3">
      <c r="A308" s="21" t="s">
        <v>135</v>
      </c>
      <c r="B308" s="21">
        <f>INDEX('vehicles specifications'!$B$3:$CK$86,MATCH(B300,'vehicles specifications'!$A$3:$A$86,0),MATCH("Energy battery replacement [unit]",'vehicles specifications'!$B$2:$CK$2,0))</f>
        <v>0</v>
      </c>
    </row>
    <row r="309" spans="1:2" x14ac:dyDescent="0.3">
      <c r="A309" s="21" t="s">
        <v>136</v>
      </c>
      <c r="B309" s="21">
        <f>INDEX('vehicles specifications'!$B$3:$CK$86,MATCH(B300,'vehicles specifications'!$A$3:$A$86,0),MATCH("Annual kilometers [km]",'vehicles specifications'!$B$2:$CK$2,0))</f>
        <v>2553</v>
      </c>
    </row>
    <row r="310" spans="1:2" x14ac:dyDescent="0.3">
      <c r="A310" s="21" t="s">
        <v>137</v>
      </c>
      <c r="B310" s="2">
        <f>INDEX('vehicles specifications'!$B$3:$CK$86,MATCH(B300,'vehicles specifications'!$A$3:$A$86,0),MATCH("Curb mass [kg]",'vehicles specifications'!$B$2:$CK$2,0))</f>
        <v>100.09</v>
      </c>
    </row>
    <row r="311" spans="1:2" x14ac:dyDescent="0.3">
      <c r="A311" s="21" t="s">
        <v>138</v>
      </c>
      <c r="B311" s="21">
        <f>INDEX('vehicles specifications'!$B$3:$CK$86,MATCH(B300,'vehicles specifications'!$A$3:$A$86,0),MATCH("Power [kW]",'vehicles specifications'!$B$2:$CK$2,0))</f>
        <v>2.6</v>
      </c>
    </row>
    <row r="312" spans="1:2" x14ac:dyDescent="0.3">
      <c r="A312" s="21" t="s">
        <v>139</v>
      </c>
      <c r="B312" s="21">
        <f>INDEX('vehicles specifications'!$B$3:$CK$86,MATCH(B300,'vehicles specifications'!$A$3:$A$86,0),MATCH("Energy battery mass [kg]",'vehicles specifications'!$B$2:$CK$2,0))</f>
        <v>19.2</v>
      </c>
    </row>
    <row r="313" spans="1:2" x14ac:dyDescent="0.3">
      <c r="A313" s="21" t="s">
        <v>140</v>
      </c>
      <c r="B313" s="21">
        <f>INDEX('vehicles specifications'!$B$3:$CK$86,MATCH(B300,'vehicles specifications'!$A$3:$A$86,0),MATCH("Electric energy stored [kWh]",'vehicles specifications'!$B$2:$CK$2,0))</f>
        <v>8</v>
      </c>
    </row>
    <row r="314" spans="1:2" x14ac:dyDescent="0.3">
      <c r="A314" s="21" t="s">
        <v>654</v>
      </c>
      <c r="B314" s="21">
        <f>INDEX('vehicles specifications'!$B$3:$CK$86,MATCH(B300,'vehicles specifications'!$A$3:$A$86,0),MATCH("Electric energy available [kWh]",'vehicles specifications'!$B$2:$CK$2,0))</f>
        <v>6.4</v>
      </c>
    </row>
    <row r="315" spans="1:2" x14ac:dyDescent="0.3">
      <c r="A315" s="21" t="s">
        <v>143</v>
      </c>
      <c r="B315" s="2">
        <f>INDEX('vehicles specifications'!$B$3:$CK$86,MATCH(B300,'vehicles specifications'!$A$3:$A$86,0),MATCH("Oxydation energy stored [kWh]",'vehicles specifications'!$B$2:$CK$2,0))</f>
        <v>0</v>
      </c>
    </row>
    <row r="316" spans="1:2" x14ac:dyDescent="0.3">
      <c r="A316" s="21" t="s">
        <v>145</v>
      </c>
      <c r="B316" s="21">
        <f>INDEX('vehicles specifications'!$B$3:$CK$86,MATCH(B300,'vehicles specifications'!$A$3:$A$86,0),MATCH("Fuel mass [kg]",'vehicles specifications'!$B$2:$CK$2,0))</f>
        <v>0</v>
      </c>
    </row>
    <row r="317" spans="1:2" x14ac:dyDescent="0.3">
      <c r="A317" s="21" t="s">
        <v>141</v>
      </c>
      <c r="B317" s="2">
        <f>INDEX('vehicles specifications'!$B$3:$CK$86,MATCH(B300,'vehicles specifications'!$A$3:$A$86,0),MATCH("Range [km]",'vehicles specifications'!$B$2:$CK$2,0))</f>
        <v>172.66690777576852</v>
      </c>
    </row>
    <row r="318" spans="1:2" x14ac:dyDescent="0.3">
      <c r="A318" s="21" t="s">
        <v>142</v>
      </c>
      <c r="B318" s="21" t="str">
        <f>INDEX('vehicles specifications'!$B$3:$CK$86,MATCH(B300,'vehicles specifications'!$A$3:$A$86,0),MATCH("Emission standard",'vehicles specifications'!$B$2:$CK$2,0))</f>
        <v>None</v>
      </c>
    </row>
    <row r="319" spans="1:2" x14ac:dyDescent="0.3">
      <c r="A319" s="21" t="s">
        <v>144</v>
      </c>
      <c r="B319" s="6">
        <f>INDEX('vehicles specifications'!$B$3:$CK$86,MATCH(B300,'vehicles specifications'!$A$3:$A$86,0),MATCH("Lightweighting rate [%]",'vehicles specifications'!$B$2:$CK$2,0))</f>
        <v>7.0000000000000007E-2</v>
      </c>
    </row>
    <row r="320" spans="1:2" x14ac:dyDescent="0.3">
      <c r="A320" s="21"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"&amp;B304</f>
        <v>Power: 2.6 kW. Lifetime: 33400 km. Annual kilometers: 2553 km. Number of passengers: 1. Curb mass: 100.1 kg. Lightweighting of glider: 7%. Emission standard: None. Service visits throughout lifetime: 1. Range: 173 km. Battery capacity: 8 kWh. Available battery capacity: 6.4 kWh. Battery mass: 19.2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1" spans="1:8" ht="15.6" x14ac:dyDescent="0.3">
      <c r="A321" s="11" t="s">
        <v>80</v>
      </c>
    </row>
    <row r="322" spans="1:8" x14ac:dyDescent="0.3">
      <c r="A322" s="21" t="s">
        <v>81</v>
      </c>
      <c r="B322" s="21" t="s">
        <v>82</v>
      </c>
      <c r="C322" s="21" t="s">
        <v>73</v>
      </c>
      <c r="D322" s="21" t="s">
        <v>77</v>
      </c>
      <c r="E322" s="21" t="s">
        <v>83</v>
      </c>
      <c r="F322" s="21" t="s">
        <v>75</v>
      </c>
      <c r="G322" s="21" t="s">
        <v>84</v>
      </c>
      <c r="H322" s="21" t="s">
        <v>74</v>
      </c>
    </row>
    <row r="323" spans="1:8" x14ac:dyDescent="0.3">
      <c r="A323" s="12" t="str">
        <f>B295</f>
        <v>transport, Scooter, electric, &lt;4kW, 2050</v>
      </c>
      <c r="B323" s="12">
        <v>1</v>
      </c>
      <c r="C323" s="12" t="str">
        <f>B296</f>
        <v>CH</v>
      </c>
      <c r="D323" s="12" t="s">
        <v>172</v>
      </c>
      <c r="E323" s="12"/>
      <c r="F323" s="12" t="s">
        <v>85</v>
      </c>
      <c r="G323" s="12" t="s">
        <v>86</v>
      </c>
      <c r="H323" s="12" t="str">
        <f>B301</f>
        <v>transport, Scooter, electric, &lt;4kW</v>
      </c>
    </row>
    <row r="324" spans="1:8" x14ac:dyDescent="0.3">
      <c r="A324" s="12" t="str">
        <f>RIGHT(A323,LEN(A323)-11)</f>
        <v>Scooter, electric, &lt;4kW, 2050</v>
      </c>
      <c r="B324" s="12">
        <f>1/B305</f>
        <v>2.9940119760479042E-5</v>
      </c>
      <c r="C324" s="12" t="str">
        <f>B296</f>
        <v>CH</v>
      </c>
      <c r="D324" s="12" t="s">
        <v>77</v>
      </c>
      <c r="E324" s="12"/>
      <c r="F324" s="12" t="s">
        <v>91</v>
      </c>
      <c r="G324" s="12"/>
      <c r="H324" s="12" t="str">
        <f>RIGHT(H323,LEN(H323)-11)</f>
        <v>Scooter, electric, &lt;4kW</v>
      </c>
    </row>
    <row r="325" spans="1:8" x14ac:dyDescent="0.3">
      <c r="A325" s="12" t="str">
        <f>INDEX('ei names mapping'!$B$4:$R$33,MATCH(B297,'ei names mapping'!$A$4:$A$33,0),MATCH(G325,'ei names mapping'!$B$3:$R$3,0))</f>
        <v>road construction</v>
      </c>
      <c r="B325" s="16">
        <f>INDEX('vehicles specifications'!$B$3:$CK$86,MATCH(B300,'vehicles specifications'!$A$3:$A$86,0),MATCH(G325,'vehicles specifications'!$B$2:$CK$2,0))*INDEX('ei names mapping'!$B$137:$BK$220,MATCH(B300,'ei names mapping'!$A$137:$A$220,0),MATCH(G325,'ei names mapping'!$B$136:$BK$136,0))</f>
        <v>9.3486330000000002E-5</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s="21" t="s">
        <v>108</v>
      </c>
      <c r="H325" s="12" t="str">
        <f>INDEX('ei names mapping'!$B$71:$BK$100,MATCH(B297,'ei names mapping'!$A$4:$A$33,0),MATCH(G325,'ei names mapping'!$B$3:$BK$3,0))</f>
        <v>road</v>
      </c>
    </row>
    <row r="326" spans="1:8" x14ac:dyDescent="0.3">
      <c r="A326" s="12" t="str">
        <f>INDEX('ei names mapping'!$B$4:$R$33,MATCH(B297,'ei names mapping'!$A$4:$A$33,0),MATCH(G326,'ei names mapping'!$B$3:$R$3,0))</f>
        <v>road maintenance</v>
      </c>
      <c r="B326" s="16">
        <f>INDEX('vehicles specifications'!$B$3:$CK$86,MATCH(B300,'vehicles specifications'!$A$3:$A$86,0),MATCH(G326,'vehicles specifications'!$B$2:$CK$2,0))*INDEX('ei names mapping'!$B$137:$BK$220,MATCH(B300,'ei names mapping'!$A$137:$A$220,0),MATCH(G326,'ei names mapping'!$B$136:$BK$136,0))</f>
        <v>1.2899999999999999E-3</v>
      </c>
      <c r="C326" s="12" t="str">
        <f>INDEX('ei names mapping'!$B$38:$R$67,MATCH(B297,'ei names mapping'!$A$4:$A$33,0),MATCH(G326,'ei names mapping'!$B$3:$R$3,0))</f>
        <v>CH</v>
      </c>
      <c r="D326" s="12" t="str">
        <f>INDEX('ei names mapping'!$B$104:$BK$133,MATCH(B297,'ei names mapping'!$A$4:$A$33,0),MATCH(G326,'ei names mapping'!$B$3:$BK$3,0))</f>
        <v>meter-year</v>
      </c>
      <c r="E326" s="12"/>
      <c r="F326" s="12" t="s">
        <v>91</v>
      </c>
      <c r="G326" s="21" t="s">
        <v>117</v>
      </c>
      <c r="H326" s="12" t="str">
        <f>INDEX('ei names mapping'!$B$71:$BK$100,MATCH(B297,'ei names mapping'!$A$4:$A$33,0),MATCH(G326,'ei names mapping'!$B$3:$BK$3,0))</f>
        <v>road maintenance</v>
      </c>
    </row>
    <row r="327" spans="1:8" x14ac:dyDescent="0.3">
      <c r="A327" s="12" t="str">
        <f>INDEX('ei names mapping'!$B$4:$R$33,MATCH(B297,'ei names mapping'!$A$4:$A$33,0),MATCH(G327,'ei names mapping'!$B$3:$R$3,0))</f>
        <v>market for electricity, low voltage</v>
      </c>
      <c r="B327" s="14">
        <f>INDEX('vehicles specifications'!$B$3:$CK$86,MATCH(B300,'vehicles specifications'!$A$3:$A$86,0),MATCH(G327,'vehicles specifications'!$B$2:$CK$2,0))*INDEX('ei names mapping'!$B$137:$BK$220,MATCH(B300,'ei names mapping'!$A$137:$A$220,0),MATCH(G327,'ei names mapping'!$B$136:$BK$136,0))</f>
        <v>4.0772143838600498E-2</v>
      </c>
      <c r="C327" s="12" t="str">
        <f>INDEX('ei names mapping'!$B$38:$R$67,MATCH($B$3,'ei names mapping'!$A$4:$A$33,0),MATCH(G327,'ei names mapping'!$B$3:$R$3,0))</f>
        <v>CH</v>
      </c>
      <c r="D327" s="12" t="str">
        <f>INDEX('ei names mapping'!$B$104:$R$133,MATCH($B$3,'ei names mapping'!$A$4:$A$33,0),MATCH(G327,'ei names mapping'!$B$3:$R$3,0))</f>
        <v>kilowatt hour</v>
      </c>
      <c r="E327" s="12"/>
      <c r="F327" s="12" t="s">
        <v>91</v>
      </c>
      <c r="G327" s="21" t="s">
        <v>28</v>
      </c>
      <c r="H327" s="12" t="str">
        <f>INDEX('ei names mapping'!$B$71:$R$100,MATCH(B297,'ei names mapping'!$A$4:$A$33,0),MATCH(G327,'ei names mapping'!$B$3:$R$3,0))</f>
        <v>electricity, low voltage</v>
      </c>
    </row>
    <row r="328" spans="1:8" x14ac:dyDescent="0.3">
      <c r="A328" s="12" t="str">
        <f>INDEX('ei names mapping'!$B$4:$R$33,MATCH(B297,'ei names mapping'!$A$4:$A$33,0),MATCH(G328,'ei names mapping'!$B$3:$R$3,0))</f>
        <v>market for maintenance, electric scooter, without battery</v>
      </c>
      <c r="B328" s="16">
        <f>INDEX('vehicles specifications'!$B$3:$CK$86,MATCH(B300,'vehicles specifications'!$A$3:$A$86,0),MATCH(G328,'vehicles specifications'!$B$2:$CK$2,0))*INDEX('ei names mapping'!$B$137:$BK$220,MATCH(B300,'ei names mapping'!$A$137:$A$220,0),MATCH(G328,'ei names mapping'!$B$136:$BK$136,0))</f>
        <v>2.9940119760479042E-5</v>
      </c>
      <c r="C328" s="12" t="str">
        <f>INDEX('ei names mapping'!$B$38:$BK$67,MATCH(B297,'ei names mapping'!$A$4:$A$33,0),MATCH(G328,'ei names mapping'!$B$3:$BK$3,0))</f>
        <v>GLO</v>
      </c>
      <c r="D328" s="12" t="str">
        <f>INDEX('ei names mapping'!$B$104:$BK$133,MATCH(B297,'ei names mapping'!$A$4:$A$33,0),MATCH(G328,'ei names mapping'!$B$3:$BK$3,0))</f>
        <v>unit</v>
      </c>
      <c r="F328" s="12" t="s">
        <v>91</v>
      </c>
      <c r="G328" s="12" t="s">
        <v>123</v>
      </c>
      <c r="H328" s="12" t="str">
        <f>INDEX('ei names mapping'!$B$71:$BK$100,MATCH(B297,'ei names mapping'!$A$4:$A$33,0),MATCH(G328,'ei names mapping'!$B$3:$BK$3,0))</f>
        <v>maintenance, electric scooter, without battery</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s="21"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-6.3939999999999993E-6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s="21"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-3.0894999999999998E-6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s="21" t="s">
        <v>31</v>
      </c>
      <c r="H331" s="12" t="str">
        <f>INDEX('ei names mapping'!$B$71:$BK$100,MATCH(B297,'ei names mapping'!$A$4:$A$33,0),MATCH(G331,'ei names mapping'!$B$3:$BK$3,0))</f>
        <v>brake wear emissions, passenger car</v>
      </c>
    </row>
    <row r="333" spans="1:8" ht="15.6" x14ac:dyDescent="0.3">
      <c r="A333" s="11" t="s">
        <v>72</v>
      </c>
      <c r="B333" s="9" t="str">
        <f>"transport, "&amp;B335&amp;", "&amp;B337&amp;", label-certified electricity"</f>
        <v>transport, Scooter, electric, &lt;4kW, 2020, label-certified electricity</v>
      </c>
    </row>
    <row r="334" spans="1:8" x14ac:dyDescent="0.3">
      <c r="A334" s="21" t="s">
        <v>73</v>
      </c>
      <c r="B334" s="21" t="s">
        <v>37</v>
      </c>
    </row>
    <row r="335" spans="1:8" x14ac:dyDescent="0.3">
      <c r="A335" s="21" t="s">
        <v>87</v>
      </c>
      <c r="B335" s="21" t="s">
        <v>674</v>
      </c>
    </row>
    <row r="336" spans="1:8" x14ac:dyDescent="0.3">
      <c r="A336" s="21" t="s">
        <v>88</v>
      </c>
      <c r="B336" s="12"/>
    </row>
    <row r="337" spans="1:2" x14ac:dyDescent="0.3">
      <c r="A337" s="21" t="s">
        <v>89</v>
      </c>
      <c r="B337" s="12">
        <v>2020</v>
      </c>
    </row>
    <row r="338" spans="1:2" x14ac:dyDescent="0.3">
      <c r="A338" s="21" t="s">
        <v>131</v>
      </c>
      <c r="B338" s="12" t="str">
        <f>B335&amp;" - "&amp;B337&amp;" - "&amp;B334</f>
        <v>Scooter, electric, &lt;4kW - 2020 - CH</v>
      </c>
    </row>
    <row r="339" spans="1:2" x14ac:dyDescent="0.3">
      <c r="A339" s="21" t="s">
        <v>74</v>
      </c>
      <c r="B339" s="12" t="str">
        <f>"transport, "&amp;B335</f>
        <v>transport, Scooter, electric, &lt;4kW</v>
      </c>
    </row>
    <row r="340" spans="1:2" x14ac:dyDescent="0.3">
      <c r="A340" s="21" t="s">
        <v>75</v>
      </c>
      <c r="B340" s="21" t="s">
        <v>76</v>
      </c>
    </row>
    <row r="341" spans="1:2" x14ac:dyDescent="0.3">
      <c r="A341" s="21" t="s">
        <v>77</v>
      </c>
      <c r="B341" s="21" t="s">
        <v>172</v>
      </c>
    </row>
    <row r="342" spans="1:2" x14ac:dyDescent="0.3">
      <c r="A342" s="21" t="s">
        <v>79</v>
      </c>
      <c r="B342" s="21" t="s">
        <v>90</v>
      </c>
    </row>
    <row r="343" spans="1:2" x14ac:dyDescent="0.3">
      <c r="A343" s="21" t="s">
        <v>132</v>
      </c>
      <c r="B343" s="21">
        <f>INDEX('vehicles specifications'!$B$3:$CK$86,MATCH(B338,'vehicles specifications'!$A$3:$A$86,0),MATCH("Lifetime [km]",'vehicles specifications'!$B$2:$CK$2,0))</f>
        <v>33400</v>
      </c>
    </row>
    <row r="344" spans="1:2" x14ac:dyDescent="0.3">
      <c r="A344" s="21" t="s">
        <v>133</v>
      </c>
      <c r="B344" s="21">
        <f>INDEX('vehicles specifications'!$B$3:$CK$86,MATCH(B338,'vehicles specifications'!$A$3:$A$86,0),MATCH("Passengers [unit]",'vehicles specifications'!$B$2:$CK$2,0))</f>
        <v>1</v>
      </c>
    </row>
    <row r="345" spans="1:2" x14ac:dyDescent="0.3">
      <c r="A345" s="21" t="s">
        <v>134</v>
      </c>
      <c r="B345" s="21">
        <f>INDEX('vehicles specifications'!$B$3:$CK$86,MATCH(B338,'vehicles specifications'!$A$3:$A$86,0),MATCH("Servicing [unit]",'vehicles specifications'!$B$2:$CK$2,0))</f>
        <v>1</v>
      </c>
    </row>
    <row r="346" spans="1:2" x14ac:dyDescent="0.3">
      <c r="A346" s="21" t="s">
        <v>135</v>
      </c>
      <c r="B346" s="21">
        <f>INDEX('vehicles specifications'!$B$3:$CK$86,MATCH(B338,'vehicles specifications'!$A$3:$A$86,0),MATCH("Energy battery replacement [unit]",'vehicles specifications'!$B$2:$CK$2,0))</f>
        <v>1</v>
      </c>
    </row>
    <row r="347" spans="1:2" x14ac:dyDescent="0.3">
      <c r="A347" s="21" t="s">
        <v>136</v>
      </c>
      <c r="B347" s="21">
        <f>INDEX('vehicles specifications'!$B$3:$CK$86,MATCH(B338,'vehicles specifications'!$A$3:$A$86,0),MATCH("Annual kilometers [km]",'vehicles specifications'!$B$2:$CK$2,0))</f>
        <v>2553</v>
      </c>
    </row>
    <row r="348" spans="1:2" x14ac:dyDescent="0.3">
      <c r="A348" s="21" t="s">
        <v>137</v>
      </c>
      <c r="B348" s="2">
        <f>INDEX('vehicles specifications'!$B$3:$CK$86,MATCH(B338,'vehicles specifications'!$A$3:$A$86,0),MATCH("Curb mass [kg]",'vehicles specifications'!$B$2:$CK$2,0))</f>
        <v>99.8</v>
      </c>
    </row>
    <row r="349" spans="1:2" x14ac:dyDescent="0.3">
      <c r="A349" s="21" t="s">
        <v>138</v>
      </c>
      <c r="B349" s="21">
        <f>INDEX('vehicles specifications'!$B$3:$CK$86,MATCH(B338,'vehicles specifications'!$A$3:$A$86,0),MATCH("Power [kW]",'vehicles specifications'!$B$2:$CK$2,0))</f>
        <v>2.6</v>
      </c>
    </row>
    <row r="350" spans="1:2" x14ac:dyDescent="0.3">
      <c r="A350" s="21" t="s">
        <v>139</v>
      </c>
      <c r="B350" s="21">
        <f>INDEX('vehicles specifications'!$B$3:$CK$86,MATCH(B338,'vehicles specifications'!$A$3:$A$86,0),MATCH("Energy battery mass [kg]",'vehicles specifications'!$B$2:$CK$2,0))</f>
        <v>13.799999999999997</v>
      </c>
    </row>
    <row r="351" spans="1:2" x14ac:dyDescent="0.3">
      <c r="A351" s="21" t="s">
        <v>140</v>
      </c>
      <c r="B351" s="21">
        <f>INDEX('vehicles specifications'!$B$3:$CK$86,MATCH(B338,'vehicles specifications'!$A$3:$A$86,0),MATCH("Electric energy stored [kWh]",'vehicles specifications'!$B$2:$CK$2,0))</f>
        <v>2.2999999999999998</v>
      </c>
    </row>
    <row r="352" spans="1:2" x14ac:dyDescent="0.3">
      <c r="A352" s="21" t="s">
        <v>654</v>
      </c>
      <c r="B352" s="21">
        <f>INDEX('vehicles specifications'!$B$3:$CK$86,MATCH(B338,'vehicles specifications'!$A$3:$A$86,0),MATCH("Electric energy available [kWh]",'vehicles specifications'!$B$2:$CK$2,0))</f>
        <v>1.8399999999999999</v>
      </c>
    </row>
    <row r="353" spans="1:8" x14ac:dyDescent="0.3">
      <c r="A353" s="21" t="s">
        <v>143</v>
      </c>
      <c r="B353" s="2">
        <f>INDEX('vehicles specifications'!$B$3:$CK$86,MATCH(B338,'vehicles specifications'!$A$3:$A$86,0),MATCH("Oxydation energy stored [kWh]",'vehicles specifications'!$B$2:$CK$2,0))</f>
        <v>0</v>
      </c>
    </row>
    <row r="354" spans="1:8" x14ac:dyDescent="0.3">
      <c r="A354" s="21" t="s">
        <v>145</v>
      </c>
      <c r="B354" s="21">
        <f>INDEX('vehicles specifications'!$B$3:$CK$86,MATCH(B338,'vehicles specifications'!$A$3:$A$86,0),MATCH("Fuel mass [kg]",'vehicles specifications'!$B$2:$CK$2,0))</f>
        <v>0</v>
      </c>
    </row>
    <row r="355" spans="1:8" x14ac:dyDescent="0.3">
      <c r="A355" s="21" t="s">
        <v>141</v>
      </c>
      <c r="B355" s="2">
        <f>INDEX('vehicles specifications'!$B$3:$CK$86,MATCH(B338,'vehicles specifications'!$A$3:$A$86,0),MATCH("Range [km]",'vehicles specifications'!$B$2:$CK$2,0))</f>
        <v>49.641735985533444</v>
      </c>
    </row>
    <row r="356" spans="1:8" x14ac:dyDescent="0.3">
      <c r="A356" s="21" t="s">
        <v>142</v>
      </c>
      <c r="B356" s="21" t="str">
        <f>INDEX('vehicles specifications'!$B$3:$CK$86,MATCH(B338,'vehicles specifications'!$A$3:$A$86,0),MATCH("Emission standard",'vehicles specifications'!$B$2:$CK$2,0))</f>
        <v>None</v>
      </c>
    </row>
    <row r="357" spans="1:8" x14ac:dyDescent="0.3">
      <c r="A357" s="21" t="s">
        <v>144</v>
      </c>
      <c r="B357" s="6">
        <f>INDEX('vehicles specifications'!$B$3:$CK$86,MATCH(B338,'vehicles specifications'!$A$3:$A$86,0),MATCH("Lightweighting rate [%]",'vehicles specifications'!$B$2:$CK$2,0))</f>
        <v>0</v>
      </c>
    </row>
    <row r="358" spans="1:8" x14ac:dyDescent="0.3">
      <c r="A358" s="21" t="s">
        <v>84</v>
      </c>
      <c r="B358" s="21" t="str">
        <f>"Power: "&amp;B349&amp;" kW. Lifetime: "&amp;B343&amp;" km. Annual kilometers: "&amp;B347&amp;" km. Number of passengers: "&amp;B344&amp;". Curb mass: "&amp;ROUND(B348,1)&amp;" kg. Lightweighting of glider: "&amp;ROUND(B357*100,0)&amp;"%. Emission standard: "&amp;B356&amp;". Service visits throughout lifetime: "&amp;ROUND(B345,1)&amp;". Range: "&amp;ROUND(B355,0)&amp;" km. Battery capacity: "&amp;ROUND(B351,1)&amp;" kWh. Available battery capacity: "&amp;B352&amp;" kWh. Battery mass: "&amp;ROUND(B350,1)&amp; " kg. Battery replacement throughout lifetime: "&amp;ROUND(B346,1)&amp;". Fuel tank capacity: "&amp;ROUND(B353,1)&amp;" kWh. Fuel mass: "&amp;ROUND(B354,1)&amp;" kg. Documentation: "&amp;Readmefirst!$B$2&amp;", "&amp;Readmefirst!$B$3&amp;". "&amp;B342</f>
        <v>Power: 2.6 kW. Lifetime: 33400 km. Annual kilometers: 2553 km. Number of passengers: 1. Curb mass: 99.8 kg. Lightweighting of glider: 0%. Emission standard: None. Service visits throughout lifetime: 1. Range: 50 km. Battery capacity: 2.3 kWh. Available battery capacity: 1.84 kWh. Battery mass: 13.8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9" spans="1:8" ht="15.6" x14ac:dyDescent="0.3">
      <c r="A359" s="11" t="s">
        <v>80</v>
      </c>
    </row>
    <row r="360" spans="1:8" x14ac:dyDescent="0.3">
      <c r="A360" s="21" t="s">
        <v>81</v>
      </c>
      <c r="B360" s="21" t="s">
        <v>82</v>
      </c>
      <c r="C360" s="21" t="s">
        <v>73</v>
      </c>
      <c r="D360" s="21" t="s">
        <v>77</v>
      </c>
      <c r="E360" s="21" t="s">
        <v>83</v>
      </c>
      <c r="F360" s="21" t="s">
        <v>75</v>
      </c>
      <c r="G360" s="21" t="s">
        <v>84</v>
      </c>
      <c r="H360" s="21" t="s">
        <v>74</v>
      </c>
    </row>
    <row r="361" spans="1:8" x14ac:dyDescent="0.3">
      <c r="A361" s="12" t="str">
        <f>B333</f>
        <v>transport, Scooter, electric, &lt;4kW, 2020, label-certified electricity</v>
      </c>
      <c r="B361" s="12">
        <v>1</v>
      </c>
      <c r="C361" s="12" t="str">
        <f>B334</f>
        <v>CH</v>
      </c>
      <c r="D361" s="12" t="s">
        <v>172</v>
      </c>
      <c r="E361" s="12"/>
      <c r="F361" s="12" t="s">
        <v>85</v>
      </c>
      <c r="G361" s="12" t="s">
        <v>86</v>
      </c>
      <c r="H361" s="12" t="str">
        <f>B339</f>
        <v>transport, Scooter, electric, &lt;4kW</v>
      </c>
    </row>
    <row r="362" spans="1:8" x14ac:dyDescent="0.3">
      <c r="A362" s="12" t="str">
        <f>B335&amp;", "&amp;B337</f>
        <v>Scooter, electric, &lt;4kW, 2020</v>
      </c>
      <c r="B362" s="15">
        <f>1/B343</f>
        <v>2.9940119760479042E-5</v>
      </c>
      <c r="C362" s="12" t="str">
        <f>B334</f>
        <v>CH</v>
      </c>
      <c r="D362" s="12" t="s">
        <v>77</v>
      </c>
      <c r="E362" s="12"/>
      <c r="F362" s="12" t="s">
        <v>91</v>
      </c>
      <c r="G362" s="12"/>
      <c r="H362" s="12" t="str">
        <f>RIGHT(H361,LEN(H361)-11)</f>
        <v>Scooter, electric, &lt;4kW</v>
      </c>
    </row>
    <row r="363" spans="1:8" x14ac:dyDescent="0.3">
      <c r="A363" s="12" t="str">
        <f>INDEX('ei names mapping'!$B$4:$R$33,MATCH(B335,'ei names mapping'!$A$4:$A$33,0),MATCH(G363,'ei names mapping'!$B$3:$R$3,0))</f>
        <v>road construction</v>
      </c>
      <c r="B363" s="16">
        <f>INDEX('vehicles specifications'!$B$3:$CK$86,MATCH(B338,'vehicles specifications'!$A$3:$A$86,0),MATCH(G363,'vehicles specifications'!$B$2:$CK$2,0))*INDEX('ei names mapping'!$B$137:$BK$220,MATCH(B338,'ei names mapping'!$A$137:$A$220,0),MATCH(G363,'ei names mapping'!$B$136:$BK$136,0))</f>
        <v>9.3330600000000004E-5</v>
      </c>
      <c r="C363" s="12" t="str">
        <f>INDEX('ei names mapping'!$B$38:$R$67,MATCH(B335,'ei names mapping'!$A$4:$A$33,0),MATCH(G363,'ei names mapping'!$B$3:$R$3,0))</f>
        <v>CH</v>
      </c>
      <c r="D363" s="12" t="str">
        <f>INDEX('ei names mapping'!$B$104:$BK$133,MATCH(B335,'ei names mapping'!$A$4:$A$33,0),MATCH(G363,'ei names mapping'!$B$3:$BK$3,0))</f>
        <v>meter-year</v>
      </c>
      <c r="E363" s="12"/>
      <c r="F363" s="12" t="s">
        <v>91</v>
      </c>
      <c r="G363" s="21" t="s">
        <v>108</v>
      </c>
      <c r="H363" s="12" t="str">
        <f>INDEX('ei names mapping'!$B$71:$BK$100,MATCH(B335,'ei names mapping'!$A$4:$A$33,0),MATCH(G363,'ei names mapping'!$B$3:$BK$3,0))</f>
        <v>road</v>
      </c>
    </row>
    <row r="364" spans="1:8" x14ac:dyDescent="0.3">
      <c r="A364" s="12" t="str">
        <f>INDEX('ei names mapping'!$B$4:$R$33,MATCH(B335,'ei names mapping'!$A$4:$A$33,0),MATCH(G364,'ei names mapping'!$B$3:$R$3,0))</f>
        <v>road maintenance</v>
      </c>
      <c r="B364" s="16">
        <f>INDEX('vehicles specifications'!$B$3:$CK$86,MATCH(B338,'vehicles specifications'!$A$3:$A$86,0),MATCH(G364,'vehicles specifications'!$B$2:$CK$2,0))*INDEX('ei names mapping'!$B$137:$BK$220,MATCH(B338,'ei names mapping'!$A$137:$A$220,0),MATCH(G364,'ei names mapping'!$B$136:$BK$136,0))</f>
        <v>1.2899999999999999E-3</v>
      </c>
      <c r="C364" s="12" t="str">
        <f>INDEX('ei names mapping'!$B$38:$R$67,MATCH(B335,'ei names mapping'!$A$4:$A$33,0),MATCH(G364,'ei names mapping'!$B$3:$R$3,0))</f>
        <v>CH</v>
      </c>
      <c r="D364" s="12" t="str">
        <f>INDEX('ei names mapping'!$B$104:$BK$133,MATCH(B335,'ei names mapping'!$A$4:$A$33,0),MATCH(G364,'ei names mapping'!$B$3:$BK$3,0))</f>
        <v>meter-year</v>
      </c>
      <c r="E364" s="12"/>
      <c r="F364" s="12" t="s">
        <v>91</v>
      </c>
      <c r="G364" s="21" t="s">
        <v>117</v>
      </c>
      <c r="H364" s="12" t="str">
        <f>INDEX('ei names mapping'!$B$71:$BK$100,MATCH(B335,'ei names mapping'!$A$4:$A$33,0),MATCH(G364,'ei names mapping'!$B$3:$BK$3,0))</f>
        <v>road maintenance</v>
      </c>
    </row>
    <row r="365" spans="1:8" x14ac:dyDescent="0.3">
      <c r="A365" s="12" t="s">
        <v>114</v>
      </c>
      <c r="B365" s="14">
        <f>INDEX('vehicles specifications'!$B$3:$CK$86,MATCH(B338,'vehicles specifications'!$A$3:$A$86,0),MATCH(G365,'vehicles specifications'!$B$2:$CK$2,0))*INDEX('ei names mapping'!$B$137:$BK$220,MATCH(B338,'ei names mapping'!$A$137:$A$220,0),MATCH(G365,'ei names mapping'!$B$136:$BK$136,0))</f>
        <v>4.0772143838600498E-2</v>
      </c>
      <c r="C365" s="12" t="str">
        <f>INDEX('ei names mapping'!$B$38:$R$67,MATCH($B$3,'ei names mapping'!$A$4:$A$33,0),MATCH(G365,'ei names mapping'!$B$3:$R$3,0))</f>
        <v>CH</v>
      </c>
      <c r="D365" s="12" t="str">
        <f>INDEX('ei names mapping'!$B$104:$R$133,MATCH($B$3,'ei names mapping'!$A$4:$A$33,0),MATCH(G365,'ei names mapping'!$B$3:$R$3,0))</f>
        <v>kilowatt hour</v>
      </c>
      <c r="E365" s="12"/>
      <c r="F365" s="12" t="s">
        <v>91</v>
      </c>
      <c r="G365" s="21" t="s">
        <v>28</v>
      </c>
      <c r="H365" s="12" t="s">
        <v>116</v>
      </c>
    </row>
    <row r="366" spans="1:8" x14ac:dyDescent="0.3">
      <c r="A366" s="12" t="str">
        <f>INDEX('ei names mapping'!$B$4:$R$33,MATCH(B335,'ei names mapping'!$A$4:$A$33,0),MATCH(G366,'ei names mapping'!$B$3:$R$3,0))</f>
        <v>market for maintenance, electric scooter, without battery</v>
      </c>
      <c r="B366" s="16">
        <f>INDEX('vehicles specifications'!$B$3:$CK$86,MATCH(B338,'vehicles specifications'!$A$3:$A$86,0),MATCH(G366,'vehicles specifications'!$B$2:$CK$2,0))*INDEX('ei names mapping'!$B$137:$BK$220,MATCH(B338,'ei names mapping'!$A$137:$A$220,0),MATCH(G366,'ei names mapping'!$B$136:$BK$136,0))</f>
        <v>2.9940119760479042E-5</v>
      </c>
      <c r="C366" s="12" t="str">
        <f>INDEX('ei names mapping'!$B$38:$BK$67,MATCH(B335,'ei names mapping'!$A$4:$A$33,0),MATCH(G366,'ei names mapping'!$B$3:$BK$3,0))</f>
        <v>GLO</v>
      </c>
      <c r="D366" s="12" t="str">
        <f>INDEX('ei names mapping'!$B$104:$BK$133,MATCH(B335,'ei names mapping'!$A$4:$A$33,0),MATCH(G366,'ei names mapping'!$B$3:$BK$3,0))</f>
        <v>unit</v>
      </c>
      <c r="F366" s="12" t="s">
        <v>91</v>
      </c>
      <c r="G366" s="12" t="s">
        <v>123</v>
      </c>
      <c r="H366" s="12" t="str">
        <f>INDEX('ei names mapping'!$B$71:$BK$100,MATCH(B335,'ei names mapping'!$A$4:$A$33,0),MATCH(G366,'ei names mapping'!$B$3:$BK$3,0))</f>
        <v>maintenance, electric scooter, without battery</v>
      </c>
    </row>
    <row r="367" spans="1:8" x14ac:dyDescent="0.3">
      <c r="A367" s="12" t="str">
        <f>INDEX('ei names mapping'!$B$4:$BK$33,MATCH(B335,'ei names mapping'!$A$4:$A$33,0),MATCH(G367,'ei names mapping'!$B$3:$BK$3,0))</f>
        <v>treatment of road wear emissions, passenger car</v>
      </c>
      <c r="B367" s="16">
        <f>INDEX('vehicles specifications'!$B$3:$CK$86,MATCH(B338,'vehicles specifications'!$A$3:$A$86,0),MATCH(G367,'vehicles specifications'!$B$2:$CK$2,0))*INDEX('ei names mapping'!$B$137:$BK$220,MATCH(B338,'ei names mapping'!$A$137:$A$220,0),MATCH(G367,'ei names mapping'!$B$136:$BK$136,0))</f>
        <v>-6.0000000000000002E-6</v>
      </c>
      <c r="C367" s="12" t="str">
        <f>INDEX('ei names mapping'!$B$38:$BK$67,MATCH(B335,'ei names mapping'!$A$4:$A$33,0),MATCH(G367,'ei names mapping'!$B$3:$BK$3,0))</f>
        <v>RER</v>
      </c>
      <c r="D367" s="12" t="str">
        <f>INDEX('ei names mapping'!$B$104:$BK$133,MATCH(B335,'ei names mapping'!$A$4:$A$33,0),MATCH(G367,'ei names mapping'!$B$3:$BK$3,0))</f>
        <v>kilogram</v>
      </c>
      <c r="E367" s="12"/>
      <c r="F367" s="12" t="s">
        <v>91</v>
      </c>
      <c r="G367" s="21" t="s">
        <v>29</v>
      </c>
      <c r="H367" s="12" t="str">
        <f>INDEX('ei names mapping'!$B$71:$BK$100,MATCH(B335,'ei names mapping'!$A$4:$A$33,0),MATCH(G367,'ei names mapping'!$B$3:$BK$3,0))</f>
        <v>road wear emissions, passenger car</v>
      </c>
    </row>
    <row r="368" spans="1:8" x14ac:dyDescent="0.3">
      <c r="A368" s="12" t="str">
        <f>INDEX('ei names mapping'!$B$4:$BK$33,MATCH(B335,'ei names mapping'!$A$4:$A$33,0),MATCH(G368,'ei names mapping'!$B$3:$BK$3,0))</f>
        <v>treatment of tyre wear emissions, passenger car</v>
      </c>
      <c r="B368" s="16">
        <f>INDEX('vehicles specifications'!$B$3:$CK$86,MATCH(B338,'vehicles specifications'!$A$3:$A$86,0),MATCH(G368,'vehicles specifications'!$B$2:$CK$2,0))*INDEX('ei names mapping'!$B$137:$BK$220,MATCH(B338,'ei names mapping'!$A$137:$A$220,0),MATCH(G368,'ei names mapping'!$B$136:$BK$136,0))</f>
        <v>-6.3939999999999993E-6</v>
      </c>
      <c r="C368" s="12" t="str">
        <f>INDEX('ei names mapping'!$B$38:$BK$67,MATCH(B335,'ei names mapping'!$A$4:$A$33,0),MATCH(G368,'ei names mapping'!$B$3:$BK$3,0))</f>
        <v>RER</v>
      </c>
      <c r="D368" s="12" t="str">
        <f>INDEX('ei names mapping'!$B$104:$BK$133,MATCH(B335,'ei names mapping'!$A$4:$A$33,0),MATCH(G368,'ei names mapping'!$B$3:$BK$3,0))</f>
        <v>kilogram</v>
      </c>
      <c r="E368" s="12"/>
      <c r="F368" s="12" t="s">
        <v>91</v>
      </c>
      <c r="G368" s="21" t="s">
        <v>30</v>
      </c>
      <c r="H368" s="12" t="str">
        <f>INDEX('ei names mapping'!$B$71:$BK$100,MATCH(B335,'ei names mapping'!$A$4:$A$33,0),MATCH(G368,'ei names mapping'!$B$3:$BK$3,0))</f>
        <v>tyre wear emissions, passenger car</v>
      </c>
    </row>
    <row r="369" spans="1:8" x14ac:dyDescent="0.3">
      <c r="A369" s="12" t="str">
        <f>INDEX('ei names mapping'!$B$4:$BK$33,MATCH(B335,'ei names mapping'!$A$4:$A$33,0),MATCH(G369,'ei names mapping'!$B$3:$BK$3,0))</f>
        <v>treatment of brake wear emissions, passenger car</v>
      </c>
      <c r="B369" s="16">
        <f>INDEX('vehicles specifications'!$B$3:$CK$86,MATCH(B338,'vehicles specifications'!$A$3:$A$86,0),MATCH(G369,'vehicles specifications'!$B$2:$CK$2,0))*INDEX('ei names mapping'!$B$137:$BK$220,MATCH(B338,'ei names mapping'!$A$137:$A$220,0),MATCH(G369,'ei names mapping'!$B$136:$BK$136,0))</f>
        <v>-3.0894999999999998E-6</v>
      </c>
      <c r="C369" s="12" t="str">
        <f>INDEX('ei names mapping'!$B$38:$BK$67,MATCH(B335,'ei names mapping'!$A$4:$A$33,0),MATCH(G369,'ei names mapping'!$B$3:$BK$3,0))</f>
        <v>RER</v>
      </c>
      <c r="D369" s="12" t="str">
        <f>INDEX('ei names mapping'!$B$104:$BK$133,MATCH(B335,'ei names mapping'!$A$4:$A$33,0),MATCH(G369,'ei names mapping'!$B$3:$BK$3,0))</f>
        <v>kilogram</v>
      </c>
      <c r="E369" s="12"/>
      <c r="F369" s="12" t="s">
        <v>91</v>
      </c>
      <c r="G369" s="21" t="s">
        <v>31</v>
      </c>
      <c r="H369" s="12" t="str">
        <f>INDEX('ei names mapping'!$B$71:$BK$100,MATCH(B335,'ei names mapping'!$A$4:$A$33,0),MATCH(G369,'ei names mapping'!$B$3:$BK$3,0))</f>
        <v>brake wear emissions, passenger car</v>
      </c>
    </row>
    <row r="370" spans="1:8" x14ac:dyDescent="0.3">
      <c r="B370" s="6"/>
    </row>
    <row r="371" spans="1:8" ht="15.6" x14ac:dyDescent="0.3">
      <c r="A371" s="11" t="s">
        <v>72</v>
      </c>
      <c r="B371" s="9" t="str">
        <f>"transport, "&amp;B373&amp;", "&amp;B375&amp;", label-certified electricity"</f>
        <v>transport, Scooter, electric, &lt;4kW, 2030, label-certified electricity</v>
      </c>
    </row>
    <row r="372" spans="1:8" x14ac:dyDescent="0.3">
      <c r="A372" s="21" t="s">
        <v>73</v>
      </c>
      <c r="B372" s="21" t="s">
        <v>37</v>
      </c>
    </row>
    <row r="373" spans="1:8" x14ac:dyDescent="0.3">
      <c r="A373" s="21" t="s">
        <v>87</v>
      </c>
      <c r="B373" s="21" t="s">
        <v>674</v>
      </c>
    </row>
    <row r="374" spans="1:8" x14ac:dyDescent="0.3">
      <c r="A374" s="21" t="s">
        <v>88</v>
      </c>
      <c r="B374" s="12"/>
    </row>
    <row r="375" spans="1:8" x14ac:dyDescent="0.3">
      <c r="A375" s="21" t="s">
        <v>89</v>
      </c>
      <c r="B375" s="12">
        <v>2030</v>
      </c>
    </row>
    <row r="376" spans="1:8" x14ac:dyDescent="0.3">
      <c r="A376" s="21" t="s">
        <v>131</v>
      </c>
      <c r="B376" s="12" t="str">
        <f>B373&amp;" - "&amp;B375&amp;" - "&amp;B372</f>
        <v>Scooter, electric, &lt;4kW - 2030 - CH</v>
      </c>
    </row>
    <row r="377" spans="1:8" x14ac:dyDescent="0.3">
      <c r="A377" s="21" t="s">
        <v>74</v>
      </c>
      <c r="B377" s="12" t="str">
        <f>"transport, "&amp;B373</f>
        <v>transport, Scooter, electric, &lt;4kW</v>
      </c>
    </row>
    <row r="378" spans="1:8" x14ac:dyDescent="0.3">
      <c r="A378" s="21" t="s">
        <v>75</v>
      </c>
      <c r="B378" s="21" t="s">
        <v>76</v>
      </c>
    </row>
    <row r="379" spans="1:8" x14ac:dyDescent="0.3">
      <c r="A379" s="21" t="s">
        <v>77</v>
      </c>
      <c r="B379" s="21" t="s">
        <v>172</v>
      </c>
    </row>
    <row r="380" spans="1:8" x14ac:dyDescent="0.3">
      <c r="A380" s="21" t="s">
        <v>79</v>
      </c>
      <c r="B380" s="21" t="s">
        <v>90</v>
      </c>
    </row>
    <row r="381" spans="1:8" x14ac:dyDescent="0.3">
      <c r="A381" s="21" t="s">
        <v>132</v>
      </c>
      <c r="B381" s="21">
        <f>INDEX('vehicles specifications'!$B$3:$CK$86,MATCH(B376,'vehicles specifications'!$A$3:$A$86,0),MATCH("Lifetime [km]",'vehicles specifications'!$B$2:$CK$2,0))</f>
        <v>33400</v>
      </c>
    </row>
    <row r="382" spans="1:8" x14ac:dyDescent="0.3">
      <c r="A382" s="21" t="s">
        <v>133</v>
      </c>
      <c r="B382" s="21">
        <f>INDEX('vehicles specifications'!$B$3:$CK$86,MATCH(B376,'vehicles specifications'!$A$3:$A$86,0),MATCH("Passengers [unit]",'vehicles specifications'!$B$2:$CK$2,0))</f>
        <v>1</v>
      </c>
    </row>
    <row r="383" spans="1:8" x14ac:dyDescent="0.3">
      <c r="A383" s="21" t="s">
        <v>134</v>
      </c>
      <c r="B383" s="21">
        <f>INDEX('vehicles specifications'!$B$3:$CK$86,MATCH(B376,'vehicles specifications'!$A$3:$A$86,0),MATCH("Servicing [unit]",'vehicles specifications'!$B$2:$CK$2,0))</f>
        <v>1</v>
      </c>
    </row>
    <row r="384" spans="1:8" x14ac:dyDescent="0.3">
      <c r="A384" s="21" t="s">
        <v>135</v>
      </c>
      <c r="B384" s="21">
        <f>INDEX('vehicles specifications'!$B$3:$CK$86,MATCH(B376,'vehicles specifications'!$A$3:$A$86,0),MATCH("Energy battery replacement [unit]",'vehicles specifications'!$B$2:$CK$2,0))</f>
        <v>0.5</v>
      </c>
    </row>
    <row r="385" spans="1:8" x14ac:dyDescent="0.3">
      <c r="A385" s="21" t="s">
        <v>136</v>
      </c>
      <c r="B385" s="21">
        <f>INDEX('vehicles specifications'!$B$3:$CK$86,MATCH(B376,'vehicles specifications'!$A$3:$A$86,0),MATCH("Annual kilometers [km]",'vehicles specifications'!$B$2:$CK$2,0))</f>
        <v>2553</v>
      </c>
    </row>
    <row r="386" spans="1:8" x14ac:dyDescent="0.3">
      <c r="A386" s="21" t="s">
        <v>137</v>
      </c>
      <c r="B386" s="2">
        <f>INDEX('vehicles specifications'!$B$3:$CK$86,MATCH(B376,'vehicles specifications'!$A$3:$A$86,0),MATCH("Curb mass [kg]",'vehicles specifications'!$B$2:$CK$2,0))</f>
        <v>99.81</v>
      </c>
    </row>
    <row r="387" spans="1:8" x14ac:dyDescent="0.3">
      <c r="A387" s="21" t="s">
        <v>138</v>
      </c>
      <c r="B387" s="21">
        <f>INDEX('vehicles specifications'!$B$3:$CK$86,MATCH(B376,'vehicles specifications'!$A$3:$A$86,0),MATCH("Power [kW]",'vehicles specifications'!$B$2:$CK$2,0))</f>
        <v>2.6</v>
      </c>
    </row>
    <row r="388" spans="1:8" x14ac:dyDescent="0.3">
      <c r="A388" s="21" t="s">
        <v>139</v>
      </c>
      <c r="B388" s="21">
        <f>INDEX('vehicles specifications'!$B$3:$CK$86,MATCH(B376,'vehicles specifications'!$A$3:$A$86,0),MATCH("Energy battery mass [kg]",'vehicles specifications'!$B$2:$CK$2,0))</f>
        <v>16</v>
      </c>
    </row>
    <row r="389" spans="1:8" x14ac:dyDescent="0.3">
      <c r="A389" s="21" t="s">
        <v>140</v>
      </c>
      <c r="B389" s="21">
        <f>INDEX('vehicles specifications'!$B$3:$CK$86,MATCH(B376,'vehicles specifications'!$A$3:$A$86,0),MATCH("Electric energy stored [kWh]",'vehicles specifications'!$B$2:$CK$2,0))</f>
        <v>4</v>
      </c>
    </row>
    <row r="390" spans="1:8" x14ac:dyDescent="0.3">
      <c r="A390" s="21" t="s">
        <v>654</v>
      </c>
      <c r="B390" s="21">
        <f>INDEX('vehicles specifications'!$B$3:$CK$86,MATCH(B376,'vehicles specifications'!$A$3:$A$86,0),MATCH("Electric energy available [kWh]",'vehicles specifications'!$B$2:$CK$2,0))</f>
        <v>3.2</v>
      </c>
    </row>
    <row r="391" spans="1:8" x14ac:dyDescent="0.3">
      <c r="A391" s="21" t="s">
        <v>143</v>
      </c>
      <c r="B391" s="2">
        <f>INDEX('vehicles specifications'!$B$3:$CK$86,MATCH(B376,'vehicles specifications'!$A$3:$A$86,0),MATCH("Oxydation energy stored [kWh]",'vehicles specifications'!$B$2:$CK$2,0))</f>
        <v>0</v>
      </c>
    </row>
    <row r="392" spans="1:8" x14ac:dyDescent="0.3">
      <c r="A392" s="21" t="s">
        <v>145</v>
      </c>
      <c r="B392" s="21">
        <f>INDEX('vehicles specifications'!$B$3:$CK$86,MATCH(B376,'vehicles specifications'!$A$3:$A$86,0),MATCH("Fuel mass [kg]",'vehicles specifications'!$B$2:$CK$2,0))</f>
        <v>0</v>
      </c>
    </row>
    <row r="393" spans="1:8" x14ac:dyDescent="0.3">
      <c r="A393" s="21" t="s">
        <v>141</v>
      </c>
      <c r="B393" s="2">
        <f>INDEX('vehicles specifications'!$B$3:$CK$86,MATCH(B376,'vehicles specifications'!$A$3:$A$86,0),MATCH("Range [km]",'vehicles specifications'!$B$2:$CK$2,0))</f>
        <v>86.333453887884261</v>
      </c>
    </row>
    <row r="394" spans="1:8" x14ac:dyDescent="0.3">
      <c r="A394" s="21" t="s">
        <v>142</v>
      </c>
      <c r="B394" s="21" t="str">
        <f>INDEX('vehicles specifications'!$B$3:$CK$86,MATCH(B376,'vehicles specifications'!$A$3:$A$86,0),MATCH("Emission standard",'vehicles specifications'!$B$2:$CK$2,0))</f>
        <v>None</v>
      </c>
    </row>
    <row r="395" spans="1:8" x14ac:dyDescent="0.3">
      <c r="A395" s="21" t="s">
        <v>144</v>
      </c>
      <c r="B395" s="6">
        <f>INDEX('vehicles specifications'!$B$3:$CK$86,MATCH(B376,'vehicles specifications'!$A$3:$A$86,0),MATCH("Lightweighting rate [%]",'vehicles specifications'!$B$2:$CK$2,0))</f>
        <v>0.03</v>
      </c>
    </row>
    <row r="396" spans="1:8" x14ac:dyDescent="0.3">
      <c r="A396" s="21" t="s">
        <v>84</v>
      </c>
      <c r="B396" s="21" t="str">
        <f>"Power: "&amp;B387&amp;" kW. Lifetime: "&amp;B381&amp;" km. Annual kilometers: "&amp;B385&amp;" km. Number of passengers: "&amp;B382&amp;". Curb mass: "&amp;ROUND(B386,1)&amp;" kg. Lightweighting of glider: "&amp;ROUND(B395*100,0)&amp;"%. Emission standard: "&amp;B394&amp;". Service visits throughout lifetime: "&amp;ROUND(B383,1)&amp;". Range: "&amp;ROUND(B393,0)&amp;" km. Battery capacity: "&amp;ROUND(B389,1)&amp;" kWh. Available battery capacity: "&amp;B390&amp;" kWh. Battery mass: "&amp;ROUND(B388,1)&amp; " kg. Battery replacement throughout lifetime: "&amp;ROUND(B384,1)&amp;". Fuel tank capacity: "&amp;ROUND(B391,1)&amp;" kWh. Fuel mass: "&amp;ROUND(B392,1)&amp;" kg. Documentation: "&amp;Readmefirst!$B$2&amp;", "&amp;Readmefirst!$B$3&amp;". "&amp;B380</f>
        <v>Power: 2.6 kW. Lifetime: 33400 km. Annual kilometers: 2553 km. Number of passengers: 1. Curb mass: 99.8 kg. Lightweighting of glider: 3%. Emission standard: None. Service visits throughout lifetime: 1. Range: 86 km. Battery capacity: 4 kWh. Available battery capacity: 3.2 kWh. Battery mass: 16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97" spans="1:8" ht="15.6" x14ac:dyDescent="0.3">
      <c r="A397" s="11" t="s">
        <v>80</v>
      </c>
    </row>
    <row r="398" spans="1:8" x14ac:dyDescent="0.3">
      <c r="A398" s="21" t="s">
        <v>81</v>
      </c>
      <c r="B398" s="21" t="s">
        <v>82</v>
      </c>
      <c r="C398" s="21" t="s">
        <v>73</v>
      </c>
      <c r="D398" s="21" t="s">
        <v>77</v>
      </c>
      <c r="E398" s="21" t="s">
        <v>83</v>
      </c>
      <c r="F398" s="21" t="s">
        <v>75</v>
      </c>
      <c r="G398" s="21" t="s">
        <v>84</v>
      </c>
      <c r="H398" s="21" t="s">
        <v>74</v>
      </c>
    </row>
    <row r="399" spans="1:8" x14ac:dyDescent="0.3">
      <c r="A399" s="12" t="str">
        <f>B371</f>
        <v>transport, Scooter, electric, &lt;4kW, 2030, label-certified electricity</v>
      </c>
      <c r="B399" s="12">
        <v>1</v>
      </c>
      <c r="C399" s="12" t="str">
        <f>B372</f>
        <v>CH</v>
      </c>
      <c r="D399" s="12" t="s">
        <v>172</v>
      </c>
      <c r="E399" s="12"/>
      <c r="F399" s="12" t="s">
        <v>85</v>
      </c>
      <c r="G399" s="12" t="s">
        <v>86</v>
      </c>
      <c r="H399" s="12" t="str">
        <f>B377</f>
        <v>transport, Scooter, electric, &lt;4kW</v>
      </c>
    </row>
    <row r="400" spans="1:8" x14ac:dyDescent="0.3">
      <c r="A400" s="12" t="str">
        <f>B373&amp;", "&amp;B375</f>
        <v>Scooter, electric, &lt;4kW, 2030</v>
      </c>
      <c r="B400" s="12">
        <f>1/B381</f>
        <v>2.9940119760479042E-5</v>
      </c>
      <c r="C400" s="12" t="str">
        <f>B372</f>
        <v>CH</v>
      </c>
      <c r="D400" s="12" t="s">
        <v>77</v>
      </c>
      <c r="E400" s="12"/>
      <c r="F400" s="12" t="s">
        <v>91</v>
      </c>
      <c r="G400" s="12"/>
      <c r="H400" s="12" t="str">
        <f>RIGHT(H399,LEN(H399)-11)</f>
        <v>Scooter, electric, &lt;4kW</v>
      </c>
    </row>
    <row r="401" spans="1:8" x14ac:dyDescent="0.3">
      <c r="A401" s="12" t="str">
        <f>INDEX('ei names mapping'!$B$4:$R$33,MATCH(B373,'ei names mapping'!$A$4:$A$33,0),MATCH(G401,'ei names mapping'!$B$3:$R$3,0))</f>
        <v>road construction</v>
      </c>
      <c r="B401" s="16">
        <f>INDEX('vehicles specifications'!$B$3:$CK$86,MATCH(B376,'vehicles specifications'!$A$3:$A$86,0),MATCH(G401,'vehicles specifications'!$B$2:$CK$2,0))*INDEX('ei names mapping'!$B$137:$BK$220,MATCH(B376,'ei names mapping'!$A$137:$A$220,0),MATCH(G401,'ei names mapping'!$B$136:$BK$136,0))</f>
        <v>9.333597E-5</v>
      </c>
      <c r="C401" s="12" t="str">
        <f>INDEX('ei names mapping'!$B$38:$R$67,MATCH(B373,'ei names mapping'!$A$4:$A$33,0),MATCH(G401,'ei names mapping'!$B$3:$R$3,0))</f>
        <v>CH</v>
      </c>
      <c r="D401" s="12" t="str">
        <f>INDEX('ei names mapping'!$B$104:$BK$133,MATCH(B373,'ei names mapping'!$A$4:$A$33,0),MATCH(G401,'ei names mapping'!$B$3:$BK$3,0))</f>
        <v>meter-year</v>
      </c>
      <c r="E401" s="12"/>
      <c r="F401" s="12" t="s">
        <v>91</v>
      </c>
      <c r="G401" s="21" t="s">
        <v>108</v>
      </c>
      <c r="H401" s="12" t="str">
        <f>INDEX('ei names mapping'!$B$71:$BK$100,MATCH(B373,'ei names mapping'!$A$4:$A$33,0),MATCH(G401,'ei names mapping'!$B$3:$BK$3,0))</f>
        <v>road</v>
      </c>
    </row>
    <row r="402" spans="1:8" x14ac:dyDescent="0.3">
      <c r="A402" s="12" t="str">
        <f>INDEX('ei names mapping'!$B$4:$R$33,MATCH(B373,'ei names mapping'!$A$4:$A$33,0),MATCH(G402,'ei names mapping'!$B$3:$R$3,0))</f>
        <v>road maintenance</v>
      </c>
      <c r="B402" s="16">
        <f>INDEX('vehicles specifications'!$B$3:$CK$86,MATCH(B376,'vehicles specifications'!$A$3:$A$86,0),MATCH(G402,'vehicles specifications'!$B$2:$CK$2,0))*INDEX('ei names mapping'!$B$137:$BK$220,MATCH(B376,'ei names mapping'!$A$137:$A$220,0),MATCH(G402,'ei names mapping'!$B$136:$BK$136,0))</f>
        <v>1.2899999999999999E-3</v>
      </c>
      <c r="C402" s="12" t="str">
        <f>INDEX('ei names mapping'!$B$38:$R$67,MATCH(B373,'ei names mapping'!$A$4:$A$33,0),MATCH(G402,'ei names mapping'!$B$3:$R$3,0))</f>
        <v>CH</v>
      </c>
      <c r="D402" s="12" t="str">
        <f>INDEX('ei names mapping'!$B$104:$BK$133,MATCH(B373,'ei names mapping'!$A$4:$A$33,0),MATCH(G402,'ei names mapping'!$B$3:$BK$3,0))</f>
        <v>meter-year</v>
      </c>
      <c r="E402" s="12"/>
      <c r="F402" s="12" t="s">
        <v>91</v>
      </c>
      <c r="G402" s="21" t="s">
        <v>117</v>
      </c>
      <c r="H402" s="12" t="str">
        <f>INDEX('ei names mapping'!$B$71:$BK$100,MATCH(B373,'ei names mapping'!$A$4:$A$33,0),MATCH(G402,'ei names mapping'!$B$3:$BK$3,0))</f>
        <v>road maintenance</v>
      </c>
    </row>
    <row r="403" spans="1:8" x14ac:dyDescent="0.3">
      <c r="A403" s="12" t="s">
        <v>114</v>
      </c>
      <c r="B403" s="14">
        <f>INDEX('vehicles specifications'!$B$3:$CK$86,MATCH(B376,'vehicles specifications'!$A$3:$A$86,0),MATCH(G403,'vehicles specifications'!$B$2:$CK$2,0))*INDEX('ei names mapping'!$B$137:$BK$220,MATCH(B376,'ei names mapping'!$A$137:$A$220,0),MATCH(G403,'ei names mapping'!$B$136:$BK$136,0))</f>
        <v>4.0772143838600498E-2</v>
      </c>
      <c r="C403" s="12" t="str">
        <f>INDEX('ei names mapping'!$B$38:$R$67,MATCH($B$3,'ei names mapping'!$A$4:$A$33,0),MATCH(G403,'ei names mapping'!$B$3:$R$3,0))</f>
        <v>CH</v>
      </c>
      <c r="D403" s="12" t="str">
        <f>INDEX('ei names mapping'!$B$104:$R$133,MATCH($B$3,'ei names mapping'!$A$4:$A$33,0),MATCH(G403,'ei names mapping'!$B$3:$R$3,0))</f>
        <v>kilowatt hour</v>
      </c>
      <c r="E403" s="12"/>
      <c r="F403" s="12" t="s">
        <v>91</v>
      </c>
      <c r="G403" s="21" t="s">
        <v>28</v>
      </c>
      <c r="H403" s="12" t="s">
        <v>116</v>
      </c>
    </row>
    <row r="404" spans="1:8" x14ac:dyDescent="0.3">
      <c r="A404" s="12" t="str">
        <f>INDEX('ei names mapping'!$B$4:$R$33,MATCH(B373,'ei names mapping'!$A$4:$A$33,0),MATCH(G404,'ei names mapping'!$B$3:$R$3,0))</f>
        <v>market for maintenance, electric scooter, without battery</v>
      </c>
      <c r="B404" s="16">
        <f>INDEX('vehicles specifications'!$B$3:$CK$86,MATCH(B376,'vehicles specifications'!$A$3:$A$86,0),MATCH(G404,'vehicles specifications'!$B$2:$CK$2,0))*INDEX('ei names mapping'!$B$137:$BK$220,MATCH(B376,'ei names mapping'!$A$137:$A$220,0),MATCH(G404,'ei names mapping'!$B$136:$BK$136,0))</f>
        <v>2.9940119760479042E-5</v>
      </c>
      <c r="C404" s="12" t="str">
        <f>INDEX('ei names mapping'!$B$38:$BK$67,MATCH(B373,'ei names mapping'!$A$4:$A$33,0),MATCH(G404,'ei names mapping'!$B$3:$BK$3,0))</f>
        <v>GLO</v>
      </c>
      <c r="D404" s="12" t="str">
        <f>INDEX('ei names mapping'!$B$104:$BK$133,MATCH(B373,'ei names mapping'!$A$4:$A$33,0),MATCH(G404,'ei names mapping'!$B$3:$BK$3,0))</f>
        <v>unit</v>
      </c>
      <c r="F404" s="12" t="s">
        <v>91</v>
      </c>
      <c r="G404" s="12" t="s">
        <v>123</v>
      </c>
      <c r="H404" s="12" t="str">
        <f>INDEX('ei names mapping'!$B$71:$BK$100,MATCH(B373,'ei names mapping'!$A$4:$A$33,0),MATCH(G404,'ei names mapping'!$B$3:$BK$3,0))</f>
        <v>maintenance, electric scooter, without battery</v>
      </c>
    </row>
    <row r="405" spans="1:8" x14ac:dyDescent="0.3">
      <c r="A405" s="12" t="str">
        <f>INDEX('ei names mapping'!$B$4:$BK$33,MATCH(B373,'ei names mapping'!$A$4:$A$33,0),MATCH(G405,'ei names mapping'!$B$3:$BK$3,0))</f>
        <v>treatment of road wear emissions, passenger car</v>
      </c>
      <c r="B405" s="16">
        <f>INDEX('vehicles specifications'!$B$3:$CK$86,MATCH(B376,'vehicles specifications'!$A$3:$A$86,0),MATCH(G405,'vehicles specifications'!$B$2:$CK$2,0))*INDEX('ei names mapping'!$B$137:$BK$220,MATCH(B376,'ei names mapping'!$A$137:$A$220,0),MATCH(G405,'ei names mapping'!$B$136:$BK$136,0))</f>
        <v>-6.0000000000000002E-6</v>
      </c>
      <c r="C405" s="12" t="str">
        <f>INDEX('ei names mapping'!$B$38:$BK$67,MATCH(B373,'ei names mapping'!$A$4:$A$33,0),MATCH(G405,'ei names mapping'!$B$3:$BK$3,0))</f>
        <v>RER</v>
      </c>
      <c r="D405" s="12" t="str">
        <f>INDEX('ei names mapping'!$B$104:$BK$133,MATCH(B373,'ei names mapping'!$A$4:$A$33,0),MATCH(G405,'ei names mapping'!$B$3:$BK$3,0))</f>
        <v>kilogram</v>
      </c>
      <c r="E405" s="12"/>
      <c r="F405" s="12" t="s">
        <v>91</v>
      </c>
      <c r="G405" s="21" t="s">
        <v>29</v>
      </c>
      <c r="H405" s="12" t="str">
        <f>INDEX('ei names mapping'!$B$71:$BK$100,MATCH(B373,'ei names mapping'!$A$4:$A$33,0),MATCH(G405,'ei names mapping'!$B$3:$BK$3,0))</f>
        <v>road wear emissions, passenger car</v>
      </c>
    </row>
    <row r="406" spans="1:8" x14ac:dyDescent="0.3">
      <c r="A406" s="12" t="str">
        <f>INDEX('ei names mapping'!$B$4:$BK$33,MATCH(B373,'ei names mapping'!$A$4:$A$33,0),MATCH(G406,'ei names mapping'!$B$3:$BK$3,0))</f>
        <v>treatment of tyre wear emissions, passenger car</v>
      </c>
      <c r="B406" s="16">
        <f>INDEX('vehicles specifications'!$B$3:$CK$86,MATCH(B376,'vehicles specifications'!$A$3:$A$86,0),MATCH(G406,'vehicles specifications'!$B$2:$CK$2,0))*INDEX('ei names mapping'!$B$137:$BK$220,MATCH(B376,'ei names mapping'!$A$137:$A$220,0),MATCH(G406,'ei names mapping'!$B$136:$BK$136,0))</f>
        <v>-6.3939999999999993E-6</v>
      </c>
      <c r="C406" s="12" t="str">
        <f>INDEX('ei names mapping'!$B$38:$BK$67,MATCH(B373,'ei names mapping'!$A$4:$A$33,0),MATCH(G406,'ei names mapping'!$B$3:$BK$3,0))</f>
        <v>RER</v>
      </c>
      <c r="D406" s="12" t="str">
        <f>INDEX('ei names mapping'!$B$104:$BK$133,MATCH(B373,'ei names mapping'!$A$4:$A$33,0),MATCH(G406,'ei names mapping'!$B$3:$BK$3,0))</f>
        <v>kilogram</v>
      </c>
      <c r="E406" s="12"/>
      <c r="F406" s="12" t="s">
        <v>91</v>
      </c>
      <c r="G406" s="21" t="s">
        <v>30</v>
      </c>
      <c r="H406" s="12" t="str">
        <f>INDEX('ei names mapping'!$B$71:$BK$100,MATCH(B373,'ei names mapping'!$A$4:$A$33,0),MATCH(G406,'ei names mapping'!$B$3:$BK$3,0))</f>
        <v>tyre wear emissions, passenger car</v>
      </c>
    </row>
    <row r="407" spans="1:8" x14ac:dyDescent="0.3">
      <c r="A407" s="12" t="str">
        <f>INDEX('ei names mapping'!$B$4:$BK$33,MATCH(B373,'ei names mapping'!$A$4:$A$33,0),MATCH(G407,'ei names mapping'!$B$3:$BK$3,0))</f>
        <v>treatment of brake wear emissions, passenger car</v>
      </c>
      <c r="B407" s="16">
        <f>INDEX('vehicles specifications'!$B$3:$CK$86,MATCH(B376,'vehicles specifications'!$A$3:$A$86,0),MATCH(G407,'vehicles specifications'!$B$2:$CK$2,0))*INDEX('ei names mapping'!$B$137:$BK$220,MATCH(B376,'ei names mapping'!$A$137:$A$220,0),MATCH(G407,'ei names mapping'!$B$136:$BK$136,0))</f>
        <v>-3.0894999999999998E-6</v>
      </c>
      <c r="C407" s="12" t="str">
        <f>INDEX('ei names mapping'!$B$38:$BK$67,MATCH(B373,'ei names mapping'!$A$4:$A$33,0),MATCH(G407,'ei names mapping'!$B$3:$BK$3,0))</f>
        <v>RER</v>
      </c>
      <c r="D407" s="12" t="str">
        <f>INDEX('ei names mapping'!$B$104:$BK$133,MATCH(B373,'ei names mapping'!$A$4:$A$33,0),MATCH(G407,'ei names mapping'!$B$3:$BK$3,0))</f>
        <v>kilogram</v>
      </c>
      <c r="E407" s="12"/>
      <c r="F407" s="12" t="s">
        <v>91</v>
      </c>
      <c r="G407" s="21" t="s">
        <v>31</v>
      </c>
      <c r="H407" s="12" t="str">
        <f>INDEX('ei names mapping'!$B$71:$BK$100,MATCH(B373,'ei names mapping'!$A$4:$A$33,0),MATCH(G407,'ei names mapping'!$B$3:$BK$3,0))</f>
        <v>brake wear emissions, passenger car</v>
      </c>
    </row>
    <row r="409" spans="1:8" ht="15.6" x14ac:dyDescent="0.3">
      <c r="A409" s="11" t="s">
        <v>72</v>
      </c>
      <c r="B409" s="9" t="str">
        <f>"transport, "&amp;B411&amp;", "&amp;B413&amp;", label-certified electricity"</f>
        <v>transport, Scooter, electric, &lt;4kW, 2040, label-certified electricity</v>
      </c>
    </row>
    <row r="410" spans="1:8" x14ac:dyDescent="0.3">
      <c r="A410" s="21" t="s">
        <v>73</v>
      </c>
      <c r="B410" s="21" t="s">
        <v>37</v>
      </c>
    </row>
    <row r="411" spans="1:8" x14ac:dyDescent="0.3">
      <c r="A411" s="21" t="s">
        <v>87</v>
      </c>
      <c r="B411" s="21" t="s">
        <v>674</v>
      </c>
    </row>
    <row r="412" spans="1:8" x14ac:dyDescent="0.3">
      <c r="A412" s="21" t="s">
        <v>88</v>
      </c>
      <c r="B412" s="12"/>
    </row>
    <row r="413" spans="1:8" x14ac:dyDescent="0.3">
      <c r="A413" s="21" t="s">
        <v>89</v>
      </c>
      <c r="B413" s="12">
        <v>2040</v>
      </c>
    </row>
    <row r="414" spans="1:8" x14ac:dyDescent="0.3">
      <c r="A414" s="21" t="s">
        <v>131</v>
      </c>
      <c r="B414" s="12" t="str">
        <f>B411&amp;" - "&amp;B413&amp;" - "&amp;B410</f>
        <v>Scooter, electric, &lt;4kW - 2040 - CH</v>
      </c>
    </row>
    <row r="415" spans="1:8" x14ac:dyDescent="0.3">
      <c r="A415" s="21" t="s">
        <v>74</v>
      </c>
      <c r="B415" s="12" t="str">
        <f>"transport, "&amp;B411</f>
        <v>transport, Scooter, electric, &lt;4kW</v>
      </c>
    </row>
    <row r="416" spans="1:8" x14ac:dyDescent="0.3">
      <c r="A416" s="21" t="s">
        <v>75</v>
      </c>
      <c r="B416" s="21" t="s">
        <v>76</v>
      </c>
    </row>
    <row r="417" spans="1:2" x14ac:dyDescent="0.3">
      <c r="A417" s="21" t="s">
        <v>77</v>
      </c>
      <c r="B417" s="21" t="s">
        <v>172</v>
      </c>
    </row>
    <row r="418" spans="1:2" x14ac:dyDescent="0.3">
      <c r="A418" s="21" t="s">
        <v>79</v>
      </c>
      <c r="B418" s="21" t="s">
        <v>90</v>
      </c>
    </row>
    <row r="419" spans="1:2" x14ac:dyDescent="0.3">
      <c r="A419" s="21" t="s">
        <v>132</v>
      </c>
      <c r="B419" s="21">
        <f>INDEX('vehicles specifications'!$B$3:$CK$86,MATCH(B414,'vehicles specifications'!$A$3:$A$86,0),MATCH("Lifetime [km]",'vehicles specifications'!$B$2:$CK$2,0))</f>
        <v>33400</v>
      </c>
    </row>
    <row r="420" spans="1:2" x14ac:dyDescent="0.3">
      <c r="A420" s="21" t="s">
        <v>133</v>
      </c>
      <c r="B420" s="21">
        <f>INDEX('vehicles specifications'!$B$3:$CK$86,MATCH(B414,'vehicles specifications'!$A$3:$A$86,0),MATCH("Passengers [unit]",'vehicles specifications'!$B$2:$CK$2,0))</f>
        <v>1</v>
      </c>
    </row>
    <row r="421" spans="1:2" x14ac:dyDescent="0.3">
      <c r="A421" s="21" t="s">
        <v>134</v>
      </c>
      <c r="B421" s="21">
        <f>INDEX('vehicles specifications'!$B$3:$CK$86,MATCH(B414,'vehicles specifications'!$A$3:$A$86,0),MATCH("Servicing [unit]",'vehicles specifications'!$B$2:$CK$2,0))</f>
        <v>1</v>
      </c>
    </row>
    <row r="422" spans="1:2" x14ac:dyDescent="0.3">
      <c r="A422" s="21" t="s">
        <v>135</v>
      </c>
      <c r="B422" s="21">
        <f>INDEX('vehicles specifications'!$B$3:$CK$86,MATCH(B414,'vehicles specifications'!$A$3:$A$86,0),MATCH("Energy battery replacement [unit]",'vehicles specifications'!$B$2:$CK$2,0))</f>
        <v>0.25</v>
      </c>
    </row>
    <row r="423" spans="1:2" x14ac:dyDescent="0.3">
      <c r="A423" s="21" t="s">
        <v>136</v>
      </c>
      <c r="B423" s="21">
        <f>INDEX('vehicles specifications'!$B$3:$CK$86,MATCH(B414,'vehicles specifications'!$A$3:$A$86,0),MATCH("Annual kilometers [km]",'vehicles specifications'!$B$2:$CK$2,0))</f>
        <v>2553</v>
      </c>
    </row>
    <row r="424" spans="1:2" x14ac:dyDescent="0.3">
      <c r="A424" s="21" t="s">
        <v>137</v>
      </c>
      <c r="B424" s="2">
        <f>INDEX('vehicles specifications'!$B$3:$CK$86,MATCH(B414,'vehicles specifications'!$A$3:$A$86,0),MATCH("Curb mass [kg]",'vehicles specifications'!$B$2:$CK$2,0))</f>
        <v>99.75</v>
      </c>
    </row>
    <row r="425" spans="1:2" x14ac:dyDescent="0.3">
      <c r="A425" s="21" t="s">
        <v>138</v>
      </c>
      <c r="B425" s="21">
        <f>INDEX('vehicles specifications'!$B$3:$CK$86,MATCH(B414,'vehicles specifications'!$A$3:$A$86,0),MATCH("Power [kW]",'vehicles specifications'!$B$2:$CK$2,0))</f>
        <v>2.6</v>
      </c>
    </row>
    <row r="426" spans="1:2" x14ac:dyDescent="0.3">
      <c r="A426" s="21" t="s">
        <v>139</v>
      </c>
      <c r="B426" s="21">
        <f>INDEX('vehicles specifications'!$B$3:$CK$86,MATCH(B414,'vehicles specifications'!$A$3:$A$86,0),MATCH("Energy battery mass [kg]",'vehicles specifications'!$B$2:$CK$2,0))</f>
        <v>17.399999999999999</v>
      </c>
    </row>
    <row r="427" spans="1:2" x14ac:dyDescent="0.3">
      <c r="A427" s="21" t="s">
        <v>140</v>
      </c>
      <c r="B427" s="21">
        <f>INDEX('vehicles specifications'!$B$3:$CK$86,MATCH(B414,'vehicles specifications'!$A$3:$A$86,0),MATCH("Electric energy stored [kWh]",'vehicles specifications'!$B$2:$CK$2,0))</f>
        <v>5.8</v>
      </c>
    </row>
    <row r="428" spans="1:2" x14ac:dyDescent="0.3">
      <c r="A428" s="21" t="s">
        <v>654</v>
      </c>
      <c r="B428" s="21">
        <f>INDEX('vehicles specifications'!$B$3:$CK$86,MATCH(B414,'vehicles specifications'!$A$3:$A$86,0),MATCH("Electric energy available [kWh]",'vehicles specifications'!$B$2:$CK$2,0))</f>
        <v>4.6399999999999997</v>
      </c>
    </row>
    <row r="429" spans="1:2" x14ac:dyDescent="0.3">
      <c r="A429" s="21" t="s">
        <v>143</v>
      </c>
      <c r="B429" s="2">
        <f>INDEX('vehicles specifications'!$B$3:$CK$86,MATCH(B414,'vehicles specifications'!$A$3:$A$86,0),MATCH("Oxydation energy stored [kWh]",'vehicles specifications'!$B$2:$CK$2,0))</f>
        <v>0</v>
      </c>
    </row>
    <row r="430" spans="1:2" x14ac:dyDescent="0.3">
      <c r="A430" s="21" t="s">
        <v>145</v>
      </c>
      <c r="B430" s="21">
        <f>INDEX('vehicles specifications'!$B$3:$CK$86,MATCH(B414,'vehicles specifications'!$A$3:$A$86,0),MATCH("Fuel mass [kg]",'vehicles specifications'!$B$2:$CK$2,0))</f>
        <v>0</v>
      </c>
    </row>
    <row r="431" spans="1:2" x14ac:dyDescent="0.3">
      <c r="A431" s="21" t="s">
        <v>141</v>
      </c>
      <c r="B431" s="2">
        <f>INDEX('vehicles specifications'!$B$3:$CK$86,MATCH(B414,'vehicles specifications'!$A$3:$A$86,0),MATCH("Range [km]",'vehicles specifications'!$B$2:$CK$2,0))</f>
        <v>125.18350813743217</v>
      </c>
    </row>
    <row r="432" spans="1:2" x14ac:dyDescent="0.3">
      <c r="A432" s="21" t="s">
        <v>142</v>
      </c>
      <c r="B432" s="21" t="str">
        <f>INDEX('vehicles specifications'!$B$3:$CK$86,MATCH(B414,'vehicles specifications'!$A$3:$A$86,0),MATCH("Emission standard",'vehicles specifications'!$B$2:$CK$2,0))</f>
        <v>None</v>
      </c>
    </row>
    <row r="433" spans="1:8" x14ac:dyDescent="0.3">
      <c r="A433" s="21" t="s">
        <v>144</v>
      </c>
      <c r="B433" s="6">
        <f>INDEX('vehicles specifications'!$B$3:$CK$86,MATCH(B414,'vehicles specifications'!$A$3:$A$86,0),MATCH("Lightweighting rate [%]",'vehicles specifications'!$B$2:$CK$2,0))</f>
        <v>0.05</v>
      </c>
    </row>
    <row r="434" spans="1:8" x14ac:dyDescent="0.3">
      <c r="A434" s="21" t="s">
        <v>84</v>
      </c>
      <c r="B434" s="21" t="str">
        <f>"Power: "&amp;B425&amp;" kW. Lifetime: "&amp;B419&amp;" km. Annual kilometers: "&amp;B423&amp;" km. Number of passengers: "&amp;B420&amp;". Curb mass: "&amp;ROUND(B424,1)&amp;" kg. Lightweighting of glider: "&amp;ROUND(B433*100,0)&amp;"%. Emission standard: "&amp;B432&amp;". Service visits throughout lifetime: "&amp;ROUND(B421,1)&amp;". Range: "&amp;ROUND(B431,0)&amp;" km. Battery capacity: "&amp;ROUND(B427,1)&amp;" kWh. Available battery capacity: "&amp;B428&amp;" kWh. Battery mass: "&amp;ROUND(B426,1)&amp; " kg. Battery replacement throughout lifetime: "&amp;ROUND(B422,1)&amp;". Fuel tank capacity: "&amp;ROUND(B429,1)&amp;" kWh. Fuel mass: "&amp;ROUND(B430,1)&amp;" kg. Documentation: "&amp;Readmefirst!$B$2&amp;", "&amp;Readmefirst!$B$3&amp;". "&amp;B418</f>
        <v>Power: 2.6 kW. Lifetime: 33400 km. Annual kilometers: 2553 km. Number of passengers: 1. Curb mass: 99.8 kg. Lightweighting of glider: 5%. Emission standard: None. Service visits throughout lifetime: 1. Range: 125 km. Battery capacity: 5.8 kWh. Available battery capacity: 4.64 kWh. Battery mass: 17.4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35" spans="1:8" ht="15.6" x14ac:dyDescent="0.3">
      <c r="A435" s="11" t="s">
        <v>80</v>
      </c>
    </row>
    <row r="436" spans="1:8" x14ac:dyDescent="0.3">
      <c r="A436" s="21" t="s">
        <v>81</v>
      </c>
      <c r="B436" s="21" t="s">
        <v>82</v>
      </c>
      <c r="C436" s="21" t="s">
        <v>73</v>
      </c>
      <c r="D436" s="21" t="s">
        <v>77</v>
      </c>
      <c r="E436" s="21" t="s">
        <v>83</v>
      </c>
      <c r="F436" s="21" t="s">
        <v>75</v>
      </c>
      <c r="G436" s="21" t="s">
        <v>84</v>
      </c>
      <c r="H436" s="21" t="s">
        <v>74</v>
      </c>
    </row>
    <row r="437" spans="1:8" x14ac:dyDescent="0.3">
      <c r="A437" s="12" t="str">
        <f>B409</f>
        <v>transport, Scooter, electric, &lt;4kW, 2040, label-certified electricity</v>
      </c>
      <c r="B437" s="12">
        <v>1</v>
      </c>
      <c r="C437" s="12" t="str">
        <f>B410</f>
        <v>CH</v>
      </c>
      <c r="D437" s="12" t="s">
        <v>172</v>
      </c>
      <c r="E437" s="12"/>
      <c r="F437" s="12" t="s">
        <v>85</v>
      </c>
      <c r="G437" s="12" t="s">
        <v>86</v>
      </c>
      <c r="H437" s="12" t="str">
        <f>B415</f>
        <v>transport, Scooter, electric, &lt;4kW</v>
      </c>
    </row>
    <row r="438" spans="1:8" x14ac:dyDescent="0.3">
      <c r="A438" s="12" t="str">
        <f>B411&amp;", "&amp;B413</f>
        <v>Scooter, electric, &lt;4kW, 2040</v>
      </c>
      <c r="B438" s="12">
        <f>1/B419</f>
        <v>2.9940119760479042E-5</v>
      </c>
      <c r="C438" s="12" t="str">
        <f>B410</f>
        <v>CH</v>
      </c>
      <c r="D438" s="12" t="s">
        <v>77</v>
      </c>
      <c r="E438" s="12"/>
      <c r="F438" s="12" t="s">
        <v>91</v>
      </c>
      <c r="G438" s="12"/>
      <c r="H438" s="12" t="str">
        <f>RIGHT(H437,LEN(H437)-11)</f>
        <v>Scooter, electric, &lt;4kW</v>
      </c>
    </row>
    <row r="439" spans="1:8" x14ac:dyDescent="0.3">
      <c r="A439" s="12" t="str">
        <f>INDEX('ei names mapping'!$B$4:$R$33,MATCH(B411,'ei names mapping'!$A$4:$A$33,0),MATCH(G439,'ei names mapping'!$B$3:$R$3,0))</f>
        <v>road construction</v>
      </c>
      <c r="B439" s="16">
        <f>INDEX('vehicles specifications'!$B$3:$CK$86,MATCH(B414,'vehicles specifications'!$A$3:$A$86,0),MATCH(G439,'vehicles specifications'!$B$2:$CK$2,0))*INDEX('ei names mapping'!$B$137:$BK$220,MATCH(B414,'ei names mapping'!$A$137:$A$220,0),MATCH(G439,'ei names mapping'!$B$136:$BK$136,0))</f>
        <v>9.3303749999999996E-5</v>
      </c>
      <c r="C439" s="12" t="str">
        <f>INDEX('ei names mapping'!$B$38:$R$67,MATCH(B411,'ei names mapping'!$A$4:$A$33,0),MATCH(G439,'ei names mapping'!$B$3:$R$3,0))</f>
        <v>CH</v>
      </c>
      <c r="D439" s="12" t="str">
        <f>INDEX('ei names mapping'!$B$104:$BK$133,MATCH(B411,'ei names mapping'!$A$4:$A$33,0),MATCH(G439,'ei names mapping'!$B$3:$BK$3,0))</f>
        <v>meter-year</v>
      </c>
      <c r="E439" s="12"/>
      <c r="F439" s="12" t="s">
        <v>91</v>
      </c>
      <c r="G439" s="21" t="s">
        <v>108</v>
      </c>
      <c r="H439" s="12" t="str">
        <f>INDEX('ei names mapping'!$B$71:$BK$100,MATCH(B411,'ei names mapping'!$A$4:$A$33,0),MATCH(G439,'ei names mapping'!$B$3:$BK$3,0))</f>
        <v>road</v>
      </c>
    </row>
    <row r="440" spans="1:8" x14ac:dyDescent="0.3">
      <c r="A440" s="12" t="str">
        <f>INDEX('ei names mapping'!$B$4:$R$33,MATCH(B411,'ei names mapping'!$A$4:$A$33,0),MATCH(G440,'ei names mapping'!$B$3:$R$3,0))</f>
        <v>road maintenance</v>
      </c>
      <c r="B440" s="16">
        <f>INDEX('vehicles specifications'!$B$3:$CK$86,MATCH(B414,'vehicles specifications'!$A$3:$A$86,0),MATCH(G440,'vehicles specifications'!$B$2:$CK$2,0))*INDEX('ei names mapping'!$B$137:$BK$220,MATCH(B414,'ei names mapping'!$A$137:$A$220,0),MATCH(G440,'ei names mapping'!$B$136:$BK$136,0))</f>
        <v>1.2899999999999999E-3</v>
      </c>
      <c r="C440" s="12" t="str">
        <f>INDEX('ei names mapping'!$B$38:$R$67,MATCH(B411,'ei names mapping'!$A$4:$A$33,0),MATCH(G440,'ei names mapping'!$B$3:$R$3,0))</f>
        <v>CH</v>
      </c>
      <c r="D440" s="12" t="str">
        <f>INDEX('ei names mapping'!$B$104:$BK$133,MATCH(B411,'ei names mapping'!$A$4:$A$33,0),MATCH(G440,'ei names mapping'!$B$3:$BK$3,0))</f>
        <v>meter-year</v>
      </c>
      <c r="E440" s="12"/>
      <c r="F440" s="12" t="s">
        <v>91</v>
      </c>
      <c r="G440" s="21" t="s">
        <v>117</v>
      </c>
      <c r="H440" s="12" t="str">
        <f>INDEX('ei names mapping'!$B$71:$BK$100,MATCH(B411,'ei names mapping'!$A$4:$A$33,0),MATCH(G440,'ei names mapping'!$B$3:$BK$3,0))</f>
        <v>road maintenance</v>
      </c>
    </row>
    <row r="441" spans="1:8" x14ac:dyDescent="0.3">
      <c r="A441" s="12" t="s">
        <v>114</v>
      </c>
      <c r="B441" s="14">
        <f>INDEX('vehicles specifications'!$B$3:$CK$86,MATCH(B414,'vehicles specifications'!$A$3:$A$86,0),MATCH(G441,'vehicles specifications'!$B$2:$CK$2,0))*INDEX('ei names mapping'!$B$137:$BK$220,MATCH(B414,'ei names mapping'!$A$137:$A$220,0),MATCH(G441,'ei names mapping'!$B$136:$BK$136,0))</f>
        <v>4.0772143838600498E-2</v>
      </c>
      <c r="C441" s="12" t="str">
        <f>INDEX('ei names mapping'!$B$38:$R$67,MATCH($B$3,'ei names mapping'!$A$4:$A$33,0),MATCH(G441,'ei names mapping'!$B$3:$R$3,0))</f>
        <v>CH</v>
      </c>
      <c r="D441" s="12" t="str">
        <f>INDEX('ei names mapping'!$B$104:$R$133,MATCH($B$3,'ei names mapping'!$A$4:$A$33,0),MATCH(G441,'ei names mapping'!$B$3:$R$3,0))</f>
        <v>kilowatt hour</v>
      </c>
      <c r="E441" s="12"/>
      <c r="F441" s="12" t="s">
        <v>91</v>
      </c>
      <c r="G441" s="21" t="s">
        <v>28</v>
      </c>
      <c r="H441" s="12" t="s">
        <v>116</v>
      </c>
    </row>
    <row r="442" spans="1:8" x14ac:dyDescent="0.3">
      <c r="A442" s="12" t="str">
        <f>INDEX('ei names mapping'!$B$4:$R$33,MATCH(B411,'ei names mapping'!$A$4:$A$33,0),MATCH(G442,'ei names mapping'!$B$3:$R$3,0))</f>
        <v>market for maintenance, electric scooter, without battery</v>
      </c>
      <c r="B442" s="16">
        <f>INDEX('vehicles specifications'!$B$3:$CK$86,MATCH(B414,'vehicles specifications'!$A$3:$A$86,0),MATCH(G442,'vehicles specifications'!$B$2:$CK$2,0))*INDEX('ei names mapping'!$B$137:$BK$220,MATCH(B414,'ei names mapping'!$A$137:$A$220,0),MATCH(G442,'ei names mapping'!$B$136:$BK$136,0))</f>
        <v>2.9940119760479042E-5</v>
      </c>
      <c r="C442" s="12" t="str">
        <f>INDEX('ei names mapping'!$B$38:$BK$67,MATCH(B411,'ei names mapping'!$A$4:$A$33,0),MATCH(G442,'ei names mapping'!$B$3:$BK$3,0))</f>
        <v>GLO</v>
      </c>
      <c r="D442" s="12" t="str">
        <f>INDEX('ei names mapping'!$B$104:$BK$133,MATCH(B411,'ei names mapping'!$A$4:$A$33,0),MATCH(G442,'ei names mapping'!$B$3:$BK$3,0))</f>
        <v>unit</v>
      </c>
      <c r="F442" s="12" t="s">
        <v>91</v>
      </c>
      <c r="G442" s="12" t="s">
        <v>123</v>
      </c>
      <c r="H442" s="12" t="str">
        <f>INDEX('ei names mapping'!$B$71:$BK$100,MATCH(B411,'ei names mapping'!$A$4:$A$33,0),MATCH(G442,'ei names mapping'!$B$3:$BK$3,0))</f>
        <v>maintenance, electric scooter, without battery</v>
      </c>
    </row>
    <row r="443" spans="1:8" x14ac:dyDescent="0.3">
      <c r="A443" s="12" t="str">
        <f>INDEX('ei names mapping'!$B$4:$BK$33,MATCH(B411,'ei names mapping'!$A$4:$A$33,0),MATCH(G443,'ei names mapping'!$B$3:$BK$3,0))</f>
        <v>treatment of road wear emissions, passenger car</v>
      </c>
      <c r="B443" s="16">
        <f>INDEX('vehicles specifications'!$B$3:$CK$86,MATCH(B414,'vehicles specifications'!$A$3:$A$86,0),MATCH(G443,'vehicles specifications'!$B$2:$CK$2,0))*INDEX('ei names mapping'!$B$137:$BK$220,MATCH(B414,'ei names mapping'!$A$137:$A$220,0),MATCH(G443,'ei names mapping'!$B$136:$BK$136,0))</f>
        <v>-6.0000000000000002E-6</v>
      </c>
      <c r="C443" s="12" t="str">
        <f>INDEX('ei names mapping'!$B$38:$BK$67,MATCH(B411,'ei names mapping'!$A$4:$A$33,0),MATCH(G443,'ei names mapping'!$B$3:$BK$3,0))</f>
        <v>RER</v>
      </c>
      <c r="D443" s="12" t="str">
        <f>INDEX('ei names mapping'!$B$104:$BK$133,MATCH(B411,'ei names mapping'!$A$4:$A$33,0),MATCH(G443,'ei names mapping'!$B$3:$BK$3,0))</f>
        <v>kilogram</v>
      </c>
      <c r="E443" s="12"/>
      <c r="F443" s="12" t="s">
        <v>91</v>
      </c>
      <c r="G443" s="21" t="s">
        <v>29</v>
      </c>
      <c r="H443" s="12" t="str">
        <f>INDEX('ei names mapping'!$B$71:$BK$100,MATCH(B411,'ei names mapping'!$A$4:$A$33,0),MATCH(G443,'ei names mapping'!$B$3:$BK$3,0))</f>
        <v>road wear emissions, passenger car</v>
      </c>
    </row>
    <row r="444" spans="1:8" x14ac:dyDescent="0.3">
      <c r="A444" s="12" t="str">
        <f>INDEX('ei names mapping'!$B$4:$BK$33,MATCH(B411,'ei names mapping'!$A$4:$A$33,0),MATCH(G444,'ei names mapping'!$B$3:$BK$3,0))</f>
        <v>treatment of tyre wear emissions, passenger car</v>
      </c>
      <c r="B444" s="16">
        <f>INDEX('vehicles specifications'!$B$3:$CK$86,MATCH(B414,'vehicles specifications'!$A$3:$A$86,0),MATCH(G444,'vehicles specifications'!$B$2:$CK$2,0))*INDEX('ei names mapping'!$B$137:$BK$220,MATCH(B414,'ei names mapping'!$A$137:$A$220,0),MATCH(G444,'ei names mapping'!$B$136:$BK$136,0))</f>
        <v>-6.3939999999999993E-6</v>
      </c>
      <c r="C444" s="12" t="str">
        <f>INDEX('ei names mapping'!$B$38:$BK$67,MATCH(B411,'ei names mapping'!$A$4:$A$33,0),MATCH(G444,'ei names mapping'!$B$3:$BK$3,0))</f>
        <v>RER</v>
      </c>
      <c r="D444" s="12" t="str">
        <f>INDEX('ei names mapping'!$B$104:$BK$133,MATCH(B411,'ei names mapping'!$A$4:$A$33,0),MATCH(G444,'ei names mapping'!$B$3:$BK$3,0))</f>
        <v>kilogram</v>
      </c>
      <c r="E444" s="12"/>
      <c r="F444" s="12" t="s">
        <v>91</v>
      </c>
      <c r="G444" s="21" t="s">
        <v>30</v>
      </c>
      <c r="H444" s="12" t="str">
        <f>INDEX('ei names mapping'!$B$71:$BK$100,MATCH(B411,'ei names mapping'!$A$4:$A$33,0),MATCH(G444,'ei names mapping'!$B$3:$BK$3,0))</f>
        <v>tyre wear emissions, passenger car</v>
      </c>
    </row>
    <row r="445" spans="1:8" x14ac:dyDescent="0.3">
      <c r="A445" s="12" t="str">
        <f>INDEX('ei names mapping'!$B$4:$BK$33,MATCH(B411,'ei names mapping'!$A$4:$A$33,0),MATCH(G445,'ei names mapping'!$B$3:$BK$3,0))</f>
        <v>treatment of brake wear emissions, passenger car</v>
      </c>
      <c r="B445" s="16">
        <f>INDEX('vehicles specifications'!$B$3:$CK$86,MATCH(B414,'vehicles specifications'!$A$3:$A$86,0),MATCH(G445,'vehicles specifications'!$B$2:$CK$2,0))*INDEX('ei names mapping'!$B$137:$BK$220,MATCH(B414,'ei names mapping'!$A$137:$A$220,0),MATCH(G445,'ei names mapping'!$B$136:$BK$136,0))</f>
        <v>-3.0894999999999998E-6</v>
      </c>
      <c r="C445" s="12" t="str">
        <f>INDEX('ei names mapping'!$B$38:$BK$67,MATCH(B411,'ei names mapping'!$A$4:$A$33,0),MATCH(G445,'ei names mapping'!$B$3:$BK$3,0))</f>
        <v>RER</v>
      </c>
      <c r="D445" s="12" t="str">
        <f>INDEX('ei names mapping'!$B$104:$BK$133,MATCH(B411,'ei names mapping'!$A$4:$A$33,0),MATCH(G445,'ei names mapping'!$B$3:$BK$3,0))</f>
        <v>kilogram</v>
      </c>
      <c r="E445" s="12"/>
      <c r="F445" s="12" t="s">
        <v>91</v>
      </c>
      <c r="G445" s="21" t="s">
        <v>31</v>
      </c>
      <c r="H445" s="12" t="str">
        <f>INDEX('ei names mapping'!$B$71:$BK$100,MATCH(B411,'ei names mapping'!$A$4:$A$33,0),MATCH(G445,'ei names mapping'!$B$3:$BK$3,0))</f>
        <v>brake wear emissions, passenger car</v>
      </c>
    </row>
    <row r="447" spans="1:8" ht="15.6" x14ac:dyDescent="0.3">
      <c r="A447" s="11" t="s">
        <v>72</v>
      </c>
      <c r="B447" s="9" t="str">
        <f>"transport, "&amp;B449&amp;", "&amp;B451&amp;", label-certified electricity"</f>
        <v>transport, Scooter, electric, &lt;4kW, 2050, label-certified electricity</v>
      </c>
    </row>
    <row r="448" spans="1:8" x14ac:dyDescent="0.3">
      <c r="A448" s="21" t="s">
        <v>73</v>
      </c>
      <c r="B448" s="21" t="s">
        <v>37</v>
      </c>
    </row>
    <row r="449" spans="1:2" x14ac:dyDescent="0.3">
      <c r="A449" s="21" t="s">
        <v>87</v>
      </c>
      <c r="B449" s="21" t="s">
        <v>674</v>
      </c>
    </row>
    <row r="450" spans="1:2" x14ac:dyDescent="0.3">
      <c r="A450" s="21" t="s">
        <v>88</v>
      </c>
      <c r="B450" s="12"/>
    </row>
    <row r="451" spans="1:2" x14ac:dyDescent="0.3">
      <c r="A451" s="21" t="s">
        <v>89</v>
      </c>
      <c r="B451" s="12">
        <v>2050</v>
      </c>
    </row>
    <row r="452" spans="1:2" x14ac:dyDescent="0.3">
      <c r="A452" s="21" t="s">
        <v>131</v>
      </c>
      <c r="B452" s="12" t="str">
        <f>B449&amp;" - "&amp;B451&amp;" - "&amp;B448</f>
        <v>Scooter, electric, &lt;4kW - 2050 - CH</v>
      </c>
    </row>
    <row r="453" spans="1:2" x14ac:dyDescent="0.3">
      <c r="A453" s="21" t="s">
        <v>74</v>
      </c>
      <c r="B453" s="12" t="str">
        <f>"transport, "&amp;B449</f>
        <v>transport, Scooter, electric, &lt;4kW</v>
      </c>
    </row>
    <row r="454" spans="1:2" x14ac:dyDescent="0.3">
      <c r="A454" s="21" t="s">
        <v>75</v>
      </c>
      <c r="B454" s="21" t="s">
        <v>76</v>
      </c>
    </row>
    <row r="455" spans="1:2" x14ac:dyDescent="0.3">
      <c r="A455" s="21" t="s">
        <v>77</v>
      </c>
      <c r="B455" s="21" t="s">
        <v>172</v>
      </c>
    </row>
    <row r="456" spans="1:2" x14ac:dyDescent="0.3">
      <c r="A456" s="21" t="s">
        <v>79</v>
      </c>
      <c r="B456" s="21" t="s">
        <v>90</v>
      </c>
    </row>
    <row r="457" spans="1:2" x14ac:dyDescent="0.3">
      <c r="A457" s="21" t="s">
        <v>132</v>
      </c>
      <c r="B457" s="21">
        <f>INDEX('vehicles specifications'!$B$3:$CK$86,MATCH(B452,'vehicles specifications'!$A$3:$A$86,0),MATCH("Lifetime [km]",'vehicles specifications'!$B$2:$CK$2,0))</f>
        <v>33400</v>
      </c>
    </row>
    <row r="458" spans="1:2" x14ac:dyDescent="0.3">
      <c r="A458" s="21" t="s">
        <v>133</v>
      </c>
      <c r="B458" s="21">
        <f>INDEX('vehicles specifications'!$B$3:$CK$86,MATCH(B452,'vehicles specifications'!$A$3:$A$86,0),MATCH("Passengers [unit]",'vehicles specifications'!$B$2:$CK$2,0))</f>
        <v>1</v>
      </c>
    </row>
    <row r="459" spans="1:2" x14ac:dyDescent="0.3">
      <c r="A459" s="21" t="s">
        <v>134</v>
      </c>
      <c r="B459" s="21">
        <f>INDEX('vehicles specifications'!$B$3:$CK$86,MATCH(B452,'vehicles specifications'!$A$3:$A$86,0),MATCH("Servicing [unit]",'vehicles specifications'!$B$2:$CK$2,0))</f>
        <v>1</v>
      </c>
    </row>
    <row r="460" spans="1:2" x14ac:dyDescent="0.3">
      <c r="A460" s="21" t="s">
        <v>135</v>
      </c>
      <c r="B460" s="21">
        <f>INDEX('vehicles specifications'!$B$3:$CK$86,MATCH(B452,'vehicles specifications'!$A$3:$A$86,0),MATCH("Energy battery replacement [unit]",'vehicles specifications'!$B$2:$CK$2,0))</f>
        <v>0</v>
      </c>
    </row>
    <row r="461" spans="1:2" x14ac:dyDescent="0.3">
      <c r="A461" s="21" t="s">
        <v>136</v>
      </c>
      <c r="B461" s="21">
        <f>INDEX('vehicles specifications'!$B$3:$CK$86,MATCH(B452,'vehicles specifications'!$A$3:$A$86,0),MATCH("Annual kilometers [km]",'vehicles specifications'!$B$2:$CK$2,0))</f>
        <v>2553</v>
      </c>
    </row>
    <row r="462" spans="1:2" x14ac:dyDescent="0.3">
      <c r="A462" s="21" t="s">
        <v>137</v>
      </c>
      <c r="B462" s="2">
        <f>INDEX('vehicles specifications'!$B$3:$CK$86,MATCH(B452,'vehicles specifications'!$A$3:$A$86,0),MATCH("Curb mass [kg]",'vehicles specifications'!$B$2:$CK$2,0))</f>
        <v>100.09</v>
      </c>
    </row>
    <row r="463" spans="1:2" x14ac:dyDescent="0.3">
      <c r="A463" s="21" t="s">
        <v>138</v>
      </c>
      <c r="B463" s="21">
        <f>INDEX('vehicles specifications'!$B$3:$CK$86,MATCH(B452,'vehicles specifications'!$A$3:$A$86,0),MATCH("Power [kW]",'vehicles specifications'!$B$2:$CK$2,0))</f>
        <v>2.6</v>
      </c>
    </row>
    <row r="464" spans="1:2" x14ac:dyDescent="0.3">
      <c r="A464" s="21" t="s">
        <v>139</v>
      </c>
      <c r="B464" s="21">
        <f>INDEX('vehicles specifications'!$B$3:$CK$86,MATCH(B452,'vehicles specifications'!$A$3:$A$86,0),MATCH("Energy battery mass [kg]",'vehicles specifications'!$B$2:$CK$2,0))</f>
        <v>19.2</v>
      </c>
    </row>
    <row r="465" spans="1:8" x14ac:dyDescent="0.3">
      <c r="A465" s="21" t="s">
        <v>140</v>
      </c>
      <c r="B465" s="21">
        <f>INDEX('vehicles specifications'!$B$3:$CK$86,MATCH(B452,'vehicles specifications'!$A$3:$A$86,0),MATCH("Electric energy stored [kWh]",'vehicles specifications'!$B$2:$CK$2,0))</f>
        <v>8</v>
      </c>
    </row>
    <row r="466" spans="1:8" x14ac:dyDescent="0.3">
      <c r="A466" s="21" t="s">
        <v>654</v>
      </c>
      <c r="B466" s="21">
        <f>INDEX('vehicles specifications'!$B$3:$CK$86,MATCH(B452,'vehicles specifications'!$A$3:$A$86,0),MATCH("Electric energy available [kWh]",'vehicles specifications'!$B$2:$CK$2,0))</f>
        <v>6.4</v>
      </c>
    </row>
    <row r="467" spans="1:8" x14ac:dyDescent="0.3">
      <c r="A467" s="21" t="s">
        <v>143</v>
      </c>
      <c r="B467" s="2">
        <f>INDEX('vehicles specifications'!$B$3:$CK$86,MATCH(B452,'vehicles specifications'!$A$3:$A$86,0),MATCH("Oxydation energy stored [kWh]",'vehicles specifications'!$B$2:$CK$2,0))</f>
        <v>0</v>
      </c>
    </row>
    <row r="468" spans="1:8" x14ac:dyDescent="0.3">
      <c r="A468" s="21" t="s">
        <v>145</v>
      </c>
      <c r="B468" s="21">
        <f>INDEX('vehicles specifications'!$B$3:$CK$86,MATCH(B452,'vehicles specifications'!$A$3:$A$86,0),MATCH("Fuel mass [kg]",'vehicles specifications'!$B$2:$CK$2,0))</f>
        <v>0</v>
      </c>
    </row>
    <row r="469" spans="1:8" x14ac:dyDescent="0.3">
      <c r="A469" s="21" t="s">
        <v>141</v>
      </c>
      <c r="B469" s="2">
        <f>INDEX('vehicles specifications'!$B$3:$CK$86,MATCH(B452,'vehicles specifications'!$A$3:$A$86,0),MATCH("Range [km]",'vehicles specifications'!$B$2:$CK$2,0))</f>
        <v>172.66690777576852</v>
      </c>
    </row>
    <row r="470" spans="1:8" x14ac:dyDescent="0.3">
      <c r="A470" s="21" t="s">
        <v>142</v>
      </c>
      <c r="B470" s="21" t="str">
        <f>INDEX('vehicles specifications'!$B$3:$CK$86,MATCH(B452,'vehicles specifications'!$A$3:$A$86,0),MATCH("Emission standard",'vehicles specifications'!$B$2:$CK$2,0))</f>
        <v>None</v>
      </c>
    </row>
    <row r="471" spans="1:8" x14ac:dyDescent="0.3">
      <c r="A471" s="21" t="s">
        <v>144</v>
      </c>
      <c r="B471" s="6">
        <f>INDEX('vehicles specifications'!$B$3:$CK$86,MATCH(B452,'vehicles specifications'!$A$3:$A$86,0),MATCH("Lightweighting rate [%]",'vehicles specifications'!$B$2:$CK$2,0))</f>
        <v>7.0000000000000007E-2</v>
      </c>
    </row>
    <row r="472" spans="1:8" x14ac:dyDescent="0.3">
      <c r="A472" s="21" t="s">
        <v>84</v>
      </c>
      <c r="B472" s="21" t="str">
        <f>"Power: "&amp;B463&amp;" kW. Lifetime: "&amp;B457&amp;" km. Annual kilometers: "&amp;B461&amp;" km. Number of passengers: "&amp;B458&amp;". Curb mass: "&amp;ROUND(B462,1)&amp;" kg. Lightweighting of glider: "&amp;ROUND(B471*100,0)&amp;"%. Emission standard: "&amp;B470&amp;". Service visits throughout lifetime: "&amp;ROUND(B459,1)&amp;". Range: "&amp;ROUND(B469,0)&amp;" km. Battery capacity: "&amp;ROUND(B465,1)&amp;" kWh. Available battery capacity: "&amp;B466&amp;" kWh. Battery mass: "&amp;ROUND(B464,1)&amp; " kg. Battery replacement throughout lifetime: "&amp;ROUND(B460,1)&amp;". Fuel tank capacity: "&amp;ROUND(B467,1)&amp;" kWh. Fuel mass: "&amp;ROUND(B468,1)&amp;" kg. Documentation: "&amp;Readmefirst!$B$2&amp;", "&amp;Readmefirst!$B$3&amp;". "&amp;B456</f>
        <v>Power: 2.6 kW. Lifetime: 33400 km. Annual kilometers: 2553 km. Number of passengers: 1. Curb mass: 100.1 kg. Lightweighting of glider: 7%. Emission standard: None. Service visits throughout lifetime: 1. Range: 173 km. Battery capacity: 8 kWh. Available battery capacity: 6.4 kWh. Battery mass: 19.2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73" spans="1:8" ht="15.6" x14ac:dyDescent="0.3">
      <c r="A473" s="11" t="s">
        <v>80</v>
      </c>
    </row>
    <row r="474" spans="1:8" x14ac:dyDescent="0.3">
      <c r="A474" s="21" t="s">
        <v>81</v>
      </c>
      <c r="B474" s="21" t="s">
        <v>82</v>
      </c>
      <c r="C474" s="21" t="s">
        <v>73</v>
      </c>
      <c r="D474" s="21" t="s">
        <v>77</v>
      </c>
      <c r="E474" s="21" t="s">
        <v>83</v>
      </c>
      <c r="F474" s="21" t="s">
        <v>75</v>
      </c>
      <c r="G474" s="21" t="s">
        <v>84</v>
      </c>
      <c r="H474" s="21" t="s">
        <v>74</v>
      </c>
    </row>
    <row r="475" spans="1:8" x14ac:dyDescent="0.3">
      <c r="A475" s="12" t="str">
        <f>B447</f>
        <v>transport, Scooter, electric, &lt;4kW, 2050, label-certified electricity</v>
      </c>
      <c r="B475" s="12">
        <v>1</v>
      </c>
      <c r="C475" s="12" t="str">
        <f>B448</f>
        <v>CH</v>
      </c>
      <c r="D475" s="12" t="s">
        <v>172</v>
      </c>
      <c r="E475" s="12"/>
      <c r="F475" s="12" t="s">
        <v>85</v>
      </c>
      <c r="G475" s="12" t="s">
        <v>86</v>
      </c>
      <c r="H475" s="12" t="str">
        <f>B453</f>
        <v>transport, Scooter, electric, &lt;4kW</v>
      </c>
    </row>
    <row r="476" spans="1:8" x14ac:dyDescent="0.3">
      <c r="A476" s="12" t="str">
        <f>B449&amp;", "&amp;B451</f>
        <v>Scooter, electric, &lt;4kW, 2050</v>
      </c>
      <c r="B476" s="12">
        <f>1/B457</f>
        <v>2.9940119760479042E-5</v>
      </c>
      <c r="C476" s="12" t="str">
        <f>B448</f>
        <v>CH</v>
      </c>
      <c r="D476" s="12" t="s">
        <v>77</v>
      </c>
      <c r="E476" s="12"/>
      <c r="F476" s="12" t="s">
        <v>91</v>
      </c>
      <c r="G476" s="12"/>
      <c r="H476" s="12" t="str">
        <f>RIGHT(H475,LEN(H475)-11)</f>
        <v>Scooter, electric, &lt;4kW</v>
      </c>
    </row>
    <row r="477" spans="1:8" x14ac:dyDescent="0.3">
      <c r="A477" s="12" t="str">
        <f>INDEX('ei names mapping'!$B$4:$R$33,MATCH(B449,'ei names mapping'!$A$4:$A$33,0),MATCH(G477,'ei names mapping'!$B$3:$R$3,0))</f>
        <v>road construction</v>
      </c>
      <c r="B477" s="16">
        <f>INDEX('vehicles specifications'!$B$3:$CK$86,MATCH(B452,'vehicles specifications'!$A$3:$A$86,0),MATCH(G477,'vehicles specifications'!$B$2:$CK$2,0))*INDEX('ei names mapping'!$B$137:$BK$220,MATCH(B452,'ei names mapping'!$A$137:$A$220,0),MATCH(G477,'ei names mapping'!$B$136:$BK$136,0))</f>
        <v>9.3486330000000002E-5</v>
      </c>
      <c r="C477" s="12" t="str">
        <f>INDEX('ei names mapping'!$B$38:$R$67,MATCH(B449,'ei names mapping'!$A$4:$A$33,0),MATCH(G477,'ei names mapping'!$B$3:$R$3,0))</f>
        <v>CH</v>
      </c>
      <c r="D477" s="12" t="str">
        <f>INDEX('ei names mapping'!$B$104:$BK$133,MATCH(B449,'ei names mapping'!$A$4:$A$33,0),MATCH(G477,'ei names mapping'!$B$3:$BK$3,0))</f>
        <v>meter-year</v>
      </c>
      <c r="E477" s="12"/>
      <c r="F477" s="12" t="s">
        <v>91</v>
      </c>
      <c r="G477" s="21" t="s">
        <v>108</v>
      </c>
      <c r="H477" s="12" t="str">
        <f>INDEX('ei names mapping'!$B$71:$BK$100,MATCH(B449,'ei names mapping'!$A$4:$A$33,0),MATCH(G477,'ei names mapping'!$B$3:$BK$3,0))</f>
        <v>road</v>
      </c>
    </row>
    <row r="478" spans="1:8" x14ac:dyDescent="0.3">
      <c r="A478" s="12" t="str">
        <f>INDEX('ei names mapping'!$B$4:$R$33,MATCH(B449,'ei names mapping'!$A$4:$A$33,0),MATCH(G478,'ei names mapping'!$B$3:$R$3,0))</f>
        <v>road maintenance</v>
      </c>
      <c r="B478" s="16">
        <f>INDEX('vehicles specifications'!$B$3:$CK$86,MATCH(B452,'vehicles specifications'!$A$3:$A$86,0),MATCH(G478,'vehicles specifications'!$B$2:$CK$2,0))*INDEX('ei names mapping'!$B$137:$BK$220,MATCH(B452,'ei names mapping'!$A$137:$A$220,0),MATCH(G478,'ei names mapping'!$B$136:$BK$136,0))</f>
        <v>1.2899999999999999E-3</v>
      </c>
      <c r="C478" s="12" t="str">
        <f>INDEX('ei names mapping'!$B$38:$R$67,MATCH(B449,'ei names mapping'!$A$4:$A$33,0),MATCH(G478,'ei names mapping'!$B$3:$R$3,0))</f>
        <v>CH</v>
      </c>
      <c r="D478" s="12" t="str">
        <f>INDEX('ei names mapping'!$B$104:$BK$133,MATCH(B449,'ei names mapping'!$A$4:$A$33,0),MATCH(G478,'ei names mapping'!$B$3:$BK$3,0))</f>
        <v>meter-year</v>
      </c>
      <c r="E478" s="12"/>
      <c r="F478" s="12" t="s">
        <v>91</v>
      </c>
      <c r="G478" s="21" t="s">
        <v>117</v>
      </c>
      <c r="H478" s="12" t="str">
        <f>INDEX('ei names mapping'!$B$71:$BK$100,MATCH(B449,'ei names mapping'!$A$4:$A$33,0),MATCH(G478,'ei names mapping'!$B$3:$BK$3,0))</f>
        <v>road maintenance</v>
      </c>
    </row>
    <row r="479" spans="1:8" x14ac:dyDescent="0.3">
      <c r="A479" s="12" t="s">
        <v>114</v>
      </c>
      <c r="B479" s="14">
        <f>INDEX('vehicles specifications'!$B$3:$CK$86,MATCH(B452,'vehicles specifications'!$A$3:$A$86,0),MATCH(G479,'vehicles specifications'!$B$2:$CK$2,0))*INDEX('ei names mapping'!$B$137:$BK$220,MATCH(B452,'ei names mapping'!$A$137:$A$220,0),MATCH(G479,'ei names mapping'!$B$136:$BK$136,0))</f>
        <v>4.0772143838600498E-2</v>
      </c>
      <c r="C479" s="12" t="str">
        <f>INDEX('ei names mapping'!$B$38:$R$67,MATCH($B$3,'ei names mapping'!$A$4:$A$33,0),MATCH(G479,'ei names mapping'!$B$3:$R$3,0))</f>
        <v>CH</v>
      </c>
      <c r="D479" s="12" t="str">
        <f>INDEX('ei names mapping'!$B$104:$R$133,MATCH($B$3,'ei names mapping'!$A$4:$A$33,0),MATCH(G479,'ei names mapping'!$B$3:$R$3,0))</f>
        <v>kilowatt hour</v>
      </c>
      <c r="E479" s="12"/>
      <c r="F479" s="12" t="s">
        <v>91</v>
      </c>
      <c r="G479" s="21" t="s">
        <v>28</v>
      </c>
      <c r="H479" s="12" t="s">
        <v>116</v>
      </c>
    </row>
    <row r="480" spans="1:8" x14ac:dyDescent="0.3">
      <c r="A480" s="12" t="str">
        <f>INDEX('ei names mapping'!$B$4:$R$33,MATCH(B449,'ei names mapping'!$A$4:$A$33,0),MATCH(G480,'ei names mapping'!$B$3:$R$3,0))</f>
        <v>market for maintenance, electric scooter, without battery</v>
      </c>
      <c r="B480" s="16">
        <f>INDEX('vehicles specifications'!$B$3:$CK$86,MATCH(B452,'vehicles specifications'!$A$3:$A$86,0),MATCH(G480,'vehicles specifications'!$B$2:$CK$2,0))*INDEX('ei names mapping'!$B$137:$BK$220,MATCH(B452,'ei names mapping'!$A$137:$A$220,0),MATCH(G480,'ei names mapping'!$B$136:$BK$136,0))</f>
        <v>2.9940119760479042E-5</v>
      </c>
      <c r="C480" s="12" t="str">
        <f>INDEX('ei names mapping'!$B$38:$BK$67,MATCH(B449,'ei names mapping'!$A$4:$A$33,0),MATCH(G480,'ei names mapping'!$B$3:$BK$3,0))</f>
        <v>GLO</v>
      </c>
      <c r="D480" s="12" t="str">
        <f>INDEX('ei names mapping'!$B$104:$BK$133,MATCH(B449,'ei names mapping'!$A$4:$A$33,0),MATCH(G480,'ei names mapping'!$B$3:$BK$3,0))</f>
        <v>unit</v>
      </c>
      <c r="F480" s="12" t="s">
        <v>91</v>
      </c>
      <c r="G480" s="12" t="s">
        <v>123</v>
      </c>
      <c r="H480" s="12" t="str">
        <f>INDEX('ei names mapping'!$B$71:$BK$100,MATCH(B449,'ei names mapping'!$A$4:$A$33,0),MATCH(G480,'ei names mapping'!$B$3:$BK$3,0))</f>
        <v>maintenance, electric scooter, without battery</v>
      </c>
    </row>
    <row r="481" spans="1:8" x14ac:dyDescent="0.3">
      <c r="A481" s="12" t="str">
        <f>INDEX('ei names mapping'!$B$4:$BK$33,MATCH(B449,'ei names mapping'!$A$4:$A$33,0),MATCH(G481,'ei names mapping'!$B$3:$BK$3,0))</f>
        <v>treatment of road wear emissions, passenger car</v>
      </c>
      <c r="B481" s="16">
        <f>INDEX('vehicles specifications'!$B$3:$CK$86,MATCH(B452,'vehicles specifications'!$A$3:$A$86,0),MATCH(G481,'vehicles specifications'!$B$2:$CK$2,0))*INDEX('ei names mapping'!$B$137:$BK$220,MATCH(B452,'ei names mapping'!$A$137:$A$220,0),MATCH(G481,'ei names mapping'!$B$136:$BK$136,0))</f>
        <v>-6.0000000000000002E-6</v>
      </c>
      <c r="C481" s="12" t="str">
        <f>INDEX('ei names mapping'!$B$38:$BK$67,MATCH(B449,'ei names mapping'!$A$4:$A$33,0),MATCH(G481,'ei names mapping'!$B$3:$BK$3,0))</f>
        <v>RER</v>
      </c>
      <c r="D481" s="12" t="str">
        <f>INDEX('ei names mapping'!$B$104:$BK$133,MATCH(B449,'ei names mapping'!$A$4:$A$33,0),MATCH(G481,'ei names mapping'!$B$3:$BK$3,0))</f>
        <v>kilogram</v>
      </c>
      <c r="E481" s="12"/>
      <c r="F481" s="12" t="s">
        <v>91</v>
      </c>
      <c r="G481" s="21" t="s">
        <v>29</v>
      </c>
      <c r="H481" s="12" t="str">
        <f>INDEX('ei names mapping'!$B$71:$BK$100,MATCH(B449,'ei names mapping'!$A$4:$A$33,0),MATCH(G481,'ei names mapping'!$B$3:$BK$3,0))</f>
        <v>road wear emissions, passenger car</v>
      </c>
    </row>
    <row r="482" spans="1:8" x14ac:dyDescent="0.3">
      <c r="A482" s="12" t="str">
        <f>INDEX('ei names mapping'!$B$4:$BK$33,MATCH(B449,'ei names mapping'!$A$4:$A$33,0),MATCH(G482,'ei names mapping'!$B$3:$BK$3,0))</f>
        <v>treatment of tyre wear emissions, passenger car</v>
      </c>
      <c r="B482" s="16">
        <f>INDEX('vehicles specifications'!$B$3:$CK$86,MATCH(B452,'vehicles specifications'!$A$3:$A$86,0),MATCH(G482,'vehicles specifications'!$B$2:$CK$2,0))*INDEX('ei names mapping'!$B$137:$BK$220,MATCH(B452,'ei names mapping'!$A$137:$A$220,0),MATCH(G482,'ei names mapping'!$B$136:$BK$136,0))</f>
        <v>-6.3939999999999993E-6</v>
      </c>
      <c r="C482" s="12" t="str">
        <f>INDEX('ei names mapping'!$B$38:$BK$67,MATCH(B449,'ei names mapping'!$A$4:$A$33,0),MATCH(G482,'ei names mapping'!$B$3:$BK$3,0))</f>
        <v>RER</v>
      </c>
      <c r="D482" s="12" t="str">
        <f>INDEX('ei names mapping'!$B$104:$BK$133,MATCH(B449,'ei names mapping'!$A$4:$A$33,0),MATCH(G482,'ei names mapping'!$B$3:$BK$3,0))</f>
        <v>kilogram</v>
      </c>
      <c r="E482" s="12"/>
      <c r="F482" s="12" t="s">
        <v>91</v>
      </c>
      <c r="G482" s="21" t="s">
        <v>30</v>
      </c>
      <c r="H482" s="12" t="str">
        <f>INDEX('ei names mapping'!$B$71:$BK$100,MATCH(B449,'ei names mapping'!$A$4:$A$33,0),MATCH(G482,'ei names mapping'!$B$3:$BK$3,0))</f>
        <v>tyre wear emissions, passenger car</v>
      </c>
    </row>
    <row r="483" spans="1:8" x14ac:dyDescent="0.3">
      <c r="A483" s="12" t="str">
        <f>INDEX('ei names mapping'!$B$4:$BK$33,MATCH(B449,'ei names mapping'!$A$4:$A$33,0),MATCH(G483,'ei names mapping'!$B$3:$BK$3,0))</f>
        <v>treatment of brake wear emissions, passenger car</v>
      </c>
      <c r="B483" s="16">
        <f>INDEX('vehicles specifications'!$B$3:$CK$86,MATCH(B452,'vehicles specifications'!$A$3:$A$86,0),MATCH(G483,'vehicles specifications'!$B$2:$CK$2,0))*INDEX('ei names mapping'!$B$137:$BK$220,MATCH(B452,'ei names mapping'!$A$137:$A$220,0),MATCH(G483,'ei names mapping'!$B$136:$BK$136,0))</f>
        <v>-3.0894999999999998E-6</v>
      </c>
      <c r="C483" s="12" t="str">
        <f>INDEX('ei names mapping'!$B$38:$BK$67,MATCH(B449,'ei names mapping'!$A$4:$A$33,0),MATCH(G483,'ei names mapping'!$B$3:$BK$3,0))</f>
        <v>RER</v>
      </c>
      <c r="D483" s="12" t="str">
        <f>INDEX('ei names mapping'!$B$104:$BK$133,MATCH(B449,'ei names mapping'!$A$4:$A$33,0),MATCH(G483,'ei names mapping'!$B$3:$BK$3,0))</f>
        <v>kilogram</v>
      </c>
      <c r="E483" s="12"/>
      <c r="F483" s="12" t="s">
        <v>91</v>
      </c>
      <c r="G483" s="21" t="s">
        <v>31</v>
      </c>
      <c r="H483" s="12" t="str">
        <f>INDEX('ei names mapping'!$B$71:$BK$100,MATCH(B449,'ei names mapping'!$A$4:$A$33,0),MATCH(G483,'ei names mapping'!$B$3:$BK$3,0))</f>
        <v>brake wear emissions, passenger car</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zoomScale="85" zoomScaleNormal="85" workbookViewId="0">
      <selection activeCell="E295" sqref="E295"/>
    </sheetView>
  </sheetViews>
  <sheetFormatPr defaultRowHeight="14.4" x14ac:dyDescent="0.3"/>
  <cols>
    <col min="1" max="1" width="48.21875" bestFit="1" customWidth="1"/>
    <col min="2" max="2" width="15.6640625" bestFit="1" customWidth="1"/>
    <col min="5" max="5" width="9.77734375" bestFit="1" customWidth="1"/>
    <col min="6" max="6" width="12.44140625" bestFit="1" customWidth="1"/>
    <col min="7" max="7" width="32" bestFit="1" customWidth="1"/>
  </cols>
  <sheetData>
    <row r="1" spans="1:2" ht="15.6" x14ac:dyDescent="0.3">
      <c r="A1" s="11" t="s">
        <v>72</v>
      </c>
      <c r="B1" s="9" t="str">
        <f>B3&amp;", "&amp;B5</f>
        <v>Scooter, electric, 4-11kW, 2020</v>
      </c>
    </row>
    <row r="2" spans="1:2" x14ac:dyDescent="0.3">
      <c r="A2" t="s">
        <v>73</v>
      </c>
      <c r="B2" t="s">
        <v>37</v>
      </c>
    </row>
    <row r="3" spans="1:2" x14ac:dyDescent="0.3">
      <c r="A3" t="s">
        <v>87</v>
      </c>
      <c r="B3" t="s">
        <v>631</v>
      </c>
    </row>
    <row r="4" spans="1:2" x14ac:dyDescent="0.3">
      <c r="A4" t="s">
        <v>88</v>
      </c>
      <c r="B4" s="12"/>
    </row>
    <row r="5" spans="1:2" x14ac:dyDescent="0.3">
      <c r="A5" t="s">
        <v>89</v>
      </c>
      <c r="B5" s="12">
        <v>2020</v>
      </c>
    </row>
    <row r="6" spans="1:2" x14ac:dyDescent="0.3">
      <c r="A6" t="s">
        <v>131</v>
      </c>
      <c r="B6" s="12" t="str">
        <f>B3&amp;" - "&amp;B5&amp;" - "&amp;B2</f>
        <v>Scooter, electric, 4-11kW - 2020 - CH</v>
      </c>
    </row>
    <row r="7" spans="1:2" x14ac:dyDescent="0.3">
      <c r="A7" t="s">
        <v>74</v>
      </c>
      <c r="B7" t="str">
        <f>B3</f>
        <v>Scooter, electric, 4-11kW</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39800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1</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2731</v>
      </c>
    </row>
    <row r="16" spans="1:2" x14ac:dyDescent="0.3">
      <c r="A16" t="s">
        <v>137</v>
      </c>
      <c r="B16" s="2">
        <f>INDEX('vehicles specifications'!$B$3:$CK$86,MATCH(B6,'vehicles specifications'!$A$3:$A$86,0),MATCH("Curb mass [kg]",'vehicles specifications'!$B$2:$CK$2,0))</f>
        <v>129.80000000000001</v>
      </c>
    </row>
    <row r="17" spans="1:8" x14ac:dyDescent="0.3">
      <c r="A17" t="s">
        <v>138</v>
      </c>
      <c r="B17">
        <f>INDEX('vehicles specifications'!$B$3:$CK$86,MATCH(B6,'vehicles specifications'!$A$3:$A$86,0),MATCH("Power [kW]",'vehicles specifications'!$B$2:$CK$2,0))</f>
        <v>6.1</v>
      </c>
    </row>
    <row r="18" spans="1:8" x14ac:dyDescent="0.3">
      <c r="A18" t="s">
        <v>139</v>
      </c>
      <c r="B18">
        <f>INDEX('vehicles specifications'!$B$3:$CK$86,MATCH(B6,'vehicles specifications'!$A$3:$A$86,0),MATCH("Energy battery mass [kg]",'vehicles specifications'!$B$2:$CK$2,0))</f>
        <v>19.799999999999997</v>
      </c>
    </row>
    <row r="19" spans="1:8" x14ac:dyDescent="0.3">
      <c r="A19" t="s">
        <v>140</v>
      </c>
      <c r="B19">
        <f>INDEX('vehicles specifications'!$B$3:$CK$86,MATCH(B6,'vehicles specifications'!$A$3:$A$86,0),MATCH("Electric energy stored [kWh]",'vehicles specifications'!$B$2:$CK$2,0))</f>
        <v>3.3</v>
      </c>
    </row>
    <row r="20" spans="1:8" s="21" customFormat="1" x14ac:dyDescent="0.3">
      <c r="A20" s="21" t="s">
        <v>654</v>
      </c>
      <c r="B20" s="21">
        <f>INDEX('vehicles specifications'!$B$3:$CK$86,MATCH(B6,'vehicles specifications'!$A$3:$A$86,0),MATCH("Electric energy available [kWh]",'vehicles specifications'!$B$2:$CK$2,0))</f>
        <v>2.64</v>
      </c>
    </row>
    <row r="21" spans="1:8" x14ac:dyDescent="0.3">
      <c r="A21" t="s">
        <v>143</v>
      </c>
      <c r="B21" s="2">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50.175550663414057</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6.1 kW. Lifetime: 39800 km. Annual kilometers: 2731 km. Number of passengers: 1. Curb mass: 129.8 kg. Lightweighting of glider: 0%. Emission standard: None. Service visits throughout lifetime: 1. Range: 50 km. Battery capacity: 3.3 kWh. Available battery capacity: 2.64 kWh. Battery mass: 19.8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Scooter, electric, 4-11kW, 2020</v>
      </c>
      <c r="B32" s="12">
        <v>1</v>
      </c>
      <c r="C32" s="12" t="str">
        <f>B2</f>
        <v>CH</v>
      </c>
      <c r="D32" s="12" t="str">
        <f>B9</f>
        <v>unit</v>
      </c>
      <c r="E32" s="12"/>
      <c r="F32" s="12" t="s">
        <v>85</v>
      </c>
      <c r="G32" s="12" t="s">
        <v>86</v>
      </c>
      <c r="H32" s="12" t="str">
        <f>B3</f>
        <v>Scooter, electric, 4-11kW</v>
      </c>
    </row>
    <row r="33" spans="1:8" x14ac:dyDescent="0.3">
      <c r="A33" s="12" t="str">
        <f>INDEX('ei names mapping'!$B$4:$R$33,MATCH(B3,'ei names mapping'!$A$4:$A$33,0),MATCH(G33,'ei names mapping'!$B$3:$R$3,0))</f>
        <v>market for glider, for electric scooter</v>
      </c>
      <c r="B33" s="16">
        <f>INDEX('vehicles specifications'!$B$3:$CK$86,MATCH(B6,'vehicles specifications'!$A$3:$A$86,0),MATCH(G33,'vehicles specifications'!$B$2:$CK$2,0))*INDEX('ei names mapping'!$B$137:$BK$220,MATCH(B6,'ei names mapping'!$A$137:$A$220,0),MATCH(G33,'ei names mapping'!$B$136:$BK$136,0))</f>
        <v>84</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s="21" customFormat="1" x14ac:dyDescent="0.3">
      <c r="A34" s="12" t="str">
        <f>INDEX('ei names mapping'!$B$4:$R$33,MATCH(B3,'ei names mapping'!$A$4:$A$33,0),MATCH(G34,'ei names mapping'!$B$3:$R$3,0))</f>
        <v>glider lightweighting</v>
      </c>
      <c r="B34" s="16">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16">
        <f>INDEX('vehicles specifications'!$B$3:$CK$86,MATCH(B6,'vehicles specifications'!$A$3:$A$86,0),MATCH(G35,'vehicles specifications'!$B$2:$CK$2,0))*INDEX('ei names mapping'!$B$137:$BK$220,MATCH(B6,'ei names mapping'!$A$137:$A$220,0),MATCH(G35,'ei names mapping'!$B$136:$BK$136,0))</f>
        <v>10</v>
      </c>
      <c r="C35" s="12" t="str">
        <f>INDEX('ei names mapping'!$B$38:$R$67,MATCH(B3,'ei names mapping'!$A$4:$A$33,0),MATCH(G35,'ei names mapping'!$B$3:$R$3,0))</f>
        <v>GLO</v>
      </c>
      <c r="D35" s="12" t="str">
        <f>INDEX('ei names mapping'!$B$104:$R$133,MATCH(B3,'ei names mapping'!$A$104:$A$133,0),MATCH(G35,'ei names mapping'!$B$3:$R$3,0))</f>
        <v>kilogram</v>
      </c>
      <c r="E35" s="12"/>
      <c r="F35" s="12" t="s">
        <v>91</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16">
        <f>INDEX('vehicles specifications'!$B$3:$CK$86,MATCH(B6,'vehicles specifications'!$A$3:$A$86,0),MATCH(G36,'vehicles specifications'!$B$2:$CK$2,0))*INDEX('ei names mapping'!$B$137:$BK$220,MATCH(B6,'ei names mapping'!$A$137:$A$220,0),MATCH(G36,'ei names mapping'!$B$136:$BK$136,0))</f>
        <v>16</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16">
        <f>INDEX('vehicles specifications'!$B$3:$CK$86,MATCH(B6,'vehicles specifications'!$A$3:$A$86,0),MATCH(G37,'vehicles specifications'!$B$2:$CK$2,0))*INDEX('ei names mapping'!$B$137:$BK$220,MATCH(B6,'ei names mapping'!$A$137:$A$220,0),MATCH(G37,'ei names mapping'!$B$136:$BK$136,0))</f>
        <v>32.999999999999993</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6">
        <f>INDEX('vehicles specifications'!$B$3:$CK$86,MATCH(B6,'vehicles specifications'!$A$3:$A$86,0),MATCH(G38,'vehicles specifications'!$B$2:$CK$2,0))*INDEX('ei names mapping'!$B$137:$BK$220,MATCH(B6,'ei names mapping'!$A$137:$A$220,0),MATCH(G38,'ei names mapping'!$B$136:$BK$136,0))</f>
        <v>6.5999999999999988</v>
      </c>
      <c r="C38" s="12" t="str">
        <f>INDEX('ei names mapping'!$B$38:$R$67,MATCH(B3,'ei names mapping'!$A$4:$A$33,0),MATCH(G38,'ei names mapping'!$B$3:$R$3,0))</f>
        <v>GLO</v>
      </c>
      <c r="D38" s="12" t="str">
        <f>INDEX('ei names mapping'!$B$104:$R$133,MATCH(B3,'ei names mapping'!$A$104:$A$133,0),MATCH(G38,'ei names mapping'!$B$3:$R$3,0))</f>
        <v>kilogram</v>
      </c>
      <c r="E38" s="12"/>
      <c r="F38" s="12" t="s">
        <v>91</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16">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market for manual dismantling of electric scooter</v>
      </c>
      <c r="B40" s="16">
        <f>INDEX('vehicles specifications'!$B$3:$CK$86,MATCH(B6,'vehicles specifications'!$A$3:$A$86,0),MATCH(G40,'vehicles specifications'!$B$2:$CK$2,0))*INDEX('ei names mapping'!$B$137:$BK$220,MATCH(B6,'ei names mapping'!$A$137:$A$220,0),MATCH(G40,'ei names mapping'!$B$136:$BK$136,0))</f>
        <v>84</v>
      </c>
      <c r="C40" s="12" t="str">
        <f>INDEX('ei names mapping'!$B$38:$R$67,MATCH(B3,'ei names mapping'!$A$4:$A$33,0),MATCH(G40,'ei names mapping'!$B$3:$R$3,0))</f>
        <v>GLO</v>
      </c>
      <c r="D40" s="12" t="str">
        <f>INDEX('ei names mapping'!$B$104:$R$133,MATCH(B3,'ei names mapping'!$A$104:$A$133,0),MATCH(G40,'ei names mapping'!$B$3:$R$3,0))</f>
        <v>unit</v>
      </c>
      <c r="E40" s="12"/>
      <c r="F40" s="12" t="s">
        <v>91</v>
      </c>
      <c r="G40"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market for manual dismantling of electric scooter</v>
      </c>
      <c r="B41" s="16">
        <f>INDEX('vehicles specifications'!$B$3:$CK$86,MATCH(B6,'vehicles specifications'!$A$3:$A$86,0),MATCH(G41,'vehicles specifications'!$B$2:$CK$2,0))*INDEX('ei names mapping'!$B$137:$BK$220,MATCH(B6,'ei names mapping'!$A$137:$A$220,0),MATCH(G41,'ei names mapping'!$B$136:$BK$136,0))</f>
        <v>26</v>
      </c>
      <c r="C41" s="12" t="str">
        <f>INDEX('ei names mapping'!$B$38:$R$67,MATCH(B3,'ei names mapping'!$A$4:$A$33,0),MATCH(G41,'ei names mapping'!$B$3:$R$3,0))</f>
        <v>GLO</v>
      </c>
      <c r="D41" s="12" t="str">
        <f>INDEX('ei names mapping'!$B$104:$R$133,MATCH(B3,'ei names mapping'!$A$104:$A$133,0),MATCH(G41,'ei names mapping'!$B$3:$R$3,0))</f>
        <v>unit</v>
      </c>
      <c r="E41" s="12"/>
      <c r="F41" s="12" t="s">
        <v>91</v>
      </c>
      <c r="G4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specifications'!$B$3:$CK$86,MATCH(B6,'vehicles specifications'!$A$3:$A$86,0),MATCH(G42,'vehicles specifications'!$B$2:$CK$2,0))*INDEX('ei names mapping'!$B$137:$BK$220,MATCH(B6,'ei names mapping'!$A$137:$A$220,0),MATCH(G42,'ei names mapping'!$B$136:$BK$136,0))</f>
        <v>-39.599999999999994</v>
      </c>
      <c r="C42" s="12" t="str">
        <f>INDEX('ei names mapping'!$B$38:$R$67,MATCH(B3,'ei names mapping'!$A$4:$A$33,0),MATCH(G42,'ei names mapping'!$B$3:$R$3,0))</f>
        <v>GLO</v>
      </c>
      <c r="D42" s="12" t="str">
        <f>INDEX('ei names mapping'!$B$104:$R$133,MATCH(B3,'ei names mapping'!$A$104:$A$133,0),MATCH(G42,'ei names mapping'!$B$3:$R$3,0))</f>
        <v>kilogram</v>
      </c>
      <c r="E42" s="12"/>
      <c r="F42" s="12" t="s">
        <v>91</v>
      </c>
      <c r="G42" t="s">
        <v>152</v>
      </c>
      <c r="H42" s="12" t="str">
        <f>INDEX('ei names mapping'!$B$71:$R$100,MATCH(B3,'ei names mapping'!$A$4:$A$33,0),MATCH(G42,'ei names mapping'!$B$3:$R$3,0))</f>
        <v>used Li-ion battery</v>
      </c>
    </row>
    <row r="43" spans="1:8" s="21" customFormat="1" x14ac:dyDescent="0.3">
      <c r="A43" s="22" t="s">
        <v>468</v>
      </c>
      <c r="B43" s="21">
        <f>(B16/1000)*B28</f>
        <v>129.80000000000001</v>
      </c>
      <c r="C43" s="21" t="s">
        <v>94</v>
      </c>
      <c r="D43" s="21" t="s">
        <v>243</v>
      </c>
      <c r="F43" s="21" t="s">
        <v>91</v>
      </c>
      <c r="H43" s="22" t="s">
        <v>469</v>
      </c>
    </row>
    <row r="44" spans="1:8" s="21" customFormat="1" x14ac:dyDescent="0.3">
      <c r="A44" s="22" t="s">
        <v>467</v>
      </c>
      <c r="B44" s="2">
        <f>(B16/1000)*B27</f>
        <v>2063.8200000000002</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Scooter, electric, 4-11kW, 2030</v>
      </c>
    </row>
    <row r="47" spans="1:8" x14ac:dyDescent="0.3">
      <c r="A47" t="s">
        <v>73</v>
      </c>
      <c r="B47" t="s">
        <v>37</v>
      </c>
    </row>
    <row r="48" spans="1:8" x14ac:dyDescent="0.3">
      <c r="A48" t="s">
        <v>87</v>
      </c>
      <c r="B48" s="21" t="s">
        <v>631</v>
      </c>
    </row>
    <row r="49" spans="1:2" x14ac:dyDescent="0.3">
      <c r="A49" t="s">
        <v>88</v>
      </c>
      <c r="B49" s="12"/>
    </row>
    <row r="50" spans="1:2" x14ac:dyDescent="0.3">
      <c r="A50" t="s">
        <v>89</v>
      </c>
      <c r="B50" s="12">
        <v>2030</v>
      </c>
    </row>
    <row r="51" spans="1:2" x14ac:dyDescent="0.3">
      <c r="A51" t="s">
        <v>131</v>
      </c>
      <c r="B51" s="12" t="str">
        <f>B48&amp;" - "&amp;B50&amp;" - "&amp;B47</f>
        <v>Scooter, electric, 4-11kW - 2030 - CH</v>
      </c>
    </row>
    <row r="52" spans="1:2" x14ac:dyDescent="0.3">
      <c r="A52" t="s">
        <v>74</v>
      </c>
      <c r="B52" t="str">
        <f>B48</f>
        <v>Scooter, electric, 4-11kW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specifications'!$B$3:$CK$86,MATCH(B51,'vehicles specifications'!$A$3:$A$86,0),MATCH("Lifetime [km]",'vehicles specifications'!$B$2:$CK$2,0))</f>
        <v>39800</v>
      </c>
    </row>
    <row r="57" spans="1:2" x14ac:dyDescent="0.3">
      <c r="A57" t="s">
        <v>133</v>
      </c>
      <c r="B57">
        <f>INDEX('vehicles specifications'!$B$3:$CK$86,MATCH(B51,'vehicles specifications'!$A$3:$A$86,0),MATCH("Passengers [unit]",'vehicles specifications'!$B$2:$CK$2,0))</f>
        <v>1</v>
      </c>
    </row>
    <row r="58" spans="1:2" x14ac:dyDescent="0.3">
      <c r="A58" t="s">
        <v>134</v>
      </c>
      <c r="B58">
        <f>INDEX('vehicles specifications'!$B$3:$CK$86,MATCH(B51,'vehicles specifications'!$A$3:$A$86,0),MATCH("Servicing [unit]",'vehicles specifications'!$B$2:$CK$2,0))</f>
        <v>1</v>
      </c>
    </row>
    <row r="59" spans="1:2" x14ac:dyDescent="0.3">
      <c r="A59" t="s">
        <v>135</v>
      </c>
      <c r="B59">
        <f>INDEX('vehicles specifications'!$B$3:$CK$86,MATCH(B51,'vehicles specifications'!$A$3:$A$86,0),MATCH("Energy battery replacement [unit]",'vehicles specifications'!$B$2:$CK$2,0))</f>
        <v>0.5</v>
      </c>
    </row>
    <row r="60" spans="1:2" x14ac:dyDescent="0.3">
      <c r="A60" t="s">
        <v>136</v>
      </c>
      <c r="B60">
        <f>INDEX('vehicles specifications'!$B$3:$CK$86,MATCH(B51,'vehicles specifications'!$A$3:$A$86,0),MATCH("Annual kilometers [km]",'vehicles specifications'!$B$2:$CK$2,0))</f>
        <v>2731</v>
      </c>
    </row>
    <row r="61" spans="1:2" x14ac:dyDescent="0.3">
      <c r="A61" t="s">
        <v>137</v>
      </c>
      <c r="B61" s="2">
        <f>INDEX('vehicles specifications'!$B$3:$CK$86,MATCH(B51,'vehicles specifications'!$A$3:$A$86,0),MATCH("Curb mass [kg]",'vehicles specifications'!$B$2:$CK$2,0))</f>
        <v>130.28</v>
      </c>
    </row>
    <row r="62" spans="1:2" x14ac:dyDescent="0.3">
      <c r="A62" t="s">
        <v>138</v>
      </c>
      <c r="B62">
        <f>INDEX('vehicles specifications'!$B$3:$CK$86,MATCH(B51,'vehicles specifications'!$A$3:$A$86,0),MATCH("Power [kW]",'vehicles specifications'!$B$2:$CK$2,0))</f>
        <v>6.1</v>
      </c>
    </row>
    <row r="63" spans="1:2" x14ac:dyDescent="0.3">
      <c r="A63" t="s">
        <v>139</v>
      </c>
      <c r="B63">
        <f>INDEX('vehicles specifications'!$B$3:$CK$86,MATCH(B51,'vehicles specifications'!$A$3:$A$86,0),MATCH("Energy battery mass [kg]",'vehicles specifications'!$B$2:$CK$2,0))</f>
        <v>22.8</v>
      </c>
    </row>
    <row r="64" spans="1:2" x14ac:dyDescent="0.3">
      <c r="A64" t="s">
        <v>140</v>
      </c>
      <c r="B64">
        <f>INDEX('vehicles specifications'!$B$3:$CK$86,MATCH(B51,'vehicles specifications'!$A$3:$A$86,0),MATCH("Electric energy stored [kWh]",'vehicles specifications'!$B$2:$CK$2,0))</f>
        <v>5.7</v>
      </c>
    </row>
    <row r="65" spans="1:8" s="21" customFormat="1" x14ac:dyDescent="0.3">
      <c r="A65" s="21" t="s">
        <v>654</v>
      </c>
      <c r="B65" s="21">
        <f>INDEX('vehicles specifications'!$B$3:$CK$86,MATCH(B51,'vehicles specifications'!$A$3:$A$86,0),MATCH("Electric energy available [kWh]",'vehicles specifications'!$B$2:$CK$2,0))</f>
        <v>4.5600000000000005</v>
      </c>
    </row>
    <row r="66" spans="1:8" x14ac:dyDescent="0.3">
      <c r="A66" t="s">
        <v>143</v>
      </c>
      <c r="B66" s="2">
        <f>INDEX('vehicles specifications'!$B$3:$CK$86,MATCH(B51,'vehicles specifications'!$A$3:$A$86,0),MATCH("Oxydation energy stored [kWh]",'vehicles specifications'!$B$2:$CK$2,0))</f>
        <v>0</v>
      </c>
    </row>
    <row r="67" spans="1:8" x14ac:dyDescent="0.3">
      <c r="A67" t="s">
        <v>145</v>
      </c>
      <c r="B67">
        <f>INDEX('vehicles specifications'!$B$3:$CK$86,MATCH(B51,'vehicles specifications'!$A$3:$A$86,0),MATCH("Fuel mass [kg]",'vehicles specifications'!$B$2:$CK$2,0))</f>
        <v>0</v>
      </c>
    </row>
    <row r="68" spans="1:8" x14ac:dyDescent="0.3">
      <c r="A68" t="s">
        <v>141</v>
      </c>
      <c r="B68" s="2">
        <f>INDEX('vehicles specifications'!$B$3:$CK$86,MATCH(B51,'vehicles specifications'!$A$3:$A$86,0),MATCH("Range [km]",'vehicles specifications'!$B$2:$CK$2,0))</f>
        <v>86.666860236806102</v>
      </c>
    </row>
    <row r="69" spans="1:8" x14ac:dyDescent="0.3">
      <c r="A69" t="s">
        <v>142</v>
      </c>
      <c r="B69" t="str">
        <f>INDEX('vehicles specifications'!$B$3:$CK$86,MATCH(B51,'vehicles specifications'!$A$3:$A$86,0),MATCH("Emission standard",'vehicles specifications'!$B$2:$CK$2,0))</f>
        <v>None</v>
      </c>
    </row>
    <row r="70" spans="1:8" x14ac:dyDescent="0.3">
      <c r="A70" t="s">
        <v>144</v>
      </c>
      <c r="B70" s="6">
        <f>INDEX('vehicles specifications'!$B$3:$CK$86,MATCH(B51,'vehicles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6.1 kW. Lifetime: 39800 km. Annual kilometers: 2731 km. Number of passengers: 1. Curb mass: 130.3 kg. Lightweighting of glider: 3%. Emission standard: None. Service visits throughout lifetime: 1. Range: 87 km. Battery capacity: 5.7 kWh. Available battery capacity: 4.56 kWh. Battery mass: 22.8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Scooter, electric, 4-11kW, 2030</v>
      </c>
      <c r="B77" s="12">
        <v>1</v>
      </c>
      <c r="C77" s="12" t="str">
        <f>B47</f>
        <v>CH</v>
      </c>
      <c r="D77" s="12" t="str">
        <f>B54</f>
        <v>unit</v>
      </c>
      <c r="E77" s="12"/>
      <c r="F77" s="12" t="s">
        <v>85</v>
      </c>
      <c r="G77" s="12" t="s">
        <v>86</v>
      </c>
      <c r="H77" s="12" t="str">
        <f>B48</f>
        <v>Scooter, electric, 4-11kW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84</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s="21" customFormat="1"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2.52</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10</v>
      </c>
      <c r="C80" s="12" t="str">
        <f>INDEX('ei names mapping'!$B$38:$R$67,MATCH(B48,'ei names mapping'!$A$4:$A$33,0),MATCH(G80,'ei names mapping'!$B$3:$R$3,0))</f>
        <v>GLO</v>
      </c>
      <c r="D80" s="12" t="str">
        <f>INDEX('ei names mapping'!$B$104:$R$133,MATCH(B48,'ei names mapping'!$A$104:$A$133,0),MATCH(G80,'ei names mapping'!$B$3:$R$3,0))</f>
        <v>kilogram</v>
      </c>
      <c r="E80" s="12"/>
      <c r="F80" s="12" t="s">
        <v>91</v>
      </c>
      <c r="G80"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16</v>
      </c>
      <c r="C81" s="12" t="str">
        <f>INDEX('ei names mapping'!$B$38:$R$67,MATCH(B48,'ei names mapping'!$A$4:$A$33,0),MATCH(G81,'ei names mapping'!$B$3:$R$3,0))</f>
        <v>GLO</v>
      </c>
      <c r="D81" s="12" t="str">
        <f>INDEX('ei names mapping'!$B$104:$R$133,MATCH(B48,'ei names mapping'!$A$104:$A$133,0),MATCH(G81,'ei names mapping'!$B$3:$R$3,0))</f>
        <v>kilogram</v>
      </c>
      <c r="E81" s="12"/>
      <c r="F81" s="12" t="s">
        <v>91</v>
      </c>
      <c r="G8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28.5</v>
      </c>
      <c r="C82" s="12" t="str">
        <f>INDEX('ei names mapping'!$B$38:$R$67,MATCH(B48,'ei names mapping'!$A$4:$A$33,0),MATCH(G82,'ei names mapping'!$B$3:$R$3,0))</f>
        <v>GLO</v>
      </c>
      <c r="D82" s="12" t="str">
        <f>INDEX('ei names mapping'!$B$104:$R$133,MATCH(B48,'ei names mapping'!$A$104:$A$133,0),MATCH(G82,'ei names mapping'!$B$3:$R$3,0))</f>
        <v>kilogram</v>
      </c>
      <c r="E82" s="12"/>
      <c r="F82" s="12" t="s">
        <v>91</v>
      </c>
      <c r="G82"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5.7</v>
      </c>
      <c r="C83" s="12" t="str">
        <f>INDEX('ei names mapping'!$B$38:$R$67,MATCH(B48,'ei names mapping'!$A$4:$A$33,0),MATCH(G83,'ei names mapping'!$B$3:$R$3,0))</f>
        <v>GLO</v>
      </c>
      <c r="D83" s="12" t="str">
        <f>INDEX('ei names mapping'!$B$104:$R$133,MATCH(B48,'ei names mapping'!$A$104:$A$133,0),MATCH(G83,'ei names mapping'!$B$3:$R$3,0))</f>
        <v>kilogram</v>
      </c>
      <c r="E83" s="12"/>
      <c r="F83" s="12" t="s">
        <v>91</v>
      </c>
      <c r="G83"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market for manual dismantling of electric scooter</v>
      </c>
      <c r="B85" s="16">
        <f>INDEX('vehicles specifications'!$B$3:$CK$86,MATCH(B51,'vehicles specifications'!$A$3:$A$86,0),MATCH(G85,'vehicles specifications'!$B$2:$CK$2,0))*INDEX('ei names mapping'!$B$137:$BK$220,MATCH(B51,'ei names mapping'!$A$137:$A$220,0),MATCH(G85,'ei names mapping'!$B$136:$BK$136,0))</f>
        <v>81.48</v>
      </c>
      <c r="C85" s="12" t="str">
        <f>INDEX('ei names mapping'!$B$38:$R$67,MATCH(B48,'ei names mapping'!$A$4:$A$33,0),MATCH(G85,'ei names mapping'!$B$3:$R$3,0))</f>
        <v>GLO</v>
      </c>
      <c r="D85" s="12" t="str">
        <f>INDEX('ei names mapping'!$B$104:$R$133,MATCH(B48,'ei names mapping'!$A$104:$A$133,0),MATCH(G85,'ei names mapping'!$B$3:$R$3,0))</f>
        <v>unit</v>
      </c>
      <c r="E85" s="12"/>
      <c r="F85" s="12" t="s">
        <v>91</v>
      </c>
      <c r="G85"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market for manual dismantling of electric scooter</v>
      </c>
      <c r="B86" s="16">
        <f>INDEX('vehicles specifications'!$B$3:$CK$86,MATCH(B51,'vehicles specifications'!$A$3:$A$86,0),MATCH(G86,'vehicles specifications'!$B$2:$CK$2,0))*INDEX('ei names mapping'!$B$137:$BK$220,MATCH(B51,'ei names mapping'!$A$137:$A$220,0),MATCH(G86,'ei names mapping'!$B$136:$BK$136,0))</f>
        <v>26</v>
      </c>
      <c r="C86" s="12" t="str">
        <f>INDEX('ei names mapping'!$B$38:$R$67,MATCH(B48,'ei names mapping'!$A$4:$A$33,0),MATCH(G86,'ei names mapping'!$B$3:$R$3,0))</f>
        <v>GLO</v>
      </c>
      <c r="D86" s="12" t="str">
        <f>INDEX('ei names mapping'!$B$104:$R$133,MATCH(B48,'ei names mapping'!$A$104:$A$133,0),MATCH(G86,'ei names mapping'!$B$3:$R$3,0))</f>
        <v>unit</v>
      </c>
      <c r="E86" s="12"/>
      <c r="F86" s="12" t="s">
        <v>91</v>
      </c>
      <c r="G86"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-34.200000000000003</v>
      </c>
      <c r="C87" s="12" t="str">
        <f>INDEX('ei names mapping'!$B$38:$R$67,MATCH(B48,'ei names mapping'!$A$4:$A$33,0),MATCH(G87,'ei names mapping'!$B$3:$R$3,0))</f>
        <v>GLO</v>
      </c>
      <c r="D87" s="12" t="str">
        <f>INDEX('ei names mapping'!$B$104:$R$133,MATCH(B48,'ei names mapping'!$A$104:$A$133,0),MATCH(G87,'ei names mapping'!$B$3:$R$3,0))</f>
        <v>kilogram</v>
      </c>
      <c r="E87" s="12"/>
      <c r="F87" s="12" t="s">
        <v>91</v>
      </c>
      <c r="G87" t="s">
        <v>152</v>
      </c>
      <c r="H87" s="12" t="str">
        <f>INDEX('ei names mapping'!$B$71:$R$100,MATCH(B48,'ei names mapping'!$A$4:$A$33,0),MATCH(G87,'ei names mapping'!$B$3:$R$3,0))</f>
        <v>used Li-ion battery</v>
      </c>
    </row>
    <row r="88" spans="1:8" s="21" customFormat="1" x14ac:dyDescent="0.3">
      <c r="A88" s="22" t="s">
        <v>468</v>
      </c>
      <c r="B88" s="21">
        <f>(B61/1000)*B73</f>
        <v>130.28</v>
      </c>
      <c r="C88" s="21" t="s">
        <v>94</v>
      </c>
      <c r="D88" s="21" t="s">
        <v>243</v>
      </c>
      <c r="F88" s="21" t="s">
        <v>91</v>
      </c>
      <c r="H88" s="22" t="s">
        <v>469</v>
      </c>
    </row>
    <row r="89" spans="1:8" s="21" customFormat="1" x14ac:dyDescent="0.3">
      <c r="A89" s="22" t="s">
        <v>467</v>
      </c>
      <c r="B89" s="2">
        <f>(B61/1000)*B72</f>
        <v>2071.4520000000002</v>
      </c>
      <c r="C89" s="21" t="s">
        <v>98</v>
      </c>
      <c r="D89" s="21" t="s">
        <v>243</v>
      </c>
      <c r="F89" s="21" t="s">
        <v>91</v>
      </c>
      <c r="H89" s="22" t="s">
        <v>467</v>
      </c>
    </row>
    <row r="90" spans="1:8" x14ac:dyDescent="0.3">
      <c r="B90" s="12"/>
    </row>
    <row r="91" spans="1:8" ht="15.6" x14ac:dyDescent="0.3">
      <c r="A91" s="11" t="s">
        <v>72</v>
      </c>
      <c r="B91" s="9" t="str">
        <f>B93&amp;", "&amp;B95</f>
        <v>Scooter, electric, 4-11kW, 2040</v>
      </c>
    </row>
    <row r="92" spans="1:8" x14ac:dyDescent="0.3">
      <c r="A92" t="s">
        <v>73</v>
      </c>
      <c r="B92" t="s">
        <v>37</v>
      </c>
    </row>
    <row r="93" spans="1:8" x14ac:dyDescent="0.3">
      <c r="A93" t="s">
        <v>87</v>
      </c>
      <c r="B93" s="21" t="s">
        <v>631</v>
      </c>
    </row>
    <row r="94" spans="1:8" x14ac:dyDescent="0.3">
      <c r="A94" t="s">
        <v>88</v>
      </c>
      <c r="B94" s="12"/>
    </row>
    <row r="95" spans="1:8" x14ac:dyDescent="0.3">
      <c r="A95" t="s">
        <v>89</v>
      </c>
      <c r="B95" s="12">
        <v>2040</v>
      </c>
    </row>
    <row r="96" spans="1:8" x14ac:dyDescent="0.3">
      <c r="A96" t="s">
        <v>131</v>
      </c>
      <c r="B96" s="12" t="str">
        <f>B93&amp;" - "&amp;B95&amp;" - "&amp;B92</f>
        <v>Scooter, electric, 4-11kW - 2040 - CH</v>
      </c>
    </row>
    <row r="97" spans="1:2" x14ac:dyDescent="0.3">
      <c r="A97" t="s">
        <v>74</v>
      </c>
      <c r="B97" t="str">
        <f>B93</f>
        <v>Scooter, electric, 4-11kW</v>
      </c>
    </row>
    <row r="98" spans="1:2" x14ac:dyDescent="0.3">
      <c r="A98" t="s">
        <v>75</v>
      </c>
      <c r="B98" t="s">
        <v>76</v>
      </c>
    </row>
    <row r="99" spans="1:2" x14ac:dyDescent="0.3">
      <c r="A99" t="s">
        <v>77</v>
      </c>
      <c r="B99" t="s">
        <v>77</v>
      </c>
    </row>
    <row r="100" spans="1:2" x14ac:dyDescent="0.3">
      <c r="A100" t="s">
        <v>79</v>
      </c>
      <c r="B100" t="s">
        <v>90</v>
      </c>
    </row>
    <row r="101" spans="1:2" x14ac:dyDescent="0.3">
      <c r="A101" t="s">
        <v>132</v>
      </c>
      <c r="B101">
        <f>INDEX('vehicles specifications'!$B$3:$CK$86,MATCH(B96,'vehicles specifications'!$A$3:$A$86,0),MATCH("Lifetime [km]",'vehicles specifications'!$B$2:$CK$2,0))</f>
        <v>39800</v>
      </c>
    </row>
    <row r="102" spans="1:2" x14ac:dyDescent="0.3">
      <c r="A102" t="s">
        <v>133</v>
      </c>
      <c r="B102">
        <f>INDEX('vehicles specifications'!$B$3:$CK$86,MATCH(B96,'vehicles specifications'!$A$3:$A$86,0),MATCH("Passengers [unit]",'vehicles specifications'!$B$2:$CK$2,0))</f>
        <v>1</v>
      </c>
    </row>
    <row r="103" spans="1:2" x14ac:dyDescent="0.3">
      <c r="A103" t="s">
        <v>134</v>
      </c>
      <c r="B103">
        <f>INDEX('vehicles specifications'!$B$3:$CK$86,MATCH(B96,'vehicles specifications'!$A$3:$A$86,0),MATCH("Servicing [unit]",'vehicles specifications'!$B$2:$CK$2,0))</f>
        <v>1</v>
      </c>
    </row>
    <row r="104" spans="1:2" x14ac:dyDescent="0.3">
      <c r="A104" t="s">
        <v>135</v>
      </c>
      <c r="B104">
        <f>INDEX('vehicles specifications'!$B$3:$CK$86,MATCH(B96,'vehicles specifications'!$A$3:$A$86,0),MATCH("Energy battery replacement [unit]",'vehicles specifications'!$B$2:$CK$2,0))</f>
        <v>0.25</v>
      </c>
    </row>
    <row r="105" spans="1:2" x14ac:dyDescent="0.3">
      <c r="A105" t="s">
        <v>136</v>
      </c>
      <c r="B105">
        <f>INDEX('vehicles specifications'!$B$3:$CK$86,MATCH(B96,'vehicles specifications'!$A$3:$A$86,0),MATCH("Annual kilometers [km]",'vehicles specifications'!$B$2:$CK$2,0))</f>
        <v>2731</v>
      </c>
    </row>
    <row r="106" spans="1:2" x14ac:dyDescent="0.3">
      <c r="A106" t="s">
        <v>137</v>
      </c>
      <c r="B106" s="2">
        <f>INDEX('vehicles specifications'!$B$3:$CK$86,MATCH(B96,'vehicles specifications'!$A$3:$A$86,0),MATCH("Curb mass [kg]",'vehicles specifications'!$B$2:$CK$2,0))</f>
        <v>130.39999999999998</v>
      </c>
    </row>
    <row r="107" spans="1:2" x14ac:dyDescent="0.3">
      <c r="A107" t="s">
        <v>138</v>
      </c>
      <c r="B107">
        <f>INDEX('vehicles specifications'!$B$3:$CK$86,MATCH(B96,'vehicles specifications'!$A$3:$A$86,0),MATCH("Power [kW]",'vehicles specifications'!$B$2:$CK$2,0))</f>
        <v>6.1</v>
      </c>
    </row>
    <row r="108" spans="1:2" x14ac:dyDescent="0.3">
      <c r="A108" t="s">
        <v>139</v>
      </c>
      <c r="B108">
        <f>INDEX('vehicles specifications'!$B$3:$CK$86,MATCH(B96,'vehicles specifications'!$A$3:$A$86,0),MATCH("Energy battery mass [kg]",'vehicles specifications'!$B$2:$CK$2,0))</f>
        <v>24.599999999999994</v>
      </c>
    </row>
    <row r="109" spans="1:2" x14ac:dyDescent="0.3">
      <c r="A109" t="s">
        <v>140</v>
      </c>
      <c r="B109">
        <f>INDEX('vehicles specifications'!$B$3:$CK$86,MATCH(B96,'vehicles specifications'!$A$3:$A$86,0),MATCH("Electric energy stored [kWh]",'vehicles specifications'!$B$2:$CK$2,0))</f>
        <v>8.1999999999999993</v>
      </c>
    </row>
    <row r="110" spans="1:2" s="21" customFormat="1" x14ac:dyDescent="0.3">
      <c r="A110" s="21" t="s">
        <v>654</v>
      </c>
      <c r="B110" s="21">
        <f>INDEX('vehicles specifications'!$B$3:$CK$86,MATCH(B96,'vehicles specifications'!$A$3:$A$86,0),MATCH("Electric energy available [kWh]",'vehicles specifications'!$B$2:$CK$2,0))</f>
        <v>6.56</v>
      </c>
    </row>
    <row r="111" spans="1:2" x14ac:dyDescent="0.3">
      <c r="A111" t="s">
        <v>143</v>
      </c>
      <c r="B111" s="2">
        <f>INDEX('vehicles specifications'!$B$3:$CK$86,MATCH(B96,'vehicles specifications'!$A$3:$A$86,0),MATCH("Oxydation energy stored [kWh]",'vehicles specifications'!$B$2:$CK$2,0))</f>
        <v>0</v>
      </c>
    </row>
    <row r="112" spans="1:2" x14ac:dyDescent="0.3">
      <c r="A112" t="s">
        <v>145</v>
      </c>
      <c r="B112">
        <f>INDEX('vehicles specifications'!$B$3:$CK$86,MATCH(B96,'vehicles specifications'!$A$3:$A$86,0),MATCH("Fuel mass [kg]",'vehicles specifications'!$B$2:$CK$2,0))</f>
        <v>0</v>
      </c>
    </row>
    <row r="113" spans="1:8" x14ac:dyDescent="0.3">
      <c r="A113" t="s">
        <v>141</v>
      </c>
      <c r="B113" s="2">
        <f>INDEX('vehicles specifications'!$B$3:$CK$86,MATCH(B96,'vehicles specifications'!$A$3:$A$86,0),MATCH("Range [km]",'vehicles specifications'!$B$2:$CK$2,0))</f>
        <v>124.6786410424228</v>
      </c>
    </row>
    <row r="114" spans="1:8" x14ac:dyDescent="0.3">
      <c r="A114" t="s">
        <v>142</v>
      </c>
      <c r="B114" t="str">
        <f>INDEX('vehicles specifications'!$B$3:$CK$86,MATCH(B96,'vehicles specifications'!$A$3:$A$86,0),MATCH("Emission standard",'vehicles specifications'!$B$2:$CK$2,0))</f>
        <v>None</v>
      </c>
    </row>
    <row r="115" spans="1:8" x14ac:dyDescent="0.3">
      <c r="A115" t="s">
        <v>144</v>
      </c>
      <c r="B115" s="6">
        <f>INDEX('vehicles specifications'!$B$3:$CK$86,MATCH(B96,'vehicles specifications'!$A$3:$A$86,0),MATCH("Lightweighting rate [%]",'vehicles specifications'!$B$2:$CK$2,0))</f>
        <v>0.05</v>
      </c>
    </row>
    <row r="116" spans="1:8" s="21" customFormat="1" x14ac:dyDescent="0.3">
      <c r="A116" s="21" t="s">
        <v>513</v>
      </c>
      <c r="B116" s="6" t="s">
        <v>514</v>
      </c>
    </row>
    <row r="117" spans="1:8" s="21" customFormat="1" x14ac:dyDescent="0.3">
      <c r="A117" s="21" t="s">
        <v>515</v>
      </c>
      <c r="B117" s="2">
        <v>15900</v>
      </c>
    </row>
    <row r="118" spans="1:8" s="21" customFormat="1" x14ac:dyDescent="0.3">
      <c r="A118" s="21" t="s">
        <v>516</v>
      </c>
      <c r="B118" s="2">
        <v>1000</v>
      </c>
    </row>
    <row r="119" spans="1:8" s="21" customFormat="1" x14ac:dyDescent="0.3">
      <c r="A119" s="21"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scooter'!B100</f>
        <v>Power: 6.1 kW. Lifetime: 39800 km. Annual kilometers: 2731 km. Number of passengers: 1. Curb mass: 130.4 kg. Lightweighting of glider: 5%. Emission standard: None. Service visits throughout lifetime: 1. Range: 125 km. Battery capacity: 8.2 kWh. Available battery capacity: 6.56 kWh. Battery mass: 24.6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1</v>
      </c>
    </row>
    <row r="120" spans="1:8" ht="15.6" x14ac:dyDescent="0.3">
      <c r="A120" s="11" t="s">
        <v>80</v>
      </c>
    </row>
    <row r="121" spans="1:8" x14ac:dyDescent="0.3">
      <c r="A121" t="s">
        <v>81</v>
      </c>
      <c r="B121" t="s">
        <v>82</v>
      </c>
      <c r="C121" t="s">
        <v>73</v>
      </c>
      <c r="D121" t="s">
        <v>77</v>
      </c>
      <c r="E121" t="s">
        <v>83</v>
      </c>
      <c r="F121" t="s">
        <v>75</v>
      </c>
      <c r="G121" t="s">
        <v>84</v>
      </c>
      <c r="H121" t="s">
        <v>74</v>
      </c>
    </row>
    <row r="122" spans="1:8" x14ac:dyDescent="0.3">
      <c r="A122" s="12" t="str">
        <f>B91</f>
        <v>Scooter, electric, 4-11kW, 2040</v>
      </c>
      <c r="B122" s="12">
        <v>1</v>
      </c>
      <c r="C122" s="12" t="str">
        <f>B92</f>
        <v>CH</v>
      </c>
      <c r="D122" s="12" t="str">
        <f>B99</f>
        <v>unit</v>
      </c>
      <c r="E122" s="12"/>
      <c r="F122" s="12" t="s">
        <v>85</v>
      </c>
      <c r="G122" s="12" t="s">
        <v>86</v>
      </c>
      <c r="H122" s="12" t="str">
        <f>B93</f>
        <v>Scooter, electric, 4-11kW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84</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s="21" customFormat="1"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4.2</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10</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16</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25.624999999999996</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5.125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market for manual dismantling of electric scooter</v>
      </c>
      <c r="B130" s="16">
        <f>INDEX('vehicles specifications'!$B$3:$CK$86,MATCH(B96,'vehicles specifications'!$A$3:$A$86,0),MATCH(G130,'vehicles specifications'!$B$2:$CK$2,0))*INDEX('ei names mapping'!$B$137:$BK$220,MATCH(B96,'ei names mapping'!$A$137:$A$220,0),MATCH(G130,'ei names mapping'!$B$136:$BK$136,0))</f>
        <v>79.8</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market for manual dismantling of electric scooter</v>
      </c>
      <c r="B131" s="16">
        <f>INDEX('vehicles specifications'!$B$3:$CK$86,MATCH(B96,'vehicles specifications'!$A$3:$A$86,0),MATCH(G131,'vehicles specifications'!$B$2:$CK$2,0))*INDEX('ei names mapping'!$B$137:$BK$220,MATCH(B96,'ei names mapping'!$A$137:$A$220,0),MATCH(G131,'ei names mapping'!$B$136:$BK$136,0))</f>
        <v>26</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-30.749999999999993</v>
      </c>
      <c r="C132" s="12" t="str">
        <f>INDEX('ei names mapping'!$B$38:$R$67,MATCH(B93,'ei names mapping'!$A$4:$A$33,0),MATCH(G132,'ei names mapping'!$B$3:$R$3,0))</f>
        <v>GLO</v>
      </c>
      <c r="D132" s="12" t="str">
        <f>INDEX('ei names mapping'!$B$104:$R$133,MATCH(B93,'ei names mapping'!$A$104:$A$133,0),MATCH(G132,'ei names mapping'!$B$3:$R$3,0))</f>
        <v>kilogram</v>
      </c>
      <c r="E132" s="12"/>
      <c r="F132" s="12" t="s">
        <v>91</v>
      </c>
      <c r="G132" t="s">
        <v>152</v>
      </c>
      <c r="H132" s="12" t="str">
        <f>INDEX('ei names mapping'!$B$71:$R$100,MATCH(B93,'ei names mapping'!$A$4:$A$33,0),MATCH(G132,'ei names mapping'!$B$3:$R$3,0))</f>
        <v>used Li-ion battery</v>
      </c>
    </row>
    <row r="133" spans="1:8" s="21" customFormat="1" x14ac:dyDescent="0.3">
      <c r="A133" s="22" t="s">
        <v>468</v>
      </c>
      <c r="B133" s="21">
        <f>(B106/1000)*B118</f>
        <v>130.39999999999998</v>
      </c>
      <c r="C133" s="21" t="s">
        <v>94</v>
      </c>
      <c r="D133" s="21" t="s">
        <v>243</v>
      </c>
      <c r="F133" s="21" t="s">
        <v>91</v>
      </c>
      <c r="H133" s="22" t="s">
        <v>469</v>
      </c>
    </row>
    <row r="134" spans="1:8" s="21" customFormat="1" x14ac:dyDescent="0.3">
      <c r="A134" s="22" t="s">
        <v>467</v>
      </c>
      <c r="B134" s="2">
        <f>(B106/1000)*B117</f>
        <v>2073.3599999999997</v>
      </c>
      <c r="C134" s="21" t="s">
        <v>98</v>
      </c>
      <c r="D134" s="21" t="s">
        <v>243</v>
      </c>
      <c r="F134" s="21" t="s">
        <v>91</v>
      </c>
      <c r="H134" s="22" t="s">
        <v>467</v>
      </c>
    </row>
    <row r="136" spans="1:8" ht="15.6" x14ac:dyDescent="0.3">
      <c r="A136" s="11" t="s">
        <v>72</v>
      </c>
      <c r="B136" s="9" t="str">
        <f>B138&amp;", "&amp;B140</f>
        <v>Scooter, electric, 4-11kW, 2050</v>
      </c>
    </row>
    <row r="137" spans="1:8" x14ac:dyDescent="0.3">
      <c r="A137" t="s">
        <v>73</v>
      </c>
      <c r="B137" t="s">
        <v>37</v>
      </c>
    </row>
    <row r="138" spans="1:8" x14ac:dyDescent="0.3">
      <c r="A138" t="s">
        <v>87</v>
      </c>
      <c r="B138" s="21" t="s">
        <v>631</v>
      </c>
    </row>
    <row r="139" spans="1:8" x14ac:dyDescent="0.3">
      <c r="A139" t="s">
        <v>88</v>
      </c>
      <c r="B139" s="12"/>
    </row>
    <row r="140" spans="1:8" x14ac:dyDescent="0.3">
      <c r="A140" t="s">
        <v>89</v>
      </c>
      <c r="B140" s="12">
        <v>2050</v>
      </c>
    </row>
    <row r="141" spans="1:8" x14ac:dyDescent="0.3">
      <c r="A141" t="s">
        <v>131</v>
      </c>
      <c r="B141" s="12" t="str">
        <f>B138&amp;" - "&amp;B140&amp;" - "&amp;B137</f>
        <v>Scooter, electric, 4-11kW - 2050 - CH</v>
      </c>
    </row>
    <row r="142" spans="1:8" x14ac:dyDescent="0.3">
      <c r="A142" t="s">
        <v>74</v>
      </c>
      <c r="B142" t="str">
        <f>B138</f>
        <v>Scooter, electric, 4-11kW</v>
      </c>
    </row>
    <row r="143" spans="1:8" x14ac:dyDescent="0.3">
      <c r="A143" t="s">
        <v>75</v>
      </c>
      <c r="B143" t="s">
        <v>76</v>
      </c>
    </row>
    <row r="144" spans="1:8" x14ac:dyDescent="0.3">
      <c r="A144" t="s">
        <v>77</v>
      </c>
      <c r="B144" t="s">
        <v>77</v>
      </c>
    </row>
    <row r="145" spans="1:2" x14ac:dyDescent="0.3">
      <c r="A145" t="s">
        <v>79</v>
      </c>
      <c r="B145" t="s">
        <v>90</v>
      </c>
    </row>
    <row r="146" spans="1:2" x14ac:dyDescent="0.3">
      <c r="A146" t="s">
        <v>132</v>
      </c>
      <c r="B146">
        <f>INDEX('vehicles specifications'!$B$3:$CK$86,MATCH(B141,'vehicles specifications'!$A$3:$A$86,0),MATCH("Lifetime [km]",'vehicles specifications'!$B$2:$CK$2,0))</f>
        <v>39800</v>
      </c>
    </row>
    <row r="147" spans="1:2" x14ac:dyDescent="0.3">
      <c r="A147" t="s">
        <v>133</v>
      </c>
      <c r="B147">
        <f>INDEX('vehicles specifications'!$B$3:$CK$86,MATCH(B141,'vehicles specifications'!$A$3:$A$86,0),MATCH("Passengers [unit]",'vehicles specifications'!$B$2:$CK$2,0))</f>
        <v>1</v>
      </c>
    </row>
    <row r="148" spans="1:2" x14ac:dyDescent="0.3">
      <c r="A148" t="s">
        <v>134</v>
      </c>
      <c r="B148">
        <f>INDEX('vehicles specifications'!$B$3:$CK$86,MATCH(B141,'vehicles specifications'!$A$3:$A$86,0),MATCH("Servicing [unit]",'vehicles specifications'!$B$2:$CK$2,0))</f>
        <v>1</v>
      </c>
    </row>
    <row r="149" spans="1:2" x14ac:dyDescent="0.3">
      <c r="A149" t="s">
        <v>135</v>
      </c>
      <c r="B149">
        <f>INDEX('vehicles specifications'!$B$3:$CK$86,MATCH(B141,'vehicles specifications'!$A$3:$A$86,0),MATCH("Energy battery replacement [unit]",'vehicles specifications'!$B$2:$CK$2,0))</f>
        <v>0</v>
      </c>
    </row>
    <row r="150" spans="1:2" x14ac:dyDescent="0.3">
      <c r="A150" t="s">
        <v>136</v>
      </c>
      <c r="B150">
        <f>INDEX('vehicles specifications'!$B$3:$CK$86,MATCH(B141,'vehicles specifications'!$A$3:$A$86,0),MATCH("Annual kilometers [km]",'vehicles specifications'!$B$2:$CK$2,0))</f>
        <v>2731</v>
      </c>
    </row>
    <row r="151" spans="1:2" x14ac:dyDescent="0.3">
      <c r="A151" t="s">
        <v>137</v>
      </c>
      <c r="B151" s="2">
        <f>INDEX('vehicles specifications'!$B$3:$CK$86,MATCH(B141,'vehicles specifications'!$A$3:$A$86,0),MATCH("Curb mass [kg]",'vehicles specifications'!$B$2:$CK$2,0))</f>
        <v>130.04</v>
      </c>
    </row>
    <row r="152" spans="1:2" x14ac:dyDescent="0.3">
      <c r="A152" t="s">
        <v>138</v>
      </c>
      <c r="B152">
        <f>INDEX('vehicles specifications'!$B$3:$CK$86,MATCH(B141,'vehicles specifications'!$A$3:$A$86,0),MATCH("Power [kW]",'vehicles specifications'!$B$2:$CK$2,0))</f>
        <v>6.1</v>
      </c>
    </row>
    <row r="153" spans="1:2" x14ac:dyDescent="0.3">
      <c r="A153" t="s">
        <v>139</v>
      </c>
      <c r="B153">
        <f>INDEX('vehicles specifications'!$B$3:$CK$86,MATCH(B141,'vehicles specifications'!$A$3:$A$86,0),MATCH("Energy battery mass [kg]",'vehicles specifications'!$B$2:$CK$2,0))</f>
        <v>25.92</v>
      </c>
    </row>
    <row r="154" spans="1:2" x14ac:dyDescent="0.3">
      <c r="A154" t="s">
        <v>140</v>
      </c>
      <c r="B154">
        <f>INDEX('vehicles specifications'!$B$3:$CK$86,MATCH(B141,'vehicles specifications'!$A$3:$A$86,0),MATCH("Electric energy stored [kWh]",'vehicles specifications'!$B$2:$CK$2,0))</f>
        <v>10.8</v>
      </c>
    </row>
    <row r="155" spans="1:2" s="21" customFormat="1" x14ac:dyDescent="0.3">
      <c r="A155" s="21" t="s">
        <v>654</v>
      </c>
      <c r="B155" s="21">
        <f>INDEX('vehicles specifications'!$B$3:$CK$86,MATCH(B141,'vehicles specifications'!$A$3:$A$86,0),MATCH("Electric energy available [kWh]",'vehicles specifications'!$B$2:$CK$2,0))</f>
        <v>8.64</v>
      </c>
    </row>
    <row r="156" spans="1:2" x14ac:dyDescent="0.3">
      <c r="A156" t="s">
        <v>143</v>
      </c>
      <c r="B156" s="2">
        <f>INDEX('vehicles specifications'!$B$3:$CK$86,MATCH(B141,'vehicles specifications'!$A$3:$A$86,0),MATCH("Oxydation energy stored [kWh]",'vehicles specifications'!$B$2:$CK$2,0))</f>
        <v>0</v>
      </c>
    </row>
    <row r="157" spans="1:2" x14ac:dyDescent="0.3">
      <c r="A157" t="s">
        <v>145</v>
      </c>
      <c r="B157">
        <f>INDEX('vehicles specifications'!$B$3:$CK$86,MATCH(B141,'vehicles specifications'!$A$3:$A$86,0),MATCH("Fuel mass [kg]",'vehicles specifications'!$B$2:$CK$2,0))</f>
        <v>0</v>
      </c>
    </row>
    <row r="158" spans="1:2" x14ac:dyDescent="0.3">
      <c r="A158" t="s">
        <v>141</v>
      </c>
      <c r="B158" s="2">
        <f>INDEX('vehicles specifications'!$B$3:$CK$86,MATCH(B141,'vehicles specifications'!$A$3:$A$86,0),MATCH("Range [km]",'vehicles specifications'!$B$2:$CK$2,0))</f>
        <v>164.21089308026419</v>
      </c>
    </row>
    <row r="159" spans="1:2" x14ac:dyDescent="0.3">
      <c r="A159" t="s">
        <v>142</v>
      </c>
      <c r="B159" t="str">
        <f>INDEX('vehicles specifications'!$B$3:$CK$86,MATCH(B141,'vehicles specifications'!$A$3:$A$86,0),MATCH("Emission standard",'vehicles specifications'!$B$2:$CK$2,0))</f>
        <v>None</v>
      </c>
    </row>
    <row r="160" spans="1:2" x14ac:dyDescent="0.3">
      <c r="A160" t="s">
        <v>144</v>
      </c>
      <c r="B160" s="6">
        <f>INDEX('vehicles specifications'!$B$3:$CK$86,MATCH(B141,'vehicles specifications'!$A$3:$A$86,0),MATCH("Lightweighting rate [%]",'vehicles specifications'!$B$2:$CK$2,0))</f>
        <v>7.0000000000000007E-2</v>
      </c>
    </row>
    <row r="161" spans="1:8" s="21" customFormat="1" x14ac:dyDescent="0.3">
      <c r="A161" s="21" t="s">
        <v>513</v>
      </c>
      <c r="B161" s="6" t="s">
        <v>514</v>
      </c>
    </row>
    <row r="162" spans="1:8" s="21" customFormat="1" x14ac:dyDescent="0.3">
      <c r="A162" s="21" t="s">
        <v>515</v>
      </c>
      <c r="B162" s="2">
        <v>15900</v>
      </c>
    </row>
    <row r="163" spans="1:8" s="21" customFormat="1" x14ac:dyDescent="0.3">
      <c r="A163" s="21" t="s">
        <v>516</v>
      </c>
      <c r="B163" s="2">
        <v>1000</v>
      </c>
    </row>
    <row r="164" spans="1:8" s="21" customFormat="1" x14ac:dyDescent="0.3">
      <c r="A164" s="21"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scooter'!B145</f>
        <v>Power: 6.1 kW. Lifetime: 39800 km. Annual kilometers: 2731 km. Number of passengers: 1. Curb mass: 130 kg. Lightweighting of glider: 7%. Emission standard: None. Service visits throughout lifetime: 1. Range: 164 km. Battery capacity: 10.8 kWh. Available battery capacity: 8.64 kWh. Battery mass: 25.9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v>
      </c>
    </row>
    <row r="165" spans="1:8" ht="15.6" x14ac:dyDescent="0.3">
      <c r="A165" s="11" t="s">
        <v>80</v>
      </c>
    </row>
    <row r="166" spans="1:8" x14ac:dyDescent="0.3">
      <c r="A166" t="s">
        <v>81</v>
      </c>
      <c r="B166" t="s">
        <v>82</v>
      </c>
      <c r="C166" t="s">
        <v>73</v>
      </c>
      <c r="D166" t="s">
        <v>77</v>
      </c>
      <c r="E166" t="s">
        <v>83</v>
      </c>
      <c r="F166" t="s">
        <v>75</v>
      </c>
      <c r="G166" t="s">
        <v>84</v>
      </c>
      <c r="H166" t="s">
        <v>74</v>
      </c>
    </row>
    <row r="167" spans="1:8" x14ac:dyDescent="0.3">
      <c r="A167" s="12" t="str">
        <f>B136</f>
        <v>Scooter, electric, 4-11kW, 2050</v>
      </c>
      <c r="B167" s="12">
        <v>1</v>
      </c>
      <c r="C167" s="12" t="str">
        <f>B137</f>
        <v>CH</v>
      </c>
      <c r="D167" s="12" t="str">
        <f>B144</f>
        <v>unit</v>
      </c>
      <c r="E167" s="12"/>
      <c r="F167" s="12" t="s">
        <v>85</v>
      </c>
      <c r="G167" s="12" t="s">
        <v>86</v>
      </c>
      <c r="H167" s="12" t="str">
        <f>B138</f>
        <v>Scooter, electric, 4-11kW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84</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s="21" customFormat="1"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5.8800000000000008</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10</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16</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21.6</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4.32</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market for manual dismantling of electric scooter</v>
      </c>
      <c r="B175" s="16">
        <f>INDEX('vehicles specifications'!$B$3:$CK$86,MATCH(B141,'vehicles specifications'!$A$3:$A$86,0),MATCH(G175,'vehicles specifications'!$B$2:$CK$2,0))*INDEX('ei names mapping'!$B$137:$BK$220,MATCH(B141,'ei names mapping'!$A$137:$A$220,0),MATCH(G175,'ei names mapping'!$B$136:$BK$136,0))</f>
        <v>78.11999999999999</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market for manual dismantling of electric scooter</v>
      </c>
      <c r="B176" s="16">
        <f>INDEX('vehicles specifications'!$B$3:$CK$86,MATCH(B141,'vehicles specifications'!$A$3:$A$86,0),MATCH(G176,'vehicles specifications'!$B$2:$CK$2,0))*INDEX('ei names mapping'!$B$137:$BK$220,MATCH(B141,'ei names mapping'!$A$137:$A$220,0),MATCH(G176,'ei names mapping'!$B$136:$BK$136,0))</f>
        <v>26</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-25.92</v>
      </c>
      <c r="C177" s="12" t="str">
        <f>INDEX('ei names mapping'!$B$38:$R$67,MATCH(B138,'ei names mapping'!$A$4:$A$33,0),MATCH(G177,'ei names mapping'!$B$3:$R$3,0))</f>
        <v>GLO</v>
      </c>
      <c r="D177" s="12" t="str">
        <f>INDEX('ei names mapping'!$B$104:$R$133,MATCH(B138,'ei names mapping'!$A$104:$A$133,0),MATCH(G177,'ei names mapping'!$B$3:$R$3,0))</f>
        <v>kilogram</v>
      </c>
      <c r="E177" s="12"/>
      <c r="F177" s="12" t="s">
        <v>91</v>
      </c>
      <c r="G177" t="s">
        <v>152</v>
      </c>
      <c r="H177" s="12" t="str">
        <f>INDEX('ei names mapping'!$B$71:$R$100,MATCH(B138,'ei names mapping'!$A$4:$A$33,0),MATCH(G177,'ei names mapping'!$B$3:$R$3,0))</f>
        <v>used Li-ion battery</v>
      </c>
    </row>
    <row r="178" spans="1:8" s="21" customFormat="1" x14ac:dyDescent="0.3">
      <c r="A178" s="22" t="s">
        <v>468</v>
      </c>
      <c r="B178" s="21">
        <f>(B151/1000)*B163</f>
        <v>130.04</v>
      </c>
      <c r="C178" s="21" t="s">
        <v>94</v>
      </c>
      <c r="D178" s="21" t="s">
        <v>243</v>
      </c>
      <c r="F178" s="21" t="s">
        <v>91</v>
      </c>
      <c r="H178" s="22" t="s">
        <v>469</v>
      </c>
    </row>
    <row r="179" spans="1:8" s="21" customFormat="1" x14ac:dyDescent="0.3">
      <c r="A179" s="22" t="s">
        <v>467</v>
      </c>
      <c r="B179" s="2">
        <f>(B151/1000)*B162</f>
        <v>2067.636</v>
      </c>
      <c r="C179" s="21" t="s">
        <v>98</v>
      </c>
      <c r="D179" s="21" t="s">
        <v>243</v>
      </c>
      <c r="F179" s="21" t="s">
        <v>91</v>
      </c>
      <c r="H179" s="22" t="s">
        <v>467</v>
      </c>
    </row>
    <row r="180" spans="1:8" x14ac:dyDescent="0.3">
      <c r="B180" s="2"/>
    </row>
    <row r="181" spans="1:8" ht="15.6" x14ac:dyDescent="0.3">
      <c r="A181" s="11" t="s">
        <v>72</v>
      </c>
      <c r="B181" s="9" t="str">
        <f>"transport, "&amp;B183&amp;", "&amp;B185</f>
        <v>transport, Scooter, electric, 4-11kW, 2020</v>
      </c>
    </row>
    <row r="182" spans="1:8" x14ac:dyDescent="0.3">
      <c r="A182" t="s">
        <v>73</v>
      </c>
      <c r="B182" t="s">
        <v>37</v>
      </c>
    </row>
    <row r="183" spans="1:8" x14ac:dyDescent="0.3">
      <c r="A183" t="s">
        <v>87</v>
      </c>
      <c r="B183" s="21" t="s">
        <v>631</v>
      </c>
    </row>
    <row r="184" spans="1:8" x14ac:dyDescent="0.3">
      <c r="A184" t="s">
        <v>88</v>
      </c>
      <c r="B184" s="12"/>
    </row>
    <row r="185" spans="1:8" x14ac:dyDescent="0.3">
      <c r="A185" t="s">
        <v>89</v>
      </c>
      <c r="B185" s="12">
        <v>2020</v>
      </c>
    </row>
    <row r="186" spans="1:8" x14ac:dyDescent="0.3">
      <c r="A186" t="s">
        <v>131</v>
      </c>
      <c r="B186" s="12" t="str">
        <f>B183&amp;" - "&amp;B185&amp;" - "&amp;B182</f>
        <v>Scooter, electric, 4-11kW - 2020 - CH</v>
      </c>
    </row>
    <row r="187" spans="1:8" x14ac:dyDescent="0.3">
      <c r="A187" t="s">
        <v>74</v>
      </c>
      <c r="B187" s="12" t="str">
        <f>"transport, "&amp;B183</f>
        <v>transport, Scooter, electric, 4-11kW</v>
      </c>
    </row>
    <row r="188" spans="1:8" x14ac:dyDescent="0.3">
      <c r="A188" t="s">
        <v>75</v>
      </c>
      <c r="B188" t="s">
        <v>76</v>
      </c>
    </row>
    <row r="189" spans="1:8" x14ac:dyDescent="0.3">
      <c r="A189" t="s">
        <v>77</v>
      </c>
      <c r="B189" t="s">
        <v>172</v>
      </c>
    </row>
    <row r="190" spans="1:8" x14ac:dyDescent="0.3">
      <c r="A190" t="s">
        <v>79</v>
      </c>
      <c r="B190" t="s">
        <v>90</v>
      </c>
    </row>
    <row r="191" spans="1:8" x14ac:dyDescent="0.3">
      <c r="A191" t="s">
        <v>132</v>
      </c>
      <c r="B191">
        <f>INDEX('vehicles specifications'!$B$3:$CK$86,MATCH(B186,'vehicles specifications'!$A$3:$A$86,0),MATCH("Lifetime [km]",'vehicles specifications'!$B$2:$CK$2,0))</f>
        <v>39800</v>
      </c>
    </row>
    <row r="192" spans="1:8" x14ac:dyDescent="0.3">
      <c r="A192" t="s">
        <v>133</v>
      </c>
      <c r="B192">
        <f>INDEX('vehicles specifications'!$B$3:$CK$86,MATCH(B186,'vehicles specifications'!$A$3:$A$86,0),MATCH("Passengers [unit]",'vehicles specifications'!$B$2:$CK$2,0))</f>
        <v>1</v>
      </c>
    </row>
    <row r="193" spans="1:8" x14ac:dyDescent="0.3">
      <c r="A193" t="s">
        <v>134</v>
      </c>
      <c r="B193">
        <f>INDEX('vehicles specifications'!$B$3:$CK$86,MATCH(B186,'vehicles specifications'!$A$3:$A$86,0),MATCH("Servicing [unit]",'vehicles specifications'!$B$2:$CK$2,0))</f>
        <v>1</v>
      </c>
    </row>
    <row r="194" spans="1:8" x14ac:dyDescent="0.3">
      <c r="A194" t="s">
        <v>135</v>
      </c>
      <c r="B194">
        <f>INDEX('vehicles specifications'!$B$3:$CK$86,MATCH(B186,'vehicles specifications'!$A$3:$A$86,0),MATCH("Energy battery replacement [unit]",'vehicles specifications'!$B$2:$CK$2,0))</f>
        <v>1</v>
      </c>
    </row>
    <row r="195" spans="1:8" x14ac:dyDescent="0.3">
      <c r="A195" t="s">
        <v>136</v>
      </c>
      <c r="B195">
        <f>INDEX('vehicles specifications'!$B$3:$CK$86,MATCH(B186,'vehicles specifications'!$A$3:$A$86,0),MATCH("Annual kilometers [km]",'vehicles specifications'!$B$2:$CK$2,0))</f>
        <v>2731</v>
      </c>
    </row>
    <row r="196" spans="1:8" x14ac:dyDescent="0.3">
      <c r="A196" t="s">
        <v>137</v>
      </c>
      <c r="B196" s="2">
        <f>INDEX('vehicles specifications'!$B$3:$CK$86,MATCH(B186,'vehicles specifications'!$A$3:$A$86,0),MATCH("Curb mass [kg]",'vehicles specifications'!$B$2:$CK$2,0))</f>
        <v>129.80000000000001</v>
      </c>
    </row>
    <row r="197" spans="1:8" x14ac:dyDescent="0.3">
      <c r="A197" t="s">
        <v>138</v>
      </c>
      <c r="B197">
        <f>INDEX('vehicles specifications'!$B$3:$CK$86,MATCH(B186,'vehicles specifications'!$A$3:$A$86,0),MATCH("Power [kW]",'vehicles specifications'!$B$2:$CK$2,0))</f>
        <v>6.1</v>
      </c>
    </row>
    <row r="198" spans="1:8" x14ac:dyDescent="0.3">
      <c r="A198" t="s">
        <v>139</v>
      </c>
      <c r="B198">
        <f>INDEX('vehicles specifications'!$B$3:$CK$86,MATCH(B186,'vehicles specifications'!$A$3:$A$86,0),MATCH("Energy battery mass [kg]",'vehicles specifications'!$B$2:$CK$2,0))</f>
        <v>19.799999999999997</v>
      </c>
    </row>
    <row r="199" spans="1:8" x14ac:dyDescent="0.3">
      <c r="A199" t="s">
        <v>140</v>
      </c>
      <c r="B199">
        <f>INDEX('vehicles specifications'!$B$3:$CK$86,MATCH(B186,'vehicles specifications'!$A$3:$A$86,0),MATCH("Electric energy stored [kWh]",'vehicles specifications'!$B$2:$CK$2,0))</f>
        <v>3.3</v>
      </c>
    </row>
    <row r="200" spans="1:8" s="21" customFormat="1" x14ac:dyDescent="0.3">
      <c r="A200" s="21" t="s">
        <v>654</v>
      </c>
      <c r="B200" s="21">
        <f>INDEX('vehicles specifications'!$B$3:$CK$86,MATCH(B186,'vehicles specifications'!$A$3:$A$86,0),MATCH("Electric energy available [kWh]",'vehicles specifications'!$B$2:$CK$2,0))</f>
        <v>2.64</v>
      </c>
    </row>
    <row r="201" spans="1:8" x14ac:dyDescent="0.3">
      <c r="A201" t="s">
        <v>143</v>
      </c>
      <c r="B201" s="2">
        <f>INDEX('vehicles specifications'!$B$3:$CK$86,MATCH(B186,'vehicles specifications'!$A$3:$A$86,0),MATCH("Oxydation energy stored [kWh]",'vehicles specifications'!$B$2:$CK$2,0))</f>
        <v>0</v>
      </c>
    </row>
    <row r="202" spans="1:8" x14ac:dyDescent="0.3">
      <c r="A202" t="s">
        <v>145</v>
      </c>
      <c r="B202">
        <f>INDEX('vehicles specifications'!$B$3:$CK$86,MATCH(B186,'vehicles specifications'!$A$3:$A$86,0),MATCH("Fuel mass [kg]",'vehicles specifications'!$B$2:$CK$2,0))</f>
        <v>0</v>
      </c>
    </row>
    <row r="203" spans="1:8" x14ac:dyDescent="0.3">
      <c r="A203" t="s">
        <v>141</v>
      </c>
      <c r="B203" s="2">
        <f>INDEX('vehicles specifications'!$B$3:$CK$86,MATCH(B186,'vehicles specifications'!$A$3:$A$86,0),MATCH("Range [km]",'vehicles specifications'!$B$2:$CK$2,0))</f>
        <v>50.175550663414057</v>
      </c>
    </row>
    <row r="204" spans="1:8" x14ac:dyDescent="0.3">
      <c r="A204" t="s">
        <v>142</v>
      </c>
      <c r="B204" t="str">
        <f>INDEX('vehicles specifications'!$B$3:$CK$86,MATCH(B186,'vehicles specifications'!$A$3:$A$86,0),MATCH("Emission standard",'vehicles specifications'!$B$2:$CK$2,0))</f>
        <v>None</v>
      </c>
    </row>
    <row r="205" spans="1:8" x14ac:dyDescent="0.3">
      <c r="A205" t="s">
        <v>144</v>
      </c>
      <c r="B205" s="6">
        <f>INDEX('vehicles specifications'!$B$3:$CK$86,MATCH(B186,'vehicles specifications'!$A$3:$A$86,0),MATCH("Lightweighting rate [%]",'vehicles specifications'!$B$2:$CK$2,0))</f>
        <v>0</v>
      </c>
    </row>
    <row r="206" spans="1:8" x14ac:dyDescent="0.3">
      <c r="A206"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"&amp;B190</f>
        <v>Power: 6.1 kW. Lifetime: 39800 km. Annual kilometers: 2731 km. Number of passengers: 1. Curb mass: 129.8 kg. Lightweighting of glider: 0%. Emission standard: None. Service visits throughout lifetime: 1. Range: 50 km. Battery capacity: 3.3 kWh. Available battery capacity: 2.64 kWh. Battery mass: 19.8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7" spans="1:8" ht="15.6" x14ac:dyDescent="0.3">
      <c r="A207" s="11" t="s">
        <v>80</v>
      </c>
    </row>
    <row r="208" spans="1:8" x14ac:dyDescent="0.3">
      <c r="A208" t="s">
        <v>81</v>
      </c>
      <c r="B208" t="s">
        <v>82</v>
      </c>
      <c r="C208" t="s">
        <v>73</v>
      </c>
      <c r="D208" t="s">
        <v>77</v>
      </c>
      <c r="E208" t="s">
        <v>83</v>
      </c>
      <c r="F208" t="s">
        <v>75</v>
      </c>
      <c r="G208" t="s">
        <v>84</v>
      </c>
      <c r="H208" t="s">
        <v>74</v>
      </c>
    </row>
    <row r="209" spans="1:8" x14ac:dyDescent="0.3">
      <c r="A209" s="12" t="str">
        <f>B181</f>
        <v>transport, Scooter, electric, 4-11kW, 2020</v>
      </c>
      <c r="B209" s="12">
        <v>1</v>
      </c>
      <c r="C209" s="12" t="str">
        <f>B182</f>
        <v>CH</v>
      </c>
      <c r="D209" s="12" t="s">
        <v>172</v>
      </c>
      <c r="E209" s="12"/>
      <c r="F209" s="12" t="s">
        <v>85</v>
      </c>
      <c r="G209" s="12" t="s">
        <v>86</v>
      </c>
      <c r="H209" s="12" t="str">
        <f>B187</f>
        <v>transport, Scooter, electric, 4-11kW</v>
      </c>
    </row>
    <row r="210" spans="1:8" x14ac:dyDescent="0.3">
      <c r="A210" s="12" t="str">
        <f>RIGHT(A209,LEN(A209)-11)</f>
        <v>Scooter, electric, 4-11kW, 2020</v>
      </c>
      <c r="B210" s="15">
        <f>1/B191</f>
        <v>2.5125628140703518E-5</v>
      </c>
      <c r="C210" s="12" t="str">
        <f>B182</f>
        <v>CH</v>
      </c>
      <c r="D210" s="12" t="s">
        <v>77</v>
      </c>
      <c r="E210" s="12"/>
      <c r="F210" s="12" t="s">
        <v>91</v>
      </c>
      <c r="G210" s="12"/>
      <c r="H210" s="12" t="str">
        <f>RIGHT(H209,LEN(H209)-11)</f>
        <v>Scooter, electric, 4-11kW</v>
      </c>
    </row>
    <row r="211" spans="1:8" s="21" customFormat="1" x14ac:dyDescent="0.3">
      <c r="A211" s="12" t="str">
        <f>INDEX('ei names mapping'!$B$4:$R$33,MATCH(B183,'ei names mapping'!$A$4:$A$33,0),MATCH(G211,'ei names mapping'!$B$3:$R$3,0))</f>
        <v>road construction</v>
      </c>
      <c r="B211" s="16">
        <f>INDEX('vehicles specifications'!$B$3:$CK$86,MATCH(B186,'vehicles specifications'!$A$3:$A$86,0),MATCH(G211,'vehicles specifications'!$B$2:$CK$2,0))*INDEX('ei names mapping'!$B$137:$BK$220,MATCH(B186,'ei names mapping'!$A$137:$A$220,0),MATCH(G211,'ei names mapping'!$B$136:$BK$136,0))</f>
        <v>1.0944060000000001E-4</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s="21" t="s">
        <v>108</v>
      </c>
      <c r="H211" s="12" t="str">
        <f>INDEX('ei names mapping'!$B$71:$BK$100,MATCH(B183,'ei names mapping'!$A$4:$A$33,0),MATCH(G211,'ei names mapping'!$B$3:$BK$3,0))</f>
        <v>road</v>
      </c>
    </row>
    <row r="212" spans="1:8" x14ac:dyDescent="0.3">
      <c r="A212" s="12" t="str">
        <f>INDEX('ei names mapping'!$B$4:$R$33,MATCH(B183,'ei names mapping'!$A$4:$A$33,0),MATCH(G212,'ei names mapping'!$B$3:$R$3,0))</f>
        <v>road maintenance</v>
      </c>
      <c r="B212" s="16">
        <f>INDEX('vehicles specifications'!$B$3:$CK$86,MATCH(B186,'vehicles specifications'!$A$3:$A$86,0),MATCH(G212,'vehicles specifications'!$B$2:$CK$2,0))*INDEX('ei names mapping'!$B$137:$BK$220,MATCH(B186,'ei names mapping'!$A$137:$A$220,0),MATCH(G212,'ei names mapping'!$B$136:$BK$136,0))</f>
        <v>1.2899999999999999E-3</v>
      </c>
      <c r="C212" s="12" t="str">
        <f>INDEX('ei names mapping'!$B$38:$R$67,MATCH(B183,'ei names mapping'!$A$4:$A$33,0),MATCH(G212,'ei names mapping'!$B$3:$R$3,0))</f>
        <v>CH</v>
      </c>
      <c r="D212" s="12" t="str">
        <f>INDEX('ei names mapping'!$B$104:$BK$133,MATCH(B183,'ei names mapping'!$A$4:$A$33,0),MATCH(G212,'ei names mapping'!$B$3:$BK$3,0))</f>
        <v>meter-year</v>
      </c>
      <c r="E212" s="12"/>
      <c r="F212" s="12" t="s">
        <v>91</v>
      </c>
      <c r="G212" t="s">
        <v>117</v>
      </c>
      <c r="H212" s="12" t="str">
        <f>INDEX('ei names mapping'!$B$71:$BK$100,MATCH(B183,'ei names mapping'!$A$4:$A$33,0),MATCH(G212,'ei names mapping'!$B$3:$BK$3,0))</f>
        <v>road maintenance</v>
      </c>
    </row>
    <row r="213" spans="1:8" x14ac:dyDescent="0.3">
      <c r="A213" s="12" t="str">
        <f>INDEX('ei names mapping'!$B$4:$R$33,MATCH(B183,'ei names mapping'!$A$4:$A$33,0),MATCH(G213,'ei names mapping'!$B$3:$R$3,0))</f>
        <v>market for electricity, low voltage</v>
      </c>
      <c r="B213" s="14">
        <f>INDEX('vehicles specifications'!$B$3:$CK$86,MATCH(B186,'vehicles specifications'!$A$3:$A$86,0),MATCH(G213,'vehicles specifications'!$B$2:$CK$2,0))*INDEX('ei names mapping'!$B$137:$BK$220,MATCH(B186,'ei names mapping'!$A$137:$A$220,0),MATCH(G213,'ei names mapping'!$B$136:$BK$136,0))</f>
        <v>5.7876793809010993E-2</v>
      </c>
      <c r="C213" s="12" t="str">
        <f>INDEX('ei names mapping'!$B$38:$R$67,MATCH($B$3,'ei names mapping'!$A$4:$A$33,0),MATCH(G213,'ei names mapping'!$B$3:$R$3,0))</f>
        <v>CH</v>
      </c>
      <c r="D213" s="12" t="str">
        <f>INDEX('ei names mapping'!$B$104:$R$133,MATCH($B$3,'ei names mapping'!$A$4:$A$33,0),MATCH(G213,'ei names mapping'!$B$3:$R$3,0))</f>
        <v>kilowatt hour</v>
      </c>
      <c r="E213" s="12"/>
      <c r="F213" s="12" t="s">
        <v>91</v>
      </c>
      <c r="G213" t="s">
        <v>28</v>
      </c>
      <c r="H213" s="12" t="str">
        <f>INDEX('ei names mapping'!$B$71:$R$100,MATCH(B183,'ei names mapping'!$A$4:$A$33,0),MATCH(G213,'ei names mapping'!$B$3:$R$3,0))</f>
        <v>electricity, low voltage</v>
      </c>
    </row>
    <row r="214" spans="1:8" x14ac:dyDescent="0.3">
      <c r="A214" s="12" t="str">
        <f>INDEX('ei names mapping'!$B$4:$R$33,MATCH(B183,'ei names mapping'!$A$4:$A$33,0),MATCH(G214,'ei names mapping'!$B$3:$R$3,0))</f>
        <v>market for maintenance, electric scooter, without battery</v>
      </c>
      <c r="B214" s="16">
        <f>INDEX('vehicles specifications'!$B$3:$CK$86,MATCH(B186,'vehicles specifications'!$A$3:$A$86,0),MATCH(G214,'vehicles specifications'!$B$2:$CK$2,0))*INDEX('ei names mapping'!$B$137:$BK$220,MATCH(B186,'ei names mapping'!$A$137:$A$220,0),MATCH(G214,'ei names mapping'!$B$136:$BK$136,0))</f>
        <v>2.5125628140703518E-5</v>
      </c>
      <c r="C214" s="12" t="str">
        <f>INDEX('ei names mapping'!$B$38:$BK$67,MATCH(B183,'ei names mapping'!$A$4:$A$33,0),MATCH(G214,'ei names mapping'!$B$3:$BK$3,0))</f>
        <v>GLO</v>
      </c>
      <c r="D214" s="12" t="str">
        <f>INDEX('ei names mapping'!$B$104:$BK$133,MATCH(B183,'ei names mapping'!$A$4:$A$33,0),MATCH(G214,'ei names mapping'!$B$3:$BK$3,0))</f>
        <v>unit</v>
      </c>
      <c r="F214" s="12" t="s">
        <v>91</v>
      </c>
      <c r="G214" s="12" t="s">
        <v>123</v>
      </c>
      <c r="H214" s="12" t="str">
        <f>INDEX('ei names mapping'!$B$71:$BK$100,MATCH(B183,'ei names mapping'!$A$4:$A$33,0),MATCH(G214,'ei names mapping'!$B$3:$BK$3,0))</f>
        <v>maintenance, electric scooter, without battery</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-6.3939999999999993E-6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-3.0894999999999998E-6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Scooter, electric, 4-11kW, 2030</v>
      </c>
    </row>
    <row r="220" spans="1:8" x14ac:dyDescent="0.3">
      <c r="A220" t="s">
        <v>73</v>
      </c>
      <c r="B220" t="s">
        <v>37</v>
      </c>
    </row>
    <row r="221" spans="1:8" x14ac:dyDescent="0.3">
      <c r="A221" t="s">
        <v>87</v>
      </c>
      <c r="B221" s="21" t="s">
        <v>631</v>
      </c>
    </row>
    <row r="222" spans="1:8" x14ac:dyDescent="0.3">
      <c r="A222" t="s">
        <v>88</v>
      </c>
      <c r="B222" s="12"/>
    </row>
    <row r="223" spans="1:8" x14ac:dyDescent="0.3">
      <c r="A223" t="s">
        <v>89</v>
      </c>
      <c r="B223" s="12">
        <v>2030</v>
      </c>
    </row>
    <row r="224" spans="1:8" x14ac:dyDescent="0.3">
      <c r="A224" t="s">
        <v>131</v>
      </c>
      <c r="B224" s="12" t="str">
        <f>B221&amp;" - "&amp;B223&amp;" - "&amp;B220</f>
        <v>Scooter, electric, 4-11kW - 2030 - CH</v>
      </c>
    </row>
    <row r="225" spans="1:2" x14ac:dyDescent="0.3">
      <c r="A225" t="s">
        <v>74</v>
      </c>
      <c r="B225" s="12" t="str">
        <f>"transport, "&amp;B221</f>
        <v>transport, Scooter, electric, 4-11kW</v>
      </c>
    </row>
    <row r="226" spans="1:2" x14ac:dyDescent="0.3">
      <c r="A226" t="s">
        <v>75</v>
      </c>
      <c r="B226" t="s">
        <v>76</v>
      </c>
    </row>
    <row r="227" spans="1:2" x14ac:dyDescent="0.3">
      <c r="A227" t="s">
        <v>77</v>
      </c>
      <c r="B227" t="s">
        <v>172</v>
      </c>
    </row>
    <row r="228" spans="1:2" x14ac:dyDescent="0.3">
      <c r="A228" t="s">
        <v>79</v>
      </c>
      <c r="B228" t="s">
        <v>90</v>
      </c>
    </row>
    <row r="229" spans="1:2" x14ac:dyDescent="0.3">
      <c r="A229" t="s">
        <v>132</v>
      </c>
      <c r="B229">
        <f>INDEX('vehicles specifications'!$B$3:$CK$86,MATCH(B224,'vehicles specifications'!$A$3:$A$86,0),MATCH("Lifetime [km]",'vehicles specifications'!$B$2:$CK$2,0))</f>
        <v>39800</v>
      </c>
    </row>
    <row r="230" spans="1:2" x14ac:dyDescent="0.3">
      <c r="A230" t="s">
        <v>133</v>
      </c>
      <c r="B230">
        <f>INDEX('vehicles specifications'!$B$3:$CK$86,MATCH(B224,'vehicles specifications'!$A$3:$A$86,0),MATCH("Passengers [unit]",'vehicles specifications'!$B$2:$CK$2,0))</f>
        <v>1</v>
      </c>
    </row>
    <row r="231" spans="1:2" x14ac:dyDescent="0.3">
      <c r="A231" t="s">
        <v>134</v>
      </c>
      <c r="B231">
        <f>INDEX('vehicles specifications'!$B$3:$CK$86,MATCH(B224,'vehicles specifications'!$A$3:$A$86,0),MATCH("Servicing [unit]",'vehicles specifications'!$B$2:$CK$2,0))</f>
        <v>1</v>
      </c>
    </row>
    <row r="232" spans="1:2" x14ac:dyDescent="0.3">
      <c r="A232" t="s">
        <v>135</v>
      </c>
      <c r="B232">
        <f>INDEX('vehicles specifications'!$B$3:$CK$86,MATCH(B224,'vehicles specifications'!$A$3:$A$86,0),MATCH("Energy battery replacement [unit]",'vehicles specifications'!$B$2:$CK$2,0))</f>
        <v>0.5</v>
      </c>
    </row>
    <row r="233" spans="1:2" x14ac:dyDescent="0.3">
      <c r="A233" t="s">
        <v>136</v>
      </c>
      <c r="B233">
        <f>INDEX('vehicles specifications'!$B$3:$CK$86,MATCH(B224,'vehicles specifications'!$A$3:$A$86,0),MATCH("Annual kilometers [km]",'vehicles specifications'!$B$2:$CK$2,0))</f>
        <v>2731</v>
      </c>
    </row>
    <row r="234" spans="1:2" x14ac:dyDescent="0.3">
      <c r="A234" t="s">
        <v>137</v>
      </c>
      <c r="B234" s="2">
        <f>INDEX('vehicles specifications'!$B$3:$CK$86,MATCH(B224,'vehicles specifications'!$A$3:$A$86,0),MATCH("Curb mass [kg]",'vehicles specifications'!$B$2:$CK$2,0))</f>
        <v>130.28</v>
      </c>
    </row>
    <row r="235" spans="1:2" x14ac:dyDescent="0.3">
      <c r="A235" t="s">
        <v>138</v>
      </c>
      <c r="B235">
        <f>INDEX('vehicles specifications'!$B$3:$CK$86,MATCH(B224,'vehicles specifications'!$A$3:$A$86,0),MATCH("Power [kW]",'vehicles specifications'!$B$2:$CK$2,0))</f>
        <v>6.1</v>
      </c>
    </row>
    <row r="236" spans="1:2" x14ac:dyDescent="0.3">
      <c r="A236" t="s">
        <v>139</v>
      </c>
      <c r="B236">
        <f>INDEX('vehicles specifications'!$B$3:$CK$86,MATCH(B224,'vehicles specifications'!$A$3:$A$86,0),MATCH("Energy battery mass [kg]",'vehicles specifications'!$B$2:$CK$2,0))</f>
        <v>22.8</v>
      </c>
    </row>
    <row r="237" spans="1:2" x14ac:dyDescent="0.3">
      <c r="A237" t="s">
        <v>140</v>
      </c>
      <c r="B237">
        <f>INDEX('vehicles specifications'!$B$3:$CK$86,MATCH(B224,'vehicles specifications'!$A$3:$A$86,0),MATCH("Electric energy stored [kWh]",'vehicles specifications'!$B$2:$CK$2,0))</f>
        <v>5.7</v>
      </c>
    </row>
    <row r="238" spans="1:2" s="21" customFormat="1" x14ac:dyDescent="0.3">
      <c r="A238" s="21" t="s">
        <v>654</v>
      </c>
      <c r="B238" s="21">
        <f>INDEX('vehicles specifications'!$B$3:$CK$86,MATCH(B224,'vehicles specifications'!$A$3:$A$86,0),MATCH("Electric energy available [kWh]",'vehicles specifications'!$B$2:$CK$2,0))</f>
        <v>4.5600000000000005</v>
      </c>
    </row>
    <row r="239" spans="1:2" x14ac:dyDescent="0.3">
      <c r="A239" t="s">
        <v>143</v>
      </c>
      <c r="B239" s="2">
        <f>INDEX('vehicles specifications'!$B$3:$CK$86,MATCH(B224,'vehicles specifications'!$A$3:$A$86,0),MATCH("Oxydation energy stored [kWh]",'vehicles specifications'!$B$2:$CK$2,0))</f>
        <v>0</v>
      </c>
    </row>
    <row r="240" spans="1:2" x14ac:dyDescent="0.3">
      <c r="A240" t="s">
        <v>145</v>
      </c>
      <c r="B240">
        <f>INDEX('vehicles specifications'!$B$3:$CK$86,MATCH(B224,'vehicles specifications'!$A$3:$A$86,0),MATCH("Fuel mass [kg]",'vehicles specifications'!$B$2:$CK$2,0))</f>
        <v>0</v>
      </c>
    </row>
    <row r="241" spans="1:8" x14ac:dyDescent="0.3">
      <c r="A241" t="s">
        <v>141</v>
      </c>
      <c r="B241" s="2">
        <f>INDEX('vehicles specifications'!$B$3:$CK$86,MATCH(B224,'vehicles specifications'!$A$3:$A$86,0),MATCH("Range [km]",'vehicles specifications'!$B$2:$CK$2,0))</f>
        <v>86.666860236806102</v>
      </c>
    </row>
    <row r="242" spans="1:8" x14ac:dyDescent="0.3">
      <c r="A242" t="s">
        <v>142</v>
      </c>
      <c r="B242" t="str">
        <f>INDEX('vehicles specifications'!$B$3:$CK$86,MATCH(B224,'vehicles specifications'!$A$3:$A$86,0),MATCH("Emission standard",'vehicles specifications'!$B$2:$CK$2,0))</f>
        <v>None</v>
      </c>
    </row>
    <row r="243" spans="1:8" x14ac:dyDescent="0.3">
      <c r="A243" t="s">
        <v>144</v>
      </c>
      <c r="B243" s="6">
        <f>INDEX('vehicles specifications'!$B$3:$CK$86,MATCH(B224,'vehicles specifications'!$A$3:$A$86,0),MATCH("Lightweighting rate [%]",'vehicles specifications'!$B$2:$CK$2,0))</f>
        <v>0.03</v>
      </c>
    </row>
    <row r="244" spans="1:8" x14ac:dyDescent="0.3">
      <c r="A244"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"&amp;B228</f>
        <v>Power: 6.1 kW. Lifetime: 39800 km. Annual kilometers: 2731 km. Number of passengers: 1. Curb mass: 130.3 kg. Lightweighting of glider: 3%. Emission standard: None. Service visits throughout lifetime: 1. Range: 87 km. Battery capacity: 5.7 kWh. Available battery capacity: 4.56 kWh. Battery mass: 22.8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5" spans="1:8" ht="15.6" x14ac:dyDescent="0.3">
      <c r="A245" s="11" t="s">
        <v>80</v>
      </c>
    </row>
    <row r="246" spans="1:8" x14ac:dyDescent="0.3">
      <c r="A246" t="s">
        <v>81</v>
      </c>
      <c r="B246" t="s">
        <v>82</v>
      </c>
      <c r="C246" t="s">
        <v>73</v>
      </c>
      <c r="D246" t="s">
        <v>77</v>
      </c>
      <c r="E246" t="s">
        <v>83</v>
      </c>
      <c r="F246" t="s">
        <v>75</v>
      </c>
      <c r="G246" t="s">
        <v>84</v>
      </c>
      <c r="H246" t="s">
        <v>74</v>
      </c>
    </row>
    <row r="247" spans="1:8" x14ac:dyDescent="0.3">
      <c r="A247" s="12" t="str">
        <f>B219</f>
        <v>transport, Scooter, electric, 4-11kW, 2030</v>
      </c>
      <c r="B247" s="12">
        <v>1</v>
      </c>
      <c r="C247" s="12" t="str">
        <f>B220</f>
        <v>CH</v>
      </c>
      <c r="D247" s="12" t="s">
        <v>172</v>
      </c>
      <c r="E247" s="12"/>
      <c r="F247" s="12" t="s">
        <v>85</v>
      </c>
      <c r="G247" s="12" t="s">
        <v>86</v>
      </c>
      <c r="H247" s="12" t="str">
        <f>B225</f>
        <v>transport, Scooter, electric, 4-11kW</v>
      </c>
    </row>
    <row r="248" spans="1:8" x14ac:dyDescent="0.3">
      <c r="A248" s="12" t="str">
        <f>RIGHT(A247,LEN(A247)-11)</f>
        <v>Scooter, electric, 4-11kW, 2030</v>
      </c>
      <c r="B248" s="12">
        <f>1/B229</f>
        <v>2.5125628140703518E-5</v>
      </c>
      <c r="C248" s="12" t="str">
        <f>B220</f>
        <v>CH</v>
      </c>
      <c r="D248" s="12" t="s">
        <v>77</v>
      </c>
      <c r="E248" s="12"/>
      <c r="F248" s="12" t="s">
        <v>91</v>
      </c>
      <c r="G248" s="12"/>
      <c r="H248" s="12" t="str">
        <f>RIGHT(H247,LEN(H247)-11)</f>
        <v>Scooter, electric, 4-11kW</v>
      </c>
    </row>
    <row r="249" spans="1:8" s="21" customFormat="1" x14ac:dyDescent="0.3">
      <c r="A249" s="12" t="str">
        <f>INDEX('ei names mapping'!$B$4:$R$33,MATCH(B221,'ei names mapping'!$A$4:$A$33,0),MATCH(G249,'ei names mapping'!$B$3:$R$3,0))</f>
        <v>road construction</v>
      </c>
      <c r="B249" s="16">
        <f>INDEX('vehicles specifications'!$B$3:$CK$86,MATCH(B224,'vehicles specifications'!$A$3:$A$86,0),MATCH(G249,'vehicles specifications'!$B$2:$CK$2,0))*INDEX('ei names mapping'!$B$137:$BK$220,MATCH(B224,'ei names mapping'!$A$137:$A$220,0),MATCH(G249,'ei names mapping'!$B$136:$BK$136,0))</f>
        <v>1.0969836E-4</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s="21" t="s">
        <v>108</v>
      </c>
      <c r="H249" s="12" t="str">
        <f>INDEX('ei names mapping'!$B$71:$BK$100,MATCH(B221,'ei names mapping'!$A$4:$A$33,0),MATCH(G249,'ei names mapping'!$B$3:$BK$3,0))</f>
        <v>road</v>
      </c>
    </row>
    <row r="250" spans="1:8" x14ac:dyDescent="0.3">
      <c r="A250" s="12" t="str">
        <f>INDEX('ei names mapping'!$B$4:$R$33,MATCH(B221,'ei names mapping'!$A$4:$A$33,0),MATCH(G250,'ei names mapping'!$B$3:$R$3,0))</f>
        <v>road maintenance</v>
      </c>
      <c r="B250" s="16">
        <f>INDEX('vehicles specifications'!$B$3:$CK$86,MATCH(B224,'vehicles specifications'!$A$3:$A$86,0),MATCH(G250,'vehicles specifications'!$B$2:$CK$2,0))*INDEX('ei names mapping'!$B$137:$BK$220,MATCH(B224,'ei names mapping'!$A$137:$A$220,0),MATCH(G250,'ei names mapping'!$B$136:$BK$136,0))</f>
        <v>1.2899999999999999E-3</v>
      </c>
      <c r="C250" s="12" t="str">
        <f>INDEX('ei names mapping'!$B$38:$R$67,MATCH(B221,'ei names mapping'!$A$4:$A$33,0),MATCH(G250,'ei names mapping'!$B$3:$R$3,0))</f>
        <v>CH</v>
      </c>
      <c r="D250" s="12" t="str">
        <f>INDEX('ei names mapping'!$B$104:$BK$133,MATCH(B221,'ei names mapping'!$A$4:$A$33,0),MATCH(G250,'ei names mapping'!$B$3:$BK$3,0))</f>
        <v>meter-year</v>
      </c>
      <c r="E250" s="12"/>
      <c r="F250" s="12" t="s">
        <v>91</v>
      </c>
      <c r="G250" t="s">
        <v>117</v>
      </c>
      <c r="H250" s="12" t="str">
        <f>INDEX('ei names mapping'!$B$71:$BK$100,MATCH(B221,'ei names mapping'!$A$4:$A$33,0),MATCH(G250,'ei names mapping'!$B$3:$BK$3,0))</f>
        <v>road maintenance</v>
      </c>
    </row>
    <row r="251" spans="1:8" x14ac:dyDescent="0.3">
      <c r="A251" s="12" t="str">
        <f>INDEX('ei names mapping'!$B$4:$R$33,MATCH(B221,'ei names mapping'!$A$4:$A$33,0),MATCH(G251,'ei names mapping'!$B$3:$R$3,0))</f>
        <v>market for electricity, low voltage</v>
      </c>
      <c r="B251" s="14">
        <f>INDEX('vehicles specifications'!$B$3:$CK$86,MATCH(B224,'vehicles specifications'!$A$3:$A$86,0),MATCH(G251,'vehicles specifications'!$B$2:$CK$2,0))*INDEX('ei names mapping'!$B$137:$BK$220,MATCH(B224,'ei names mapping'!$A$137:$A$220,0),MATCH(G251,'ei names mapping'!$B$136:$BK$136,0))</f>
        <v>5.7876793809010993E-2</v>
      </c>
      <c r="C251" s="12" t="str">
        <f>INDEX('ei names mapping'!$B$38:$R$67,MATCH($B$3,'ei names mapping'!$A$4:$A$33,0),MATCH(G251,'ei names mapping'!$B$3:$R$3,0))</f>
        <v>CH</v>
      </c>
      <c r="D251" s="12" t="str">
        <f>INDEX('ei names mapping'!$B$104:$R$133,MATCH($B$3,'ei names mapping'!$A$4:$A$33,0),MATCH(G251,'ei names mapping'!$B$3:$R$3,0))</f>
        <v>kilowatt hour</v>
      </c>
      <c r="E251" s="12"/>
      <c r="F251" s="12" t="s">
        <v>91</v>
      </c>
      <c r="G251" t="s">
        <v>28</v>
      </c>
      <c r="H251" s="12" t="str">
        <f>INDEX('ei names mapping'!$B$71:$R$100,MATCH(B221,'ei names mapping'!$A$4:$A$33,0),MATCH(G251,'ei names mapping'!$B$3:$R$3,0))</f>
        <v>electricity, low voltage</v>
      </c>
    </row>
    <row r="252" spans="1:8" x14ac:dyDescent="0.3">
      <c r="A252" s="12" t="str">
        <f>INDEX('ei names mapping'!$B$4:$R$33,MATCH(B221,'ei names mapping'!$A$4:$A$33,0),MATCH(G252,'ei names mapping'!$B$3:$R$3,0))</f>
        <v>market for maintenance, electric scooter, without battery</v>
      </c>
      <c r="B252" s="16">
        <f>INDEX('vehicles specifications'!$B$3:$CK$86,MATCH(B224,'vehicles specifications'!$A$3:$A$86,0),MATCH(G252,'vehicles specifications'!$B$2:$CK$2,0))*INDEX('ei names mapping'!$B$137:$BK$220,MATCH(B224,'ei names mapping'!$A$137:$A$220,0),MATCH(G252,'ei names mapping'!$B$136:$BK$136,0))</f>
        <v>2.5125628140703518E-5</v>
      </c>
      <c r="C252" s="12" t="str">
        <f>INDEX('ei names mapping'!$B$38:$BK$67,MATCH(B221,'ei names mapping'!$A$4:$A$33,0),MATCH(G252,'ei names mapping'!$B$3:$BK$3,0))</f>
        <v>GLO</v>
      </c>
      <c r="D252" s="12" t="str">
        <f>INDEX('ei names mapping'!$B$104:$BK$133,MATCH(B221,'ei names mapping'!$A$4:$A$33,0),MATCH(G252,'ei names mapping'!$B$3:$BK$3,0))</f>
        <v>unit</v>
      </c>
      <c r="F252" s="12" t="s">
        <v>91</v>
      </c>
      <c r="G252" s="12" t="s">
        <v>123</v>
      </c>
      <c r="H252" s="12" t="str">
        <f>INDEX('ei names mapping'!$B$71:$BK$100,MATCH(B221,'ei names mapping'!$A$4:$A$33,0),MATCH(G252,'ei names mapping'!$B$3:$BK$3,0))</f>
        <v>maintenance, electric scooter, without battery</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-6.3939999999999993E-6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-3.0894999999999998E-6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Scooter, electric, 4-11kW, 2040</v>
      </c>
    </row>
    <row r="258" spans="1:2" x14ac:dyDescent="0.3">
      <c r="A258" t="s">
        <v>73</v>
      </c>
      <c r="B258" t="s">
        <v>37</v>
      </c>
    </row>
    <row r="259" spans="1:2" x14ac:dyDescent="0.3">
      <c r="A259" t="s">
        <v>87</v>
      </c>
      <c r="B259" s="21" t="s">
        <v>631</v>
      </c>
    </row>
    <row r="260" spans="1:2" x14ac:dyDescent="0.3">
      <c r="A260" t="s">
        <v>88</v>
      </c>
      <c r="B260" s="12"/>
    </row>
    <row r="261" spans="1:2" x14ac:dyDescent="0.3">
      <c r="A261" t="s">
        <v>89</v>
      </c>
      <c r="B261" s="12">
        <v>2040</v>
      </c>
    </row>
    <row r="262" spans="1:2" x14ac:dyDescent="0.3">
      <c r="A262" t="s">
        <v>131</v>
      </c>
      <c r="B262" s="12" t="str">
        <f>B259&amp;" - "&amp;B261&amp;" - "&amp;B258</f>
        <v>Scooter, electric, 4-11kW - 2040 - CH</v>
      </c>
    </row>
    <row r="263" spans="1:2" x14ac:dyDescent="0.3">
      <c r="A263" t="s">
        <v>74</v>
      </c>
      <c r="B263" s="12" t="str">
        <f>"transport, "&amp;B259</f>
        <v>transport, Scooter, electric, 4-11kW</v>
      </c>
    </row>
    <row r="264" spans="1:2" x14ac:dyDescent="0.3">
      <c r="A264" t="s">
        <v>75</v>
      </c>
      <c r="B264" t="s">
        <v>76</v>
      </c>
    </row>
    <row r="265" spans="1:2" x14ac:dyDescent="0.3">
      <c r="A265" t="s">
        <v>77</v>
      </c>
      <c r="B265" t="s">
        <v>172</v>
      </c>
    </row>
    <row r="266" spans="1:2" x14ac:dyDescent="0.3">
      <c r="A266" t="s">
        <v>79</v>
      </c>
      <c r="B266" t="s">
        <v>90</v>
      </c>
    </row>
    <row r="267" spans="1:2" x14ac:dyDescent="0.3">
      <c r="A267" t="s">
        <v>132</v>
      </c>
      <c r="B267">
        <f>INDEX('vehicles specifications'!$B$3:$CK$86,MATCH(B262,'vehicles specifications'!$A$3:$A$86,0),MATCH("Lifetime [km]",'vehicles specifications'!$B$2:$CK$2,0))</f>
        <v>39800</v>
      </c>
    </row>
    <row r="268" spans="1:2" x14ac:dyDescent="0.3">
      <c r="A268" t="s">
        <v>133</v>
      </c>
      <c r="B268">
        <f>INDEX('vehicles specifications'!$B$3:$CK$86,MATCH(B262,'vehicles specifications'!$A$3:$A$86,0),MATCH("Passengers [unit]",'vehicles specifications'!$B$2:$CK$2,0))</f>
        <v>1</v>
      </c>
    </row>
    <row r="269" spans="1:2" x14ac:dyDescent="0.3">
      <c r="A269" t="s">
        <v>134</v>
      </c>
      <c r="B269">
        <f>INDEX('vehicles specifications'!$B$3:$CK$86,MATCH(B262,'vehicles specifications'!$A$3:$A$86,0),MATCH("Servicing [unit]",'vehicles specifications'!$B$2:$CK$2,0))</f>
        <v>1</v>
      </c>
    </row>
    <row r="270" spans="1:2" x14ac:dyDescent="0.3">
      <c r="A270" t="s">
        <v>135</v>
      </c>
      <c r="B270">
        <f>INDEX('vehicles specifications'!$B$3:$CK$86,MATCH(B262,'vehicles specifications'!$A$3:$A$86,0),MATCH("Energy battery replacement [unit]",'vehicles specifications'!$B$2:$CK$2,0))</f>
        <v>0.25</v>
      </c>
    </row>
    <row r="271" spans="1:2" x14ac:dyDescent="0.3">
      <c r="A271" t="s">
        <v>136</v>
      </c>
      <c r="B271">
        <f>INDEX('vehicles specifications'!$B$3:$CK$86,MATCH(B262,'vehicles specifications'!$A$3:$A$86,0),MATCH("Annual kilometers [km]",'vehicles specifications'!$B$2:$CK$2,0))</f>
        <v>2731</v>
      </c>
    </row>
    <row r="272" spans="1:2" x14ac:dyDescent="0.3">
      <c r="A272" t="s">
        <v>137</v>
      </c>
      <c r="B272" s="2">
        <f>INDEX('vehicles specifications'!$B$3:$CK$86,MATCH(B262,'vehicles specifications'!$A$3:$A$86,0),MATCH("Curb mass [kg]",'vehicles specifications'!$B$2:$CK$2,0))</f>
        <v>130.39999999999998</v>
      </c>
    </row>
    <row r="273" spans="1:8" x14ac:dyDescent="0.3">
      <c r="A273" t="s">
        <v>138</v>
      </c>
      <c r="B273">
        <f>INDEX('vehicles specifications'!$B$3:$CK$86,MATCH(B262,'vehicles specifications'!$A$3:$A$86,0),MATCH("Power [kW]",'vehicles specifications'!$B$2:$CK$2,0))</f>
        <v>6.1</v>
      </c>
    </row>
    <row r="274" spans="1:8" x14ac:dyDescent="0.3">
      <c r="A274" t="s">
        <v>139</v>
      </c>
      <c r="B274">
        <f>INDEX('vehicles specifications'!$B$3:$CK$86,MATCH(B262,'vehicles specifications'!$A$3:$A$86,0),MATCH("Energy battery mass [kg]",'vehicles specifications'!$B$2:$CK$2,0))</f>
        <v>24.599999999999994</v>
      </c>
    </row>
    <row r="275" spans="1:8" x14ac:dyDescent="0.3">
      <c r="A275" t="s">
        <v>140</v>
      </c>
      <c r="B275">
        <f>INDEX('vehicles specifications'!$B$3:$CK$86,MATCH(B262,'vehicles specifications'!$A$3:$A$86,0),MATCH("Electric energy stored [kWh]",'vehicles specifications'!$B$2:$CK$2,0))</f>
        <v>8.1999999999999993</v>
      </c>
    </row>
    <row r="276" spans="1:8" s="21" customFormat="1" x14ac:dyDescent="0.3">
      <c r="A276" s="21" t="s">
        <v>654</v>
      </c>
      <c r="B276" s="21">
        <f>INDEX('vehicles specifications'!$B$3:$CK$86,MATCH(B262,'vehicles specifications'!$A$3:$A$86,0),MATCH("Electric energy available [kWh]",'vehicles specifications'!$B$2:$CK$2,0))</f>
        <v>6.56</v>
      </c>
    </row>
    <row r="277" spans="1:8" x14ac:dyDescent="0.3">
      <c r="A277" t="s">
        <v>143</v>
      </c>
      <c r="B277" s="2">
        <f>INDEX('vehicles specifications'!$B$3:$CK$86,MATCH(B262,'vehicles specifications'!$A$3:$A$86,0),MATCH("Oxydation energy stored [kWh]",'vehicles specifications'!$B$2:$CK$2,0))</f>
        <v>0</v>
      </c>
    </row>
    <row r="278" spans="1:8" x14ac:dyDescent="0.3">
      <c r="A278" t="s">
        <v>145</v>
      </c>
      <c r="B278">
        <f>INDEX('vehicles specifications'!$B$3:$CK$86,MATCH(B262,'vehicles specifications'!$A$3:$A$86,0),MATCH("Fuel mass [kg]",'vehicles specifications'!$B$2:$CK$2,0))</f>
        <v>0</v>
      </c>
    </row>
    <row r="279" spans="1:8" x14ac:dyDescent="0.3">
      <c r="A279" t="s">
        <v>141</v>
      </c>
      <c r="B279" s="2">
        <f>INDEX('vehicles specifications'!$B$3:$CK$86,MATCH(B262,'vehicles specifications'!$A$3:$A$86,0),MATCH("Range [km]",'vehicles specifications'!$B$2:$CK$2,0))</f>
        <v>124.6786410424228</v>
      </c>
    </row>
    <row r="280" spans="1:8" x14ac:dyDescent="0.3">
      <c r="A280" t="s">
        <v>142</v>
      </c>
      <c r="B280" t="str">
        <f>INDEX('vehicles specifications'!$B$3:$CK$86,MATCH(B262,'vehicles specifications'!$A$3:$A$86,0),MATCH("Emission standard",'vehicles specifications'!$B$2:$CK$2,0))</f>
        <v>None</v>
      </c>
    </row>
    <row r="281" spans="1:8" x14ac:dyDescent="0.3">
      <c r="A281" t="s">
        <v>144</v>
      </c>
      <c r="B281" s="6">
        <f>INDEX('vehicles specifications'!$B$3:$CK$86,MATCH(B262,'vehicles specifications'!$A$3:$A$86,0),MATCH("Lightweighting rate [%]",'vehicles specifications'!$B$2:$CK$2,0))</f>
        <v>0.05</v>
      </c>
    </row>
    <row r="282" spans="1:8" x14ac:dyDescent="0.3">
      <c r="A282"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"&amp;B266</f>
        <v>Power: 6.1 kW. Lifetime: 39800 km. Annual kilometers: 2731 km. Number of passengers: 1. Curb mass: 130.4 kg. Lightweighting of glider: 5%. Emission standard: None. Service visits throughout lifetime: 1. Range: 125 km. Battery capacity: 8.2 kWh. Available battery capacity: 6.56 kWh. Battery mass: 24.6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83" spans="1:8" ht="15.6" x14ac:dyDescent="0.3">
      <c r="A283" s="11" t="s">
        <v>80</v>
      </c>
    </row>
    <row r="284" spans="1:8" x14ac:dyDescent="0.3">
      <c r="A284" t="s">
        <v>81</v>
      </c>
      <c r="B284" t="s">
        <v>82</v>
      </c>
      <c r="C284" t="s">
        <v>73</v>
      </c>
      <c r="D284" t="s">
        <v>77</v>
      </c>
      <c r="E284" t="s">
        <v>83</v>
      </c>
      <c r="F284" t="s">
        <v>75</v>
      </c>
      <c r="G284" t="s">
        <v>84</v>
      </c>
      <c r="H284" t="s">
        <v>74</v>
      </c>
    </row>
    <row r="285" spans="1:8" x14ac:dyDescent="0.3">
      <c r="A285" s="12" t="str">
        <f>B257</f>
        <v>transport, Scooter, electric, 4-11kW, 2040</v>
      </c>
      <c r="B285" s="12">
        <v>1</v>
      </c>
      <c r="C285" s="12" t="str">
        <f>B258</f>
        <v>CH</v>
      </c>
      <c r="D285" s="12" t="s">
        <v>172</v>
      </c>
      <c r="E285" s="12"/>
      <c r="F285" s="12" t="s">
        <v>85</v>
      </c>
      <c r="G285" s="12" t="s">
        <v>86</v>
      </c>
      <c r="H285" s="12" t="str">
        <f>B263</f>
        <v>transport, Scooter, electric, 4-11kW</v>
      </c>
    </row>
    <row r="286" spans="1:8" x14ac:dyDescent="0.3">
      <c r="A286" s="12" t="str">
        <f>RIGHT(A285,LEN(A285)-11)</f>
        <v>Scooter, electric, 4-11kW, 2040</v>
      </c>
      <c r="B286" s="12">
        <f>1/B267</f>
        <v>2.5125628140703518E-5</v>
      </c>
      <c r="C286" s="12" t="str">
        <f>B258</f>
        <v>CH</v>
      </c>
      <c r="D286" s="12" t="s">
        <v>77</v>
      </c>
      <c r="E286" s="12"/>
      <c r="F286" s="12" t="s">
        <v>91</v>
      </c>
      <c r="G286" s="12"/>
      <c r="H286" s="12" t="str">
        <f>RIGHT(H285,LEN(H285)-11)</f>
        <v>Scooter, electric, 4-11kW</v>
      </c>
    </row>
    <row r="287" spans="1:8" s="21" customFormat="1" x14ac:dyDescent="0.3">
      <c r="A287" s="12" t="str">
        <f>INDEX('ei names mapping'!$B$4:$R$33,MATCH(B259,'ei names mapping'!$A$4:$A$33,0),MATCH(G287,'ei names mapping'!$B$3:$R$3,0))</f>
        <v>road construction</v>
      </c>
      <c r="B287" s="16">
        <f>INDEX('vehicles specifications'!$B$3:$CK$86,MATCH(B262,'vehicles specifications'!$A$3:$A$86,0),MATCH(G287,'vehicles specifications'!$B$2:$CK$2,0))*INDEX('ei names mapping'!$B$137:$BK$220,MATCH(B262,'ei names mapping'!$A$137:$A$220,0),MATCH(G287,'ei names mapping'!$B$136:$BK$136,0))</f>
        <v>1.0976279999999999E-4</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s="21" t="s">
        <v>108</v>
      </c>
      <c r="H287" s="12" t="str">
        <f>INDEX('ei names mapping'!$B$71:$BK$100,MATCH(B259,'ei names mapping'!$A$4:$A$33,0),MATCH(G287,'ei names mapping'!$B$3:$BK$3,0))</f>
        <v>road</v>
      </c>
    </row>
    <row r="288" spans="1:8" x14ac:dyDescent="0.3">
      <c r="A288" s="12" t="str">
        <f>INDEX('ei names mapping'!$B$4:$R$33,MATCH(B259,'ei names mapping'!$A$4:$A$33,0),MATCH(G288,'ei names mapping'!$B$3:$R$3,0))</f>
        <v>road maintenance</v>
      </c>
      <c r="B288" s="16">
        <f>INDEX('vehicles specifications'!$B$3:$CK$86,MATCH(B262,'vehicles specifications'!$A$3:$A$86,0),MATCH(G288,'vehicles specifications'!$B$2:$CK$2,0))*INDEX('ei names mapping'!$B$137:$BK$220,MATCH(B262,'ei names mapping'!$A$137:$A$220,0),MATCH(G288,'ei names mapping'!$B$136:$BK$136,0))</f>
        <v>1.2899999999999999E-3</v>
      </c>
      <c r="C288" s="12" t="str">
        <f>INDEX('ei names mapping'!$B$38:$R$67,MATCH(B259,'ei names mapping'!$A$4:$A$33,0),MATCH(G288,'ei names mapping'!$B$3:$R$3,0))</f>
        <v>CH</v>
      </c>
      <c r="D288" s="12" t="str">
        <f>INDEX('ei names mapping'!$B$104:$BK$133,MATCH(B259,'ei names mapping'!$A$4:$A$33,0),MATCH(G288,'ei names mapping'!$B$3:$BK$3,0))</f>
        <v>meter-year</v>
      </c>
      <c r="E288" s="12"/>
      <c r="F288" s="12" t="s">
        <v>91</v>
      </c>
      <c r="G288" t="s">
        <v>117</v>
      </c>
      <c r="H288" s="12" t="str">
        <f>INDEX('ei names mapping'!$B$71:$BK$100,MATCH(B259,'ei names mapping'!$A$4:$A$33,0),MATCH(G288,'ei names mapping'!$B$3:$BK$3,0))</f>
        <v>road maintenance</v>
      </c>
    </row>
    <row r="289" spans="1:8" x14ac:dyDescent="0.3">
      <c r="A289" s="12" t="str">
        <f>INDEX('ei names mapping'!$B$4:$R$33,MATCH(B259,'ei names mapping'!$A$4:$A$33,0),MATCH(G289,'ei names mapping'!$B$3:$R$3,0))</f>
        <v>market for electricity, low voltage</v>
      </c>
      <c r="B289" s="14">
        <f>INDEX('vehicles specifications'!$B$3:$CK$86,MATCH(B262,'vehicles specifications'!$A$3:$A$86,0),MATCH(G289,'vehicles specifications'!$B$2:$CK$2,0))*INDEX('ei names mapping'!$B$137:$BK$220,MATCH(B262,'ei names mapping'!$A$137:$A$220,0),MATCH(G289,'ei names mapping'!$B$136:$BK$136,0))</f>
        <v>5.7876793809010993E-2</v>
      </c>
      <c r="C289" s="12" t="str">
        <f>INDEX('ei names mapping'!$B$38:$R$67,MATCH($B$3,'ei names mapping'!$A$4:$A$33,0),MATCH(G289,'ei names mapping'!$B$3:$R$3,0))</f>
        <v>CH</v>
      </c>
      <c r="D289" s="12" t="str">
        <f>INDEX('ei names mapping'!$B$104:$R$133,MATCH($B$3,'ei names mapping'!$A$4:$A$33,0),MATCH(G289,'ei names mapping'!$B$3:$R$3,0))</f>
        <v>kilowatt hour</v>
      </c>
      <c r="E289" s="12"/>
      <c r="F289" s="12" t="s">
        <v>91</v>
      </c>
      <c r="G289" t="s">
        <v>28</v>
      </c>
      <c r="H289" s="12" t="str">
        <f>INDEX('ei names mapping'!$B$71:$R$100,MATCH(B259,'ei names mapping'!$A$4:$A$33,0),MATCH(G289,'ei names mapping'!$B$3:$R$3,0))</f>
        <v>electricity, low voltage</v>
      </c>
    </row>
    <row r="290" spans="1:8" x14ac:dyDescent="0.3">
      <c r="A290" s="12" t="str">
        <f>INDEX('ei names mapping'!$B$4:$R$33,MATCH(B259,'ei names mapping'!$A$4:$A$33,0),MATCH(G290,'ei names mapping'!$B$3:$R$3,0))</f>
        <v>market for maintenance, electric scooter, without battery</v>
      </c>
      <c r="B290" s="16">
        <f>INDEX('vehicles specifications'!$B$3:$CK$86,MATCH(B262,'vehicles specifications'!$A$3:$A$86,0),MATCH(G290,'vehicles specifications'!$B$2:$CK$2,0))*INDEX('ei names mapping'!$B$137:$BK$220,MATCH(B262,'ei names mapping'!$A$137:$A$220,0),MATCH(G290,'ei names mapping'!$B$136:$BK$136,0))</f>
        <v>2.5125628140703518E-5</v>
      </c>
      <c r="C290" s="12" t="str">
        <f>INDEX('ei names mapping'!$B$38:$BK$67,MATCH(B259,'ei names mapping'!$A$4:$A$33,0),MATCH(G290,'ei names mapping'!$B$3:$BK$3,0))</f>
        <v>GLO</v>
      </c>
      <c r="D290" s="12" t="str">
        <f>INDEX('ei names mapping'!$B$104:$BK$133,MATCH(B259,'ei names mapping'!$A$4:$A$33,0),MATCH(G290,'ei names mapping'!$B$3:$BK$3,0))</f>
        <v>unit</v>
      </c>
      <c r="F290" s="12" t="s">
        <v>91</v>
      </c>
      <c r="G290" s="12" t="s">
        <v>123</v>
      </c>
      <c r="H290" s="12" t="str">
        <f>INDEX('ei names mapping'!$B$71:$BK$100,MATCH(B259,'ei names mapping'!$A$4:$A$33,0),MATCH(G290,'ei names mapping'!$B$3:$BK$3,0))</f>
        <v>maintenance, electric scooter, without battery</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-6.3939999999999993E-6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-3.0894999999999998E-6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Scooter, electric, 4-11kW, 2050</v>
      </c>
    </row>
    <row r="296" spans="1:8" x14ac:dyDescent="0.3">
      <c r="A296" t="s">
        <v>73</v>
      </c>
      <c r="B296" t="s">
        <v>37</v>
      </c>
    </row>
    <row r="297" spans="1:8" x14ac:dyDescent="0.3">
      <c r="A297" t="s">
        <v>87</v>
      </c>
      <c r="B297" s="21" t="s">
        <v>631</v>
      </c>
    </row>
    <row r="298" spans="1:8" x14ac:dyDescent="0.3">
      <c r="A298" t="s">
        <v>88</v>
      </c>
      <c r="B298" s="12"/>
    </row>
    <row r="299" spans="1:8" x14ac:dyDescent="0.3">
      <c r="A299" t="s">
        <v>89</v>
      </c>
      <c r="B299" s="12">
        <v>2050</v>
      </c>
    </row>
    <row r="300" spans="1:8" x14ac:dyDescent="0.3">
      <c r="A300" t="s">
        <v>131</v>
      </c>
      <c r="B300" s="12" t="str">
        <f>B297&amp;" - "&amp;B299&amp;" - "&amp;B296</f>
        <v>Scooter, electric, 4-11kW - 2050 - CH</v>
      </c>
    </row>
    <row r="301" spans="1:8" x14ac:dyDescent="0.3">
      <c r="A301" t="s">
        <v>74</v>
      </c>
      <c r="B301" s="12" t="str">
        <f>"transport, "&amp;B297</f>
        <v>transport, Scooter, electric, 4-11kW</v>
      </c>
    </row>
    <row r="302" spans="1:8" x14ac:dyDescent="0.3">
      <c r="A302" t="s">
        <v>75</v>
      </c>
      <c r="B302" t="s">
        <v>76</v>
      </c>
    </row>
    <row r="303" spans="1:8" x14ac:dyDescent="0.3">
      <c r="A303" t="s">
        <v>77</v>
      </c>
      <c r="B303" t="s">
        <v>172</v>
      </c>
    </row>
    <row r="304" spans="1:8" x14ac:dyDescent="0.3">
      <c r="A304" t="s">
        <v>79</v>
      </c>
      <c r="B304" t="s">
        <v>90</v>
      </c>
    </row>
    <row r="305" spans="1:2" x14ac:dyDescent="0.3">
      <c r="A305" t="s">
        <v>132</v>
      </c>
      <c r="B305">
        <f>INDEX('vehicles specifications'!$B$3:$CK$86,MATCH(B300,'vehicles specifications'!$A$3:$A$86,0),MATCH("Lifetime [km]",'vehicles specifications'!$B$2:$CK$2,0))</f>
        <v>39800</v>
      </c>
    </row>
    <row r="306" spans="1:2" x14ac:dyDescent="0.3">
      <c r="A306" t="s">
        <v>133</v>
      </c>
      <c r="B306">
        <f>INDEX('vehicles specifications'!$B$3:$CK$86,MATCH(B300,'vehicles specifications'!$A$3:$A$86,0),MATCH("Passengers [unit]",'vehicles specifications'!$B$2:$CK$2,0))</f>
        <v>1</v>
      </c>
    </row>
    <row r="307" spans="1:2" x14ac:dyDescent="0.3">
      <c r="A307" t="s">
        <v>134</v>
      </c>
      <c r="B307">
        <f>INDEX('vehicles specifications'!$B$3:$CK$86,MATCH(B300,'vehicles specifications'!$A$3:$A$86,0),MATCH("Servicing [unit]",'vehicles specifications'!$B$2:$CK$2,0))</f>
        <v>1</v>
      </c>
    </row>
    <row r="308" spans="1:2" x14ac:dyDescent="0.3">
      <c r="A308" t="s">
        <v>135</v>
      </c>
      <c r="B308">
        <f>INDEX('vehicles specifications'!$B$3:$CK$86,MATCH(B300,'vehicles specifications'!$A$3:$A$86,0),MATCH("Energy battery replacement [unit]",'vehicles specifications'!$B$2:$CK$2,0))</f>
        <v>0</v>
      </c>
    </row>
    <row r="309" spans="1:2" x14ac:dyDescent="0.3">
      <c r="A309" t="s">
        <v>136</v>
      </c>
      <c r="B309">
        <f>INDEX('vehicles specifications'!$B$3:$CK$86,MATCH(B300,'vehicles specifications'!$A$3:$A$86,0),MATCH("Annual kilometers [km]",'vehicles specifications'!$B$2:$CK$2,0))</f>
        <v>2731</v>
      </c>
    </row>
    <row r="310" spans="1:2" x14ac:dyDescent="0.3">
      <c r="A310" t="s">
        <v>137</v>
      </c>
      <c r="B310" s="2">
        <f>INDEX('vehicles specifications'!$B$3:$CK$86,MATCH(B300,'vehicles specifications'!$A$3:$A$86,0),MATCH("Curb mass [kg]",'vehicles specifications'!$B$2:$CK$2,0))</f>
        <v>130.04</v>
      </c>
    </row>
    <row r="311" spans="1:2" x14ac:dyDescent="0.3">
      <c r="A311" t="s">
        <v>138</v>
      </c>
      <c r="B311">
        <f>INDEX('vehicles specifications'!$B$3:$CK$86,MATCH(B300,'vehicles specifications'!$A$3:$A$86,0),MATCH("Power [kW]",'vehicles specifications'!$B$2:$CK$2,0))</f>
        <v>6.1</v>
      </c>
    </row>
    <row r="312" spans="1:2" x14ac:dyDescent="0.3">
      <c r="A312" t="s">
        <v>139</v>
      </c>
      <c r="B312">
        <f>INDEX('vehicles specifications'!$B$3:$CK$86,MATCH(B300,'vehicles specifications'!$A$3:$A$86,0),MATCH("Energy battery mass [kg]",'vehicles specifications'!$B$2:$CK$2,0))</f>
        <v>25.92</v>
      </c>
    </row>
    <row r="313" spans="1:2" x14ac:dyDescent="0.3">
      <c r="A313" t="s">
        <v>140</v>
      </c>
      <c r="B313">
        <f>INDEX('vehicles specifications'!$B$3:$CK$86,MATCH(B300,'vehicles specifications'!$A$3:$A$86,0),MATCH("Electric energy stored [kWh]",'vehicles specifications'!$B$2:$CK$2,0))</f>
        <v>10.8</v>
      </c>
    </row>
    <row r="314" spans="1:2" s="21" customFormat="1" x14ac:dyDescent="0.3">
      <c r="A314" s="21" t="s">
        <v>654</v>
      </c>
      <c r="B314" s="21">
        <f>INDEX('vehicles specifications'!$B$3:$CK$86,MATCH(B300,'vehicles specifications'!$A$3:$A$86,0),MATCH("Electric energy available [kWh]",'vehicles specifications'!$B$2:$CK$2,0))</f>
        <v>8.64</v>
      </c>
    </row>
    <row r="315" spans="1:2" x14ac:dyDescent="0.3">
      <c r="A315" t="s">
        <v>143</v>
      </c>
      <c r="B315" s="2">
        <f>INDEX('vehicles specifications'!$B$3:$CK$86,MATCH(B300,'vehicles specifications'!$A$3:$A$86,0),MATCH("Oxydation energy stored [kWh]",'vehicles specifications'!$B$2:$CK$2,0))</f>
        <v>0</v>
      </c>
    </row>
    <row r="316" spans="1:2" x14ac:dyDescent="0.3">
      <c r="A316" t="s">
        <v>145</v>
      </c>
      <c r="B316">
        <f>INDEX('vehicles specifications'!$B$3:$CK$86,MATCH(B300,'vehicles specifications'!$A$3:$A$86,0),MATCH("Fuel mass [kg]",'vehicles specifications'!$B$2:$CK$2,0))</f>
        <v>0</v>
      </c>
    </row>
    <row r="317" spans="1:2" x14ac:dyDescent="0.3">
      <c r="A317" t="s">
        <v>141</v>
      </c>
      <c r="B317" s="2">
        <f>INDEX('vehicles specifications'!$B$3:$CK$86,MATCH(B300,'vehicles specifications'!$A$3:$A$86,0),MATCH("Range [km]",'vehicles specifications'!$B$2:$CK$2,0))</f>
        <v>164.21089308026419</v>
      </c>
    </row>
    <row r="318" spans="1:2" x14ac:dyDescent="0.3">
      <c r="A318" t="s">
        <v>142</v>
      </c>
      <c r="B318" t="str">
        <f>INDEX('vehicles specifications'!$B$3:$CK$86,MATCH(B300,'vehicles specifications'!$A$3:$A$86,0),MATCH("Emission standard",'vehicles specifications'!$B$2:$CK$2,0))</f>
        <v>None</v>
      </c>
    </row>
    <row r="319" spans="1:2" x14ac:dyDescent="0.3">
      <c r="A319" t="s">
        <v>144</v>
      </c>
      <c r="B319" s="6">
        <f>INDEX('vehicles specifications'!$B$3:$CK$86,MATCH(B300,'vehicles specifications'!$A$3:$A$86,0),MATCH("Lightweighting rate [%]",'vehicles specifications'!$B$2:$CK$2,0))</f>
        <v>7.0000000000000007E-2</v>
      </c>
    </row>
    <row r="320" spans="1:2" x14ac:dyDescent="0.3">
      <c r="A320"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"&amp;B304</f>
        <v>Power: 6.1 kW. Lifetime: 39800 km. Annual kilometers: 2731 km. Number of passengers: 1. Curb mass: 130 kg. Lightweighting of glider: 7%. Emission standard: None. Service visits throughout lifetime: 1. Range: 164 km. Battery capacity: 10.8 kWh. Available battery capacity: 8.64 kWh. Battery mass: 25.9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1" spans="1:8" ht="15.6" x14ac:dyDescent="0.3">
      <c r="A321" s="11" t="s">
        <v>80</v>
      </c>
    </row>
    <row r="322" spans="1:8" x14ac:dyDescent="0.3">
      <c r="A322" t="s">
        <v>81</v>
      </c>
      <c r="B322" t="s">
        <v>82</v>
      </c>
      <c r="C322" t="s">
        <v>73</v>
      </c>
      <c r="D322" t="s">
        <v>77</v>
      </c>
      <c r="E322" t="s">
        <v>83</v>
      </c>
      <c r="F322" t="s">
        <v>75</v>
      </c>
      <c r="G322" t="s">
        <v>84</v>
      </c>
      <c r="H322" t="s">
        <v>74</v>
      </c>
    </row>
    <row r="323" spans="1:8" x14ac:dyDescent="0.3">
      <c r="A323" s="12" t="str">
        <f>B295</f>
        <v>transport, Scooter, electric, 4-11kW, 2050</v>
      </c>
      <c r="B323" s="12">
        <v>1</v>
      </c>
      <c r="C323" s="12" t="str">
        <f>B296</f>
        <v>CH</v>
      </c>
      <c r="D323" s="12" t="s">
        <v>172</v>
      </c>
      <c r="E323" s="12"/>
      <c r="F323" s="12" t="s">
        <v>85</v>
      </c>
      <c r="G323" s="12" t="s">
        <v>86</v>
      </c>
      <c r="H323" s="12" t="str">
        <f>B301</f>
        <v>transport, Scooter, electric, 4-11kW</v>
      </c>
    </row>
    <row r="324" spans="1:8" x14ac:dyDescent="0.3">
      <c r="A324" s="12" t="str">
        <f>RIGHT(A323,LEN(A323)-11)</f>
        <v>Scooter, electric, 4-11kW, 2050</v>
      </c>
      <c r="B324" s="12">
        <f>1/B305</f>
        <v>2.5125628140703518E-5</v>
      </c>
      <c r="C324" s="12" t="str">
        <f>B296</f>
        <v>CH</v>
      </c>
      <c r="D324" s="12" t="s">
        <v>77</v>
      </c>
      <c r="E324" s="12"/>
      <c r="F324" s="12" t="s">
        <v>91</v>
      </c>
      <c r="G324" s="12"/>
      <c r="H324" s="12" t="str">
        <f>RIGHT(H323,LEN(H323)-11)</f>
        <v>Scooter, electric, 4-11kW</v>
      </c>
    </row>
    <row r="325" spans="1:8" s="21" customFormat="1" x14ac:dyDescent="0.3">
      <c r="A325" s="12" t="str">
        <f>INDEX('ei names mapping'!$B$4:$R$33,MATCH(B297,'ei names mapping'!$A$4:$A$33,0),MATCH(G325,'ei names mapping'!$B$3:$R$3,0))</f>
        <v>road construction</v>
      </c>
      <c r="B325" s="16">
        <f>INDEX('vehicles specifications'!$B$3:$CK$86,MATCH(B300,'vehicles specifications'!$A$3:$A$86,0),MATCH(G325,'vehicles specifications'!$B$2:$CK$2,0))*INDEX('ei names mapping'!$B$137:$BK$220,MATCH(B300,'ei names mapping'!$A$137:$A$220,0),MATCH(G325,'ei names mapping'!$B$136:$BK$136,0))</f>
        <v>1.0956948E-4</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s="21" t="s">
        <v>108</v>
      </c>
      <c r="H325" s="12" t="str">
        <f>INDEX('ei names mapping'!$B$71:$BK$100,MATCH(B297,'ei names mapping'!$A$4:$A$33,0),MATCH(G325,'ei names mapping'!$B$3:$BK$3,0))</f>
        <v>road</v>
      </c>
    </row>
    <row r="326" spans="1:8" x14ac:dyDescent="0.3">
      <c r="A326" s="12" t="str">
        <f>INDEX('ei names mapping'!$B$4:$R$33,MATCH(B297,'ei names mapping'!$A$4:$A$33,0),MATCH(G326,'ei names mapping'!$B$3:$R$3,0))</f>
        <v>road maintenance</v>
      </c>
      <c r="B326" s="16">
        <f>INDEX('vehicles specifications'!$B$3:$CK$86,MATCH(B300,'vehicles specifications'!$A$3:$A$86,0),MATCH(G326,'vehicles specifications'!$B$2:$CK$2,0))*INDEX('ei names mapping'!$B$137:$BK$220,MATCH(B300,'ei names mapping'!$A$137:$A$220,0),MATCH(G326,'ei names mapping'!$B$136:$BK$136,0))</f>
        <v>1.2899999999999999E-3</v>
      </c>
      <c r="C326" s="12" t="str">
        <f>INDEX('ei names mapping'!$B$38:$R$67,MATCH(B297,'ei names mapping'!$A$4:$A$33,0),MATCH(G326,'ei names mapping'!$B$3:$R$3,0))</f>
        <v>CH</v>
      </c>
      <c r="D326" s="12" t="str">
        <f>INDEX('ei names mapping'!$B$104:$BK$133,MATCH(B297,'ei names mapping'!$A$4:$A$33,0),MATCH(G326,'ei names mapping'!$B$3:$BK$3,0))</f>
        <v>meter-year</v>
      </c>
      <c r="E326" s="12"/>
      <c r="F326" s="12" t="s">
        <v>91</v>
      </c>
      <c r="G326" t="s">
        <v>117</v>
      </c>
      <c r="H326" s="12" t="str">
        <f>INDEX('ei names mapping'!$B$71:$BK$100,MATCH(B297,'ei names mapping'!$A$4:$A$33,0),MATCH(G326,'ei names mapping'!$B$3:$BK$3,0))</f>
        <v>road maintenance</v>
      </c>
    </row>
    <row r="327" spans="1:8" x14ac:dyDescent="0.3">
      <c r="A327" s="12" t="str">
        <f>INDEX('ei names mapping'!$B$4:$R$33,MATCH(B297,'ei names mapping'!$A$4:$A$33,0),MATCH(G327,'ei names mapping'!$B$3:$R$3,0))</f>
        <v>market for electricity, low voltage</v>
      </c>
      <c r="B327" s="14">
        <f>INDEX('vehicles specifications'!$B$3:$CK$86,MATCH(B300,'vehicles specifications'!$A$3:$A$86,0),MATCH(G327,'vehicles specifications'!$B$2:$CK$2,0))*INDEX('ei names mapping'!$B$137:$BK$220,MATCH(B300,'ei names mapping'!$A$137:$A$220,0),MATCH(G327,'ei names mapping'!$B$136:$BK$136,0))</f>
        <v>5.7876793809010993E-2</v>
      </c>
      <c r="C327" s="12" t="str">
        <f>INDEX('ei names mapping'!$B$38:$R$67,MATCH($B$3,'ei names mapping'!$A$4:$A$33,0),MATCH(G327,'ei names mapping'!$B$3:$R$3,0))</f>
        <v>CH</v>
      </c>
      <c r="D327" s="12" t="str">
        <f>INDEX('ei names mapping'!$B$104:$R$133,MATCH($B$3,'ei names mapping'!$A$4:$A$33,0),MATCH(G327,'ei names mapping'!$B$3:$R$3,0))</f>
        <v>kilowatt hour</v>
      </c>
      <c r="E327" s="12"/>
      <c r="F327" s="12" t="s">
        <v>91</v>
      </c>
      <c r="G327" t="s">
        <v>28</v>
      </c>
      <c r="H327" s="12" t="str">
        <f>INDEX('ei names mapping'!$B$71:$R$100,MATCH(B297,'ei names mapping'!$A$4:$A$33,0),MATCH(G327,'ei names mapping'!$B$3:$R$3,0))</f>
        <v>electricity, low voltage</v>
      </c>
    </row>
    <row r="328" spans="1:8" x14ac:dyDescent="0.3">
      <c r="A328" s="12" t="str">
        <f>INDEX('ei names mapping'!$B$4:$R$33,MATCH(B297,'ei names mapping'!$A$4:$A$33,0),MATCH(G328,'ei names mapping'!$B$3:$R$3,0))</f>
        <v>market for maintenance, electric scooter, without battery</v>
      </c>
      <c r="B328" s="16">
        <f>INDEX('vehicles specifications'!$B$3:$CK$86,MATCH(B300,'vehicles specifications'!$A$3:$A$86,0),MATCH(G328,'vehicles specifications'!$B$2:$CK$2,0))*INDEX('ei names mapping'!$B$137:$BK$220,MATCH(B300,'ei names mapping'!$A$137:$A$220,0),MATCH(G328,'ei names mapping'!$B$136:$BK$136,0))</f>
        <v>2.5125628140703518E-5</v>
      </c>
      <c r="C328" s="12" t="str">
        <f>INDEX('ei names mapping'!$B$38:$BK$67,MATCH(B297,'ei names mapping'!$A$4:$A$33,0),MATCH(G328,'ei names mapping'!$B$3:$BK$3,0))</f>
        <v>GLO</v>
      </c>
      <c r="D328" s="12" t="str">
        <f>INDEX('ei names mapping'!$B$104:$BK$133,MATCH(B297,'ei names mapping'!$A$4:$A$33,0),MATCH(G328,'ei names mapping'!$B$3:$BK$3,0))</f>
        <v>unit</v>
      </c>
      <c r="F328" s="12" t="s">
        <v>91</v>
      </c>
      <c r="G328" s="12" t="s">
        <v>123</v>
      </c>
      <c r="H328" s="12" t="str">
        <f>INDEX('ei names mapping'!$B$71:$BK$100,MATCH(B297,'ei names mapping'!$A$4:$A$33,0),MATCH(G328,'ei names mapping'!$B$3:$BK$3,0))</f>
        <v>maintenance, electric scooter, without battery</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-6.3939999999999993E-6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-3.0894999999999998E-6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t="s">
        <v>31</v>
      </c>
      <c r="H331" s="12" t="str">
        <f>INDEX('ei names mapping'!$B$71:$BK$100,MATCH(B297,'ei names mapping'!$A$4:$A$33,0),MATCH(G331,'ei names mapping'!$B$3:$BK$3,0))</f>
        <v>brake wear emissions, passenger car</v>
      </c>
    </row>
    <row r="333" spans="1:8" ht="15.6" x14ac:dyDescent="0.3">
      <c r="A333" s="11" t="s">
        <v>72</v>
      </c>
      <c r="B333" s="9" t="str">
        <f>"transport, "&amp;B335&amp;", "&amp;B337&amp;", label-certified electricity"</f>
        <v>transport, Scooter, electric, 4-11kW, 2020, label-certified electricity</v>
      </c>
    </row>
    <row r="334" spans="1:8" x14ac:dyDescent="0.3">
      <c r="A334" t="s">
        <v>73</v>
      </c>
      <c r="B334" t="s">
        <v>37</v>
      </c>
    </row>
    <row r="335" spans="1:8" x14ac:dyDescent="0.3">
      <c r="A335" t="s">
        <v>87</v>
      </c>
      <c r="B335" s="21" t="s">
        <v>631</v>
      </c>
    </row>
    <row r="336" spans="1:8" x14ac:dyDescent="0.3">
      <c r="A336" t="s">
        <v>88</v>
      </c>
      <c r="B336" s="12"/>
    </row>
    <row r="337" spans="1:2" x14ac:dyDescent="0.3">
      <c r="A337" t="s">
        <v>89</v>
      </c>
      <c r="B337" s="12">
        <v>2020</v>
      </c>
    </row>
    <row r="338" spans="1:2" x14ac:dyDescent="0.3">
      <c r="A338" t="s">
        <v>131</v>
      </c>
      <c r="B338" s="12" t="str">
        <f>B335&amp;" - "&amp;B337&amp;" - "&amp;B334</f>
        <v>Scooter, electric, 4-11kW - 2020 - CH</v>
      </c>
    </row>
    <row r="339" spans="1:2" x14ac:dyDescent="0.3">
      <c r="A339" t="s">
        <v>74</v>
      </c>
      <c r="B339" s="12" t="str">
        <f>"transport, "&amp;B335</f>
        <v>transport, Scooter, electric, 4-11kW</v>
      </c>
    </row>
    <row r="340" spans="1:2" x14ac:dyDescent="0.3">
      <c r="A340" t="s">
        <v>75</v>
      </c>
      <c r="B340" t="s">
        <v>76</v>
      </c>
    </row>
    <row r="341" spans="1:2" x14ac:dyDescent="0.3">
      <c r="A341" t="s">
        <v>77</v>
      </c>
      <c r="B341" t="s">
        <v>172</v>
      </c>
    </row>
    <row r="342" spans="1:2" x14ac:dyDescent="0.3">
      <c r="A342" t="s">
        <v>79</v>
      </c>
      <c r="B342" t="s">
        <v>90</v>
      </c>
    </row>
    <row r="343" spans="1:2" x14ac:dyDescent="0.3">
      <c r="A343" t="s">
        <v>132</v>
      </c>
      <c r="B343">
        <f>INDEX('vehicles specifications'!$B$3:$CK$86,MATCH(B338,'vehicles specifications'!$A$3:$A$86,0),MATCH("Lifetime [km]",'vehicles specifications'!$B$2:$CK$2,0))</f>
        <v>39800</v>
      </c>
    </row>
    <row r="344" spans="1:2" x14ac:dyDescent="0.3">
      <c r="A344" t="s">
        <v>133</v>
      </c>
      <c r="B344">
        <f>INDEX('vehicles specifications'!$B$3:$CK$86,MATCH(B338,'vehicles specifications'!$A$3:$A$86,0),MATCH("Passengers [unit]",'vehicles specifications'!$B$2:$CK$2,0))</f>
        <v>1</v>
      </c>
    </row>
    <row r="345" spans="1:2" x14ac:dyDescent="0.3">
      <c r="A345" t="s">
        <v>134</v>
      </c>
      <c r="B345">
        <f>INDEX('vehicles specifications'!$B$3:$CK$86,MATCH(B338,'vehicles specifications'!$A$3:$A$86,0),MATCH("Servicing [unit]",'vehicles specifications'!$B$2:$CK$2,0))</f>
        <v>1</v>
      </c>
    </row>
    <row r="346" spans="1:2" x14ac:dyDescent="0.3">
      <c r="A346" t="s">
        <v>135</v>
      </c>
      <c r="B346">
        <f>INDEX('vehicles specifications'!$B$3:$CK$86,MATCH(B338,'vehicles specifications'!$A$3:$A$86,0),MATCH("Energy battery replacement [unit]",'vehicles specifications'!$B$2:$CK$2,0))</f>
        <v>1</v>
      </c>
    </row>
    <row r="347" spans="1:2" x14ac:dyDescent="0.3">
      <c r="A347" t="s">
        <v>136</v>
      </c>
      <c r="B347">
        <f>INDEX('vehicles specifications'!$B$3:$CK$86,MATCH(B338,'vehicles specifications'!$A$3:$A$86,0),MATCH("Annual kilometers [km]",'vehicles specifications'!$B$2:$CK$2,0))</f>
        <v>2731</v>
      </c>
    </row>
    <row r="348" spans="1:2" x14ac:dyDescent="0.3">
      <c r="A348" t="s">
        <v>137</v>
      </c>
      <c r="B348" s="2">
        <f>INDEX('vehicles specifications'!$B$3:$CK$86,MATCH(B338,'vehicles specifications'!$A$3:$A$86,0),MATCH("Curb mass [kg]",'vehicles specifications'!$B$2:$CK$2,0))</f>
        <v>129.80000000000001</v>
      </c>
    </row>
    <row r="349" spans="1:2" x14ac:dyDescent="0.3">
      <c r="A349" t="s">
        <v>138</v>
      </c>
      <c r="B349">
        <f>INDEX('vehicles specifications'!$B$3:$CK$86,MATCH(B338,'vehicles specifications'!$A$3:$A$86,0),MATCH("Power [kW]",'vehicles specifications'!$B$2:$CK$2,0))</f>
        <v>6.1</v>
      </c>
    </row>
    <row r="350" spans="1:2" x14ac:dyDescent="0.3">
      <c r="A350" t="s">
        <v>139</v>
      </c>
      <c r="B350">
        <f>INDEX('vehicles specifications'!$B$3:$CK$86,MATCH(B338,'vehicles specifications'!$A$3:$A$86,0),MATCH("Energy battery mass [kg]",'vehicles specifications'!$B$2:$CK$2,0))</f>
        <v>19.799999999999997</v>
      </c>
    </row>
    <row r="351" spans="1:2" x14ac:dyDescent="0.3">
      <c r="A351" t="s">
        <v>140</v>
      </c>
      <c r="B351">
        <f>INDEX('vehicles specifications'!$B$3:$CK$86,MATCH(B338,'vehicles specifications'!$A$3:$A$86,0),MATCH("Electric energy stored [kWh]",'vehicles specifications'!$B$2:$CK$2,0))</f>
        <v>3.3</v>
      </c>
    </row>
    <row r="352" spans="1:2" s="21" customFormat="1" x14ac:dyDescent="0.3">
      <c r="A352" s="21" t="s">
        <v>654</v>
      </c>
      <c r="B352" s="21">
        <f>INDEX('vehicles specifications'!$B$3:$CK$86,MATCH(B338,'vehicles specifications'!$A$3:$A$86,0),MATCH("Electric energy available [kWh]",'vehicles specifications'!$B$2:$CK$2,0))</f>
        <v>2.64</v>
      </c>
    </row>
    <row r="353" spans="1:8" x14ac:dyDescent="0.3">
      <c r="A353" t="s">
        <v>143</v>
      </c>
      <c r="B353" s="2">
        <f>INDEX('vehicles specifications'!$B$3:$CK$86,MATCH(B338,'vehicles specifications'!$A$3:$A$86,0),MATCH("Oxydation energy stored [kWh]",'vehicles specifications'!$B$2:$CK$2,0))</f>
        <v>0</v>
      </c>
    </row>
    <row r="354" spans="1:8" x14ac:dyDescent="0.3">
      <c r="A354" t="s">
        <v>145</v>
      </c>
      <c r="B354">
        <f>INDEX('vehicles specifications'!$B$3:$CK$86,MATCH(B338,'vehicles specifications'!$A$3:$A$86,0),MATCH("Fuel mass [kg]",'vehicles specifications'!$B$2:$CK$2,0))</f>
        <v>0</v>
      </c>
    </row>
    <row r="355" spans="1:8" x14ac:dyDescent="0.3">
      <c r="A355" t="s">
        <v>141</v>
      </c>
      <c r="B355" s="2">
        <f>INDEX('vehicles specifications'!$B$3:$CK$86,MATCH(B338,'vehicles specifications'!$A$3:$A$86,0),MATCH("Range [km]",'vehicles specifications'!$B$2:$CK$2,0))</f>
        <v>50.175550663414057</v>
      </c>
    </row>
    <row r="356" spans="1:8" x14ac:dyDescent="0.3">
      <c r="A356" t="s">
        <v>142</v>
      </c>
      <c r="B356" t="str">
        <f>INDEX('vehicles specifications'!$B$3:$CK$86,MATCH(B338,'vehicles specifications'!$A$3:$A$86,0),MATCH("Emission standard",'vehicles specifications'!$B$2:$CK$2,0))</f>
        <v>None</v>
      </c>
    </row>
    <row r="357" spans="1:8" x14ac:dyDescent="0.3">
      <c r="A357" t="s">
        <v>144</v>
      </c>
      <c r="B357" s="6">
        <f>INDEX('vehicles specifications'!$B$3:$CK$86,MATCH(B338,'vehicles specifications'!$A$3:$A$86,0),MATCH("Lightweighting rate [%]",'vehicles specifications'!$B$2:$CK$2,0))</f>
        <v>0</v>
      </c>
    </row>
    <row r="358" spans="1:8" x14ac:dyDescent="0.3">
      <c r="A358" t="s">
        <v>84</v>
      </c>
      <c r="B358" s="21" t="str">
        <f>"Power: "&amp;B349&amp;" kW. Lifetime: "&amp;B343&amp;" km. Annual kilometers: "&amp;B347&amp;" km. Number of passengers: "&amp;B344&amp;". Curb mass: "&amp;ROUND(B348,1)&amp;" kg. Lightweighting of glider: "&amp;ROUND(B357*100,0)&amp;"%. Emission standard: "&amp;B356&amp;". Service visits throughout lifetime: "&amp;ROUND(B345,1)&amp;". Range: "&amp;ROUND(B355,0)&amp;" km. Battery capacity: "&amp;ROUND(B351,1)&amp;" kWh. Available battery capacity: "&amp;B352&amp;" kWh. Battery mass: "&amp;ROUND(B350,1)&amp; " kg. Battery replacement throughout lifetime: "&amp;ROUND(B346,1)&amp;". Fuel tank capacity: "&amp;ROUND(B353,1)&amp;" kWh. Fuel mass: "&amp;ROUND(B354,1)&amp;" kg. Documentation: "&amp;Readmefirst!$B$2&amp;", "&amp;Readmefirst!$B$3&amp;". "&amp;B342</f>
        <v>Power: 6.1 kW. Lifetime: 39800 km. Annual kilometers: 2731 km. Number of passengers: 1. Curb mass: 129.8 kg. Lightweighting of glider: 0%. Emission standard: None. Service visits throughout lifetime: 1. Range: 50 km. Battery capacity: 3.3 kWh. Available battery capacity: 2.64 kWh. Battery mass: 19.8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9" spans="1:8" ht="15.6" x14ac:dyDescent="0.3">
      <c r="A359" s="11" t="s">
        <v>80</v>
      </c>
    </row>
    <row r="360" spans="1:8" x14ac:dyDescent="0.3">
      <c r="A360" t="s">
        <v>81</v>
      </c>
      <c r="B360" t="s">
        <v>82</v>
      </c>
      <c r="C360" t="s">
        <v>73</v>
      </c>
      <c r="D360" t="s">
        <v>77</v>
      </c>
      <c r="E360" t="s">
        <v>83</v>
      </c>
      <c r="F360" t="s">
        <v>75</v>
      </c>
      <c r="G360" t="s">
        <v>84</v>
      </c>
      <c r="H360" t="s">
        <v>74</v>
      </c>
    </row>
    <row r="361" spans="1:8" x14ac:dyDescent="0.3">
      <c r="A361" s="12" t="str">
        <f>B333</f>
        <v>transport, Scooter, electric, 4-11kW, 2020, label-certified electricity</v>
      </c>
      <c r="B361" s="12">
        <v>1</v>
      </c>
      <c r="C361" s="12" t="str">
        <f>B334</f>
        <v>CH</v>
      </c>
      <c r="D361" s="12" t="s">
        <v>172</v>
      </c>
      <c r="E361" s="12"/>
      <c r="F361" s="12" t="s">
        <v>85</v>
      </c>
      <c r="G361" s="12" t="s">
        <v>86</v>
      </c>
      <c r="H361" s="12" t="str">
        <f>B339</f>
        <v>transport, Scooter, electric, 4-11kW</v>
      </c>
    </row>
    <row r="362" spans="1:8" x14ac:dyDescent="0.3">
      <c r="A362" s="12" t="str">
        <f>B335&amp;", "&amp;B337</f>
        <v>Scooter, electric, 4-11kW, 2020</v>
      </c>
      <c r="B362" s="15">
        <f>1/B343</f>
        <v>2.5125628140703518E-5</v>
      </c>
      <c r="C362" s="12" t="str">
        <f>B334</f>
        <v>CH</v>
      </c>
      <c r="D362" s="12" t="s">
        <v>77</v>
      </c>
      <c r="E362" s="12"/>
      <c r="F362" s="12" t="s">
        <v>91</v>
      </c>
      <c r="G362" s="12"/>
      <c r="H362" s="12" t="str">
        <f>RIGHT(H361,LEN(H361)-11)</f>
        <v>Scooter, electric, 4-11kW</v>
      </c>
    </row>
    <row r="363" spans="1:8" s="21" customFormat="1" x14ac:dyDescent="0.3">
      <c r="A363" s="12" t="str">
        <f>INDEX('ei names mapping'!$B$4:$R$33,MATCH(B335,'ei names mapping'!$A$4:$A$33,0),MATCH(G363,'ei names mapping'!$B$3:$R$3,0))</f>
        <v>road construction</v>
      </c>
      <c r="B363" s="16">
        <f>INDEX('vehicles specifications'!$B$3:$CK$86,MATCH(B338,'vehicles specifications'!$A$3:$A$86,0),MATCH(G363,'vehicles specifications'!$B$2:$CK$2,0))*INDEX('ei names mapping'!$B$137:$BK$220,MATCH(B338,'ei names mapping'!$A$137:$A$220,0),MATCH(G363,'ei names mapping'!$B$136:$BK$136,0))</f>
        <v>1.0944060000000001E-4</v>
      </c>
      <c r="C363" s="12" t="str">
        <f>INDEX('ei names mapping'!$B$38:$R$67,MATCH(B335,'ei names mapping'!$A$4:$A$33,0),MATCH(G363,'ei names mapping'!$B$3:$R$3,0))</f>
        <v>CH</v>
      </c>
      <c r="D363" s="12" t="str">
        <f>INDEX('ei names mapping'!$B$104:$BK$133,MATCH(B335,'ei names mapping'!$A$4:$A$33,0),MATCH(G363,'ei names mapping'!$B$3:$BK$3,0))</f>
        <v>meter-year</v>
      </c>
      <c r="E363" s="12"/>
      <c r="F363" s="12" t="s">
        <v>91</v>
      </c>
      <c r="G363" s="21" t="s">
        <v>108</v>
      </c>
      <c r="H363" s="12" t="str">
        <f>INDEX('ei names mapping'!$B$71:$BK$100,MATCH(B335,'ei names mapping'!$A$4:$A$33,0),MATCH(G363,'ei names mapping'!$B$3:$BK$3,0))</f>
        <v>road</v>
      </c>
    </row>
    <row r="364" spans="1:8" x14ac:dyDescent="0.3">
      <c r="A364" s="12" t="str">
        <f>INDEX('ei names mapping'!$B$4:$R$33,MATCH(B335,'ei names mapping'!$A$4:$A$33,0),MATCH(G364,'ei names mapping'!$B$3:$R$3,0))</f>
        <v>road maintenance</v>
      </c>
      <c r="B364" s="16">
        <f>INDEX('vehicles specifications'!$B$3:$CK$86,MATCH(B338,'vehicles specifications'!$A$3:$A$86,0),MATCH(G364,'vehicles specifications'!$B$2:$CK$2,0))*INDEX('ei names mapping'!$B$137:$BK$220,MATCH(B338,'ei names mapping'!$A$137:$A$220,0),MATCH(G364,'ei names mapping'!$B$136:$BK$136,0))</f>
        <v>1.2899999999999999E-3</v>
      </c>
      <c r="C364" s="12" t="str">
        <f>INDEX('ei names mapping'!$B$38:$R$67,MATCH(B335,'ei names mapping'!$A$4:$A$33,0),MATCH(G364,'ei names mapping'!$B$3:$R$3,0))</f>
        <v>CH</v>
      </c>
      <c r="D364" s="12" t="str">
        <f>INDEX('ei names mapping'!$B$104:$BK$133,MATCH(B335,'ei names mapping'!$A$4:$A$33,0),MATCH(G364,'ei names mapping'!$B$3:$BK$3,0))</f>
        <v>meter-year</v>
      </c>
      <c r="E364" s="12"/>
      <c r="F364" s="12" t="s">
        <v>91</v>
      </c>
      <c r="G364" t="s">
        <v>117</v>
      </c>
      <c r="H364" s="12" t="str">
        <f>INDEX('ei names mapping'!$B$71:$BK$100,MATCH(B335,'ei names mapping'!$A$4:$A$33,0),MATCH(G364,'ei names mapping'!$B$3:$BK$3,0))</f>
        <v>road maintenance</v>
      </c>
    </row>
    <row r="365" spans="1:8" x14ac:dyDescent="0.3">
      <c r="A365" s="12" t="s">
        <v>114</v>
      </c>
      <c r="B365" s="14">
        <f>INDEX('vehicles specifications'!$B$3:$CK$86,MATCH(B338,'vehicles specifications'!$A$3:$A$86,0),MATCH(G365,'vehicles specifications'!$B$2:$CK$2,0))*INDEX('ei names mapping'!$B$137:$BK$220,MATCH(B338,'ei names mapping'!$A$137:$A$220,0),MATCH(G365,'ei names mapping'!$B$136:$BK$136,0))</f>
        <v>5.7876793809010993E-2</v>
      </c>
      <c r="C365" s="12" t="str">
        <f>INDEX('ei names mapping'!$B$38:$R$67,MATCH($B$3,'ei names mapping'!$A$4:$A$33,0),MATCH(G365,'ei names mapping'!$B$3:$R$3,0))</f>
        <v>CH</v>
      </c>
      <c r="D365" s="12" t="str">
        <f>INDEX('ei names mapping'!$B$104:$R$133,MATCH($B$3,'ei names mapping'!$A$4:$A$33,0),MATCH(G365,'ei names mapping'!$B$3:$R$3,0))</f>
        <v>kilowatt hour</v>
      </c>
      <c r="E365" s="12"/>
      <c r="F365" s="12" t="s">
        <v>91</v>
      </c>
      <c r="G365" t="s">
        <v>28</v>
      </c>
      <c r="H365" s="12" t="s">
        <v>116</v>
      </c>
    </row>
    <row r="366" spans="1:8" x14ac:dyDescent="0.3">
      <c r="A366" s="12" t="str">
        <f>INDEX('ei names mapping'!$B$4:$R$33,MATCH(B335,'ei names mapping'!$A$4:$A$33,0),MATCH(G366,'ei names mapping'!$B$3:$R$3,0))</f>
        <v>market for maintenance, electric scooter, without battery</v>
      </c>
      <c r="B366" s="16">
        <f>INDEX('vehicles specifications'!$B$3:$CK$86,MATCH(B338,'vehicles specifications'!$A$3:$A$86,0),MATCH(G366,'vehicles specifications'!$B$2:$CK$2,0))*INDEX('ei names mapping'!$B$137:$BK$220,MATCH(B338,'ei names mapping'!$A$137:$A$220,0),MATCH(G366,'ei names mapping'!$B$136:$BK$136,0))</f>
        <v>2.5125628140703518E-5</v>
      </c>
      <c r="C366" s="12" t="str">
        <f>INDEX('ei names mapping'!$B$38:$BK$67,MATCH(B335,'ei names mapping'!$A$4:$A$33,0),MATCH(G366,'ei names mapping'!$B$3:$BK$3,0))</f>
        <v>GLO</v>
      </c>
      <c r="D366" s="12" t="str">
        <f>INDEX('ei names mapping'!$B$104:$BK$133,MATCH(B335,'ei names mapping'!$A$4:$A$33,0),MATCH(G366,'ei names mapping'!$B$3:$BK$3,0))</f>
        <v>unit</v>
      </c>
      <c r="F366" s="12" t="s">
        <v>91</v>
      </c>
      <c r="G366" s="12" t="s">
        <v>123</v>
      </c>
      <c r="H366" s="12" t="str">
        <f>INDEX('ei names mapping'!$B$71:$BK$100,MATCH(B335,'ei names mapping'!$A$4:$A$33,0),MATCH(G366,'ei names mapping'!$B$3:$BK$3,0))</f>
        <v>maintenance, electric scooter, without battery</v>
      </c>
    </row>
    <row r="367" spans="1:8" x14ac:dyDescent="0.3">
      <c r="A367" s="12" t="str">
        <f>INDEX('ei names mapping'!$B$4:$BK$33,MATCH(B335,'ei names mapping'!$A$4:$A$33,0),MATCH(G367,'ei names mapping'!$B$3:$BK$3,0))</f>
        <v>treatment of road wear emissions, passenger car</v>
      </c>
      <c r="B367" s="16">
        <f>INDEX('vehicles specifications'!$B$3:$CK$86,MATCH(B338,'vehicles specifications'!$A$3:$A$86,0),MATCH(G367,'vehicles specifications'!$B$2:$CK$2,0))*INDEX('ei names mapping'!$B$137:$BK$220,MATCH(B338,'ei names mapping'!$A$137:$A$220,0),MATCH(G367,'ei names mapping'!$B$136:$BK$136,0))</f>
        <v>-6.0000000000000002E-6</v>
      </c>
      <c r="C367" s="12" t="str">
        <f>INDEX('ei names mapping'!$B$38:$BK$67,MATCH(B335,'ei names mapping'!$A$4:$A$33,0),MATCH(G367,'ei names mapping'!$B$3:$BK$3,0))</f>
        <v>RER</v>
      </c>
      <c r="D367" s="12" t="str">
        <f>INDEX('ei names mapping'!$B$104:$BK$133,MATCH(B335,'ei names mapping'!$A$4:$A$33,0),MATCH(G367,'ei names mapping'!$B$3:$BK$3,0))</f>
        <v>kilogram</v>
      </c>
      <c r="E367" s="12"/>
      <c r="F367" s="12" t="s">
        <v>91</v>
      </c>
      <c r="G367" t="s">
        <v>29</v>
      </c>
      <c r="H367" s="12" t="str">
        <f>INDEX('ei names mapping'!$B$71:$BK$100,MATCH(B335,'ei names mapping'!$A$4:$A$33,0),MATCH(G367,'ei names mapping'!$B$3:$BK$3,0))</f>
        <v>road wear emissions, passenger car</v>
      </c>
    </row>
    <row r="368" spans="1:8" x14ac:dyDescent="0.3">
      <c r="A368" s="12" t="str">
        <f>INDEX('ei names mapping'!$B$4:$BK$33,MATCH(B335,'ei names mapping'!$A$4:$A$33,0),MATCH(G368,'ei names mapping'!$B$3:$BK$3,0))</f>
        <v>treatment of tyre wear emissions, passenger car</v>
      </c>
      <c r="B368" s="16">
        <f>INDEX('vehicles specifications'!$B$3:$CK$86,MATCH(B338,'vehicles specifications'!$A$3:$A$86,0),MATCH(G368,'vehicles specifications'!$B$2:$CK$2,0))*INDEX('ei names mapping'!$B$137:$BK$220,MATCH(B338,'ei names mapping'!$A$137:$A$220,0),MATCH(G368,'ei names mapping'!$B$136:$BK$136,0))</f>
        <v>-6.3939999999999993E-6</v>
      </c>
      <c r="C368" s="12" t="str">
        <f>INDEX('ei names mapping'!$B$38:$BK$67,MATCH(B335,'ei names mapping'!$A$4:$A$33,0),MATCH(G368,'ei names mapping'!$B$3:$BK$3,0))</f>
        <v>RER</v>
      </c>
      <c r="D368" s="12" t="str">
        <f>INDEX('ei names mapping'!$B$104:$BK$133,MATCH(B335,'ei names mapping'!$A$4:$A$33,0),MATCH(G368,'ei names mapping'!$B$3:$BK$3,0))</f>
        <v>kilogram</v>
      </c>
      <c r="E368" s="12"/>
      <c r="F368" s="12" t="s">
        <v>91</v>
      </c>
      <c r="G368" t="s">
        <v>30</v>
      </c>
      <c r="H368" s="12" t="str">
        <f>INDEX('ei names mapping'!$B$71:$BK$100,MATCH(B335,'ei names mapping'!$A$4:$A$33,0),MATCH(G368,'ei names mapping'!$B$3:$BK$3,0))</f>
        <v>tyre wear emissions, passenger car</v>
      </c>
    </row>
    <row r="369" spans="1:8" x14ac:dyDescent="0.3">
      <c r="A369" s="12" t="str">
        <f>INDEX('ei names mapping'!$B$4:$BK$33,MATCH(B335,'ei names mapping'!$A$4:$A$33,0),MATCH(G369,'ei names mapping'!$B$3:$BK$3,0))</f>
        <v>treatment of brake wear emissions, passenger car</v>
      </c>
      <c r="B369" s="16">
        <f>INDEX('vehicles specifications'!$B$3:$CK$86,MATCH(B338,'vehicles specifications'!$A$3:$A$86,0),MATCH(G369,'vehicles specifications'!$B$2:$CK$2,0))*INDEX('ei names mapping'!$B$137:$BK$220,MATCH(B338,'ei names mapping'!$A$137:$A$220,0),MATCH(G369,'ei names mapping'!$B$136:$BK$136,0))</f>
        <v>-3.0894999999999998E-6</v>
      </c>
      <c r="C369" s="12" t="str">
        <f>INDEX('ei names mapping'!$B$38:$BK$67,MATCH(B335,'ei names mapping'!$A$4:$A$33,0),MATCH(G369,'ei names mapping'!$B$3:$BK$3,0))</f>
        <v>RER</v>
      </c>
      <c r="D369" s="12" t="str">
        <f>INDEX('ei names mapping'!$B$104:$BK$133,MATCH(B335,'ei names mapping'!$A$4:$A$33,0),MATCH(G369,'ei names mapping'!$B$3:$BK$3,0))</f>
        <v>kilogram</v>
      </c>
      <c r="E369" s="12"/>
      <c r="F369" s="12" t="s">
        <v>91</v>
      </c>
      <c r="G369" t="s">
        <v>31</v>
      </c>
      <c r="H369" s="12" t="str">
        <f>INDEX('ei names mapping'!$B$71:$BK$100,MATCH(B335,'ei names mapping'!$A$4:$A$33,0),MATCH(G369,'ei names mapping'!$B$3:$BK$3,0))</f>
        <v>brake wear emissions, passenger car</v>
      </c>
    </row>
    <row r="370" spans="1:8" x14ac:dyDescent="0.3">
      <c r="B370" s="6"/>
    </row>
    <row r="371" spans="1:8" ht="15.6" x14ac:dyDescent="0.3">
      <c r="A371" s="11" t="s">
        <v>72</v>
      </c>
      <c r="B371" s="9" t="str">
        <f>"transport, "&amp;B373&amp;", "&amp;B375&amp;", label-certified electricity"</f>
        <v>transport, Scooter, electric, 4-11kW, 2030, label-certified electricity</v>
      </c>
    </row>
    <row r="372" spans="1:8" x14ac:dyDescent="0.3">
      <c r="A372" t="s">
        <v>73</v>
      </c>
      <c r="B372" t="s">
        <v>37</v>
      </c>
    </row>
    <row r="373" spans="1:8" x14ac:dyDescent="0.3">
      <c r="A373" t="s">
        <v>87</v>
      </c>
      <c r="B373" s="21" t="s">
        <v>631</v>
      </c>
    </row>
    <row r="374" spans="1:8" x14ac:dyDescent="0.3">
      <c r="A374" t="s">
        <v>88</v>
      </c>
      <c r="B374" s="12"/>
    </row>
    <row r="375" spans="1:8" x14ac:dyDescent="0.3">
      <c r="A375" t="s">
        <v>89</v>
      </c>
      <c r="B375" s="12">
        <v>2030</v>
      </c>
    </row>
    <row r="376" spans="1:8" x14ac:dyDescent="0.3">
      <c r="A376" t="s">
        <v>131</v>
      </c>
      <c r="B376" s="12" t="str">
        <f>B373&amp;" - "&amp;B375&amp;" - "&amp;B372</f>
        <v>Scooter, electric, 4-11kW - 2030 - CH</v>
      </c>
    </row>
    <row r="377" spans="1:8" x14ac:dyDescent="0.3">
      <c r="A377" t="s">
        <v>74</v>
      </c>
      <c r="B377" s="12" t="str">
        <f>"transport, "&amp;B373</f>
        <v>transport, Scooter, electric, 4-11kW</v>
      </c>
    </row>
    <row r="378" spans="1:8" x14ac:dyDescent="0.3">
      <c r="A378" t="s">
        <v>75</v>
      </c>
      <c r="B378" t="s">
        <v>76</v>
      </c>
    </row>
    <row r="379" spans="1:8" x14ac:dyDescent="0.3">
      <c r="A379" t="s">
        <v>77</v>
      </c>
      <c r="B379" t="s">
        <v>172</v>
      </c>
    </row>
    <row r="380" spans="1:8" x14ac:dyDescent="0.3">
      <c r="A380" t="s">
        <v>79</v>
      </c>
      <c r="B380" t="s">
        <v>90</v>
      </c>
    </row>
    <row r="381" spans="1:8" x14ac:dyDescent="0.3">
      <c r="A381" t="s">
        <v>132</v>
      </c>
      <c r="B381">
        <f>INDEX('vehicles specifications'!$B$3:$CK$86,MATCH(B376,'vehicles specifications'!$A$3:$A$86,0),MATCH("Lifetime [km]",'vehicles specifications'!$B$2:$CK$2,0))</f>
        <v>39800</v>
      </c>
    </row>
    <row r="382" spans="1:8" x14ac:dyDescent="0.3">
      <c r="A382" t="s">
        <v>133</v>
      </c>
      <c r="B382">
        <f>INDEX('vehicles specifications'!$B$3:$CK$86,MATCH(B376,'vehicles specifications'!$A$3:$A$86,0),MATCH("Passengers [unit]",'vehicles specifications'!$B$2:$CK$2,0))</f>
        <v>1</v>
      </c>
    </row>
    <row r="383" spans="1:8" x14ac:dyDescent="0.3">
      <c r="A383" t="s">
        <v>134</v>
      </c>
      <c r="B383">
        <f>INDEX('vehicles specifications'!$B$3:$CK$86,MATCH(B376,'vehicles specifications'!$A$3:$A$86,0),MATCH("Servicing [unit]",'vehicles specifications'!$B$2:$CK$2,0))</f>
        <v>1</v>
      </c>
    </row>
    <row r="384" spans="1:8" x14ac:dyDescent="0.3">
      <c r="A384" t="s">
        <v>135</v>
      </c>
      <c r="B384">
        <f>INDEX('vehicles specifications'!$B$3:$CK$86,MATCH(B376,'vehicles specifications'!$A$3:$A$86,0),MATCH("Energy battery replacement [unit]",'vehicles specifications'!$B$2:$CK$2,0))</f>
        <v>0.5</v>
      </c>
    </row>
    <row r="385" spans="1:8" x14ac:dyDescent="0.3">
      <c r="A385" t="s">
        <v>136</v>
      </c>
      <c r="B385">
        <f>INDEX('vehicles specifications'!$B$3:$CK$86,MATCH(B376,'vehicles specifications'!$A$3:$A$86,0),MATCH("Annual kilometers [km]",'vehicles specifications'!$B$2:$CK$2,0))</f>
        <v>2731</v>
      </c>
    </row>
    <row r="386" spans="1:8" x14ac:dyDescent="0.3">
      <c r="A386" t="s">
        <v>137</v>
      </c>
      <c r="B386" s="2">
        <f>INDEX('vehicles specifications'!$B$3:$CK$86,MATCH(B376,'vehicles specifications'!$A$3:$A$86,0),MATCH("Curb mass [kg]",'vehicles specifications'!$B$2:$CK$2,0))</f>
        <v>130.28</v>
      </c>
    </row>
    <row r="387" spans="1:8" x14ac:dyDescent="0.3">
      <c r="A387" t="s">
        <v>138</v>
      </c>
      <c r="B387">
        <f>INDEX('vehicles specifications'!$B$3:$CK$86,MATCH(B376,'vehicles specifications'!$A$3:$A$86,0),MATCH("Power [kW]",'vehicles specifications'!$B$2:$CK$2,0))</f>
        <v>6.1</v>
      </c>
    </row>
    <row r="388" spans="1:8" x14ac:dyDescent="0.3">
      <c r="A388" t="s">
        <v>139</v>
      </c>
      <c r="B388">
        <f>INDEX('vehicles specifications'!$B$3:$CK$86,MATCH(B376,'vehicles specifications'!$A$3:$A$86,0),MATCH("Energy battery mass [kg]",'vehicles specifications'!$B$2:$CK$2,0))</f>
        <v>22.8</v>
      </c>
    </row>
    <row r="389" spans="1:8" x14ac:dyDescent="0.3">
      <c r="A389" t="s">
        <v>140</v>
      </c>
      <c r="B389">
        <f>INDEX('vehicles specifications'!$B$3:$CK$86,MATCH(B376,'vehicles specifications'!$A$3:$A$86,0),MATCH("Electric energy stored [kWh]",'vehicles specifications'!$B$2:$CK$2,0))</f>
        <v>5.7</v>
      </c>
    </row>
    <row r="390" spans="1:8" s="21" customFormat="1" x14ac:dyDescent="0.3">
      <c r="A390" s="21" t="s">
        <v>654</v>
      </c>
      <c r="B390" s="21">
        <f>INDEX('vehicles specifications'!$B$3:$CK$86,MATCH(B376,'vehicles specifications'!$A$3:$A$86,0),MATCH("Electric energy available [kWh]",'vehicles specifications'!$B$2:$CK$2,0))</f>
        <v>4.5600000000000005</v>
      </c>
    </row>
    <row r="391" spans="1:8" x14ac:dyDescent="0.3">
      <c r="A391" t="s">
        <v>143</v>
      </c>
      <c r="B391" s="2">
        <f>INDEX('vehicles specifications'!$B$3:$CK$86,MATCH(B376,'vehicles specifications'!$A$3:$A$86,0),MATCH("Oxydation energy stored [kWh]",'vehicles specifications'!$B$2:$CK$2,0))</f>
        <v>0</v>
      </c>
    </row>
    <row r="392" spans="1:8" x14ac:dyDescent="0.3">
      <c r="A392" t="s">
        <v>145</v>
      </c>
      <c r="B392">
        <f>INDEX('vehicles specifications'!$B$3:$CK$86,MATCH(B376,'vehicles specifications'!$A$3:$A$86,0),MATCH("Fuel mass [kg]",'vehicles specifications'!$B$2:$CK$2,0))</f>
        <v>0</v>
      </c>
    </row>
    <row r="393" spans="1:8" x14ac:dyDescent="0.3">
      <c r="A393" t="s">
        <v>141</v>
      </c>
      <c r="B393" s="2">
        <f>INDEX('vehicles specifications'!$B$3:$CK$86,MATCH(B376,'vehicles specifications'!$A$3:$A$86,0),MATCH("Range [km]",'vehicles specifications'!$B$2:$CK$2,0))</f>
        <v>86.666860236806102</v>
      </c>
    </row>
    <row r="394" spans="1:8" x14ac:dyDescent="0.3">
      <c r="A394" t="s">
        <v>142</v>
      </c>
      <c r="B394" t="str">
        <f>INDEX('vehicles specifications'!$B$3:$CK$86,MATCH(B376,'vehicles specifications'!$A$3:$A$86,0),MATCH("Emission standard",'vehicles specifications'!$B$2:$CK$2,0))</f>
        <v>None</v>
      </c>
    </row>
    <row r="395" spans="1:8" x14ac:dyDescent="0.3">
      <c r="A395" t="s">
        <v>144</v>
      </c>
      <c r="B395" s="6">
        <f>INDEX('vehicles specifications'!$B$3:$CK$86,MATCH(B376,'vehicles specifications'!$A$3:$A$86,0),MATCH("Lightweighting rate [%]",'vehicles specifications'!$B$2:$CK$2,0))</f>
        <v>0.03</v>
      </c>
    </row>
    <row r="396" spans="1:8" x14ac:dyDescent="0.3">
      <c r="A396" t="s">
        <v>84</v>
      </c>
      <c r="B396" s="21" t="str">
        <f>"Power: "&amp;B387&amp;" kW. Lifetime: "&amp;B381&amp;" km. Annual kilometers: "&amp;B385&amp;" km. Number of passengers: "&amp;B382&amp;". Curb mass: "&amp;ROUND(B386,1)&amp;" kg. Lightweighting of glider: "&amp;ROUND(B395*100,0)&amp;"%. Emission standard: "&amp;B394&amp;". Service visits throughout lifetime: "&amp;ROUND(B383,1)&amp;". Range: "&amp;ROUND(B393,0)&amp;" km. Battery capacity: "&amp;ROUND(B389,1)&amp;" kWh. Available battery capacity: "&amp;B390&amp;" kWh. Battery mass: "&amp;ROUND(B388,1)&amp; " kg. Battery replacement throughout lifetime: "&amp;ROUND(B384,1)&amp;". Fuel tank capacity: "&amp;ROUND(B391,1)&amp;" kWh. Fuel mass: "&amp;ROUND(B392,1)&amp;" kg. Documentation: "&amp;Readmefirst!$B$2&amp;", "&amp;Readmefirst!$B$3&amp;". "&amp;B380</f>
        <v>Power: 6.1 kW. Lifetime: 39800 km. Annual kilometers: 2731 km. Number of passengers: 1. Curb mass: 130.3 kg. Lightweighting of glider: 3%. Emission standard: None. Service visits throughout lifetime: 1. Range: 87 km. Battery capacity: 5.7 kWh. Available battery capacity: 4.56 kWh. Battery mass: 22.8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97" spans="1:8" ht="15.6" x14ac:dyDescent="0.3">
      <c r="A397" s="11" t="s">
        <v>80</v>
      </c>
    </row>
    <row r="398" spans="1:8" x14ac:dyDescent="0.3">
      <c r="A398" t="s">
        <v>81</v>
      </c>
      <c r="B398" t="s">
        <v>82</v>
      </c>
      <c r="C398" t="s">
        <v>73</v>
      </c>
      <c r="D398" t="s">
        <v>77</v>
      </c>
      <c r="E398" t="s">
        <v>83</v>
      </c>
      <c r="F398" t="s">
        <v>75</v>
      </c>
      <c r="G398" t="s">
        <v>84</v>
      </c>
      <c r="H398" t="s">
        <v>74</v>
      </c>
    </row>
    <row r="399" spans="1:8" x14ac:dyDescent="0.3">
      <c r="A399" s="12" t="str">
        <f>B371</f>
        <v>transport, Scooter, electric, 4-11kW, 2030, label-certified electricity</v>
      </c>
      <c r="B399" s="12">
        <v>1</v>
      </c>
      <c r="C399" s="12" t="str">
        <f>B372</f>
        <v>CH</v>
      </c>
      <c r="D399" s="12" t="s">
        <v>172</v>
      </c>
      <c r="E399" s="12"/>
      <c r="F399" s="12" t="s">
        <v>85</v>
      </c>
      <c r="G399" s="12" t="s">
        <v>86</v>
      </c>
      <c r="H399" s="12" t="str">
        <f>B377</f>
        <v>transport, Scooter, electric, 4-11kW</v>
      </c>
    </row>
    <row r="400" spans="1:8" x14ac:dyDescent="0.3">
      <c r="A400" s="12" t="str">
        <f>B373&amp;", "&amp;B375</f>
        <v>Scooter, electric, 4-11kW, 2030</v>
      </c>
      <c r="B400" s="12">
        <f>1/B381</f>
        <v>2.5125628140703518E-5</v>
      </c>
      <c r="C400" s="12" t="str">
        <f>B372</f>
        <v>CH</v>
      </c>
      <c r="D400" s="12" t="s">
        <v>77</v>
      </c>
      <c r="E400" s="12"/>
      <c r="F400" s="12" t="s">
        <v>91</v>
      </c>
      <c r="G400" s="12"/>
      <c r="H400" s="12" t="str">
        <f>RIGHT(H399,LEN(H399)-11)</f>
        <v>Scooter, electric, 4-11kW</v>
      </c>
    </row>
    <row r="401" spans="1:8" s="21" customFormat="1" x14ac:dyDescent="0.3">
      <c r="A401" s="12" t="str">
        <f>INDEX('ei names mapping'!$B$4:$R$33,MATCH(B373,'ei names mapping'!$A$4:$A$33,0),MATCH(G401,'ei names mapping'!$B$3:$R$3,0))</f>
        <v>road construction</v>
      </c>
      <c r="B401" s="16">
        <f>INDEX('vehicles specifications'!$B$3:$CK$86,MATCH(B376,'vehicles specifications'!$A$3:$A$86,0),MATCH(G401,'vehicles specifications'!$B$2:$CK$2,0))*INDEX('ei names mapping'!$B$137:$BK$220,MATCH(B376,'ei names mapping'!$A$137:$A$220,0),MATCH(G401,'ei names mapping'!$B$136:$BK$136,0))</f>
        <v>1.0969836E-4</v>
      </c>
      <c r="C401" s="12" t="str">
        <f>INDEX('ei names mapping'!$B$38:$R$67,MATCH(B373,'ei names mapping'!$A$4:$A$33,0),MATCH(G401,'ei names mapping'!$B$3:$R$3,0))</f>
        <v>CH</v>
      </c>
      <c r="D401" s="12" t="str">
        <f>INDEX('ei names mapping'!$B$104:$BK$133,MATCH(B373,'ei names mapping'!$A$4:$A$33,0),MATCH(G401,'ei names mapping'!$B$3:$BK$3,0))</f>
        <v>meter-year</v>
      </c>
      <c r="E401" s="12"/>
      <c r="F401" s="12" t="s">
        <v>91</v>
      </c>
      <c r="G401" s="21" t="s">
        <v>108</v>
      </c>
      <c r="H401" s="12" t="str">
        <f>INDEX('ei names mapping'!$B$71:$BK$100,MATCH(B373,'ei names mapping'!$A$4:$A$33,0),MATCH(G401,'ei names mapping'!$B$3:$BK$3,0))</f>
        <v>road</v>
      </c>
    </row>
    <row r="402" spans="1:8" x14ac:dyDescent="0.3">
      <c r="A402" s="12" t="str">
        <f>INDEX('ei names mapping'!$B$4:$R$33,MATCH(B373,'ei names mapping'!$A$4:$A$33,0),MATCH(G402,'ei names mapping'!$B$3:$R$3,0))</f>
        <v>road maintenance</v>
      </c>
      <c r="B402" s="16">
        <f>INDEX('vehicles specifications'!$B$3:$CK$86,MATCH(B376,'vehicles specifications'!$A$3:$A$86,0),MATCH(G402,'vehicles specifications'!$B$2:$CK$2,0))*INDEX('ei names mapping'!$B$137:$BK$220,MATCH(B376,'ei names mapping'!$A$137:$A$220,0),MATCH(G402,'ei names mapping'!$B$136:$BK$136,0))</f>
        <v>1.2899999999999999E-3</v>
      </c>
      <c r="C402" s="12" t="str">
        <f>INDEX('ei names mapping'!$B$38:$R$67,MATCH(B373,'ei names mapping'!$A$4:$A$33,0),MATCH(G402,'ei names mapping'!$B$3:$R$3,0))</f>
        <v>CH</v>
      </c>
      <c r="D402" s="12" t="str">
        <f>INDEX('ei names mapping'!$B$104:$BK$133,MATCH(B373,'ei names mapping'!$A$4:$A$33,0),MATCH(G402,'ei names mapping'!$B$3:$BK$3,0))</f>
        <v>meter-year</v>
      </c>
      <c r="E402" s="12"/>
      <c r="F402" s="12" t="s">
        <v>91</v>
      </c>
      <c r="G402" t="s">
        <v>117</v>
      </c>
      <c r="H402" s="12" t="str">
        <f>INDEX('ei names mapping'!$B$71:$BK$100,MATCH(B373,'ei names mapping'!$A$4:$A$33,0),MATCH(G402,'ei names mapping'!$B$3:$BK$3,0))</f>
        <v>road maintenance</v>
      </c>
    </row>
    <row r="403" spans="1:8" x14ac:dyDescent="0.3">
      <c r="A403" s="12" t="s">
        <v>114</v>
      </c>
      <c r="B403" s="14">
        <f>INDEX('vehicles specifications'!$B$3:$CK$86,MATCH(B376,'vehicles specifications'!$A$3:$A$86,0),MATCH(G403,'vehicles specifications'!$B$2:$CK$2,0))*INDEX('ei names mapping'!$B$137:$BK$220,MATCH(B376,'ei names mapping'!$A$137:$A$220,0),MATCH(G403,'ei names mapping'!$B$136:$BK$136,0))</f>
        <v>5.7876793809010993E-2</v>
      </c>
      <c r="C403" s="12" t="str">
        <f>INDEX('ei names mapping'!$B$38:$R$67,MATCH($B$3,'ei names mapping'!$A$4:$A$33,0),MATCH(G403,'ei names mapping'!$B$3:$R$3,0))</f>
        <v>CH</v>
      </c>
      <c r="D403" s="12" t="str">
        <f>INDEX('ei names mapping'!$B$104:$R$133,MATCH($B$3,'ei names mapping'!$A$4:$A$33,0),MATCH(G403,'ei names mapping'!$B$3:$R$3,0))</f>
        <v>kilowatt hour</v>
      </c>
      <c r="E403" s="12"/>
      <c r="F403" s="12" t="s">
        <v>91</v>
      </c>
      <c r="G403" t="s">
        <v>28</v>
      </c>
      <c r="H403" s="12" t="s">
        <v>116</v>
      </c>
    </row>
    <row r="404" spans="1:8" x14ac:dyDescent="0.3">
      <c r="A404" s="12" t="str">
        <f>INDEX('ei names mapping'!$B$4:$R$33,MATCH(B373,'ei names mapping'!$A$4:$A$33,0),MATCH(G404,'ei names mapping'!$B$3:$R$3,0))</f>
        <v>market for maintenance, electric scooter, without battery</v>
      </c>
      <c r="B404" s="16">
        <f>INDEX('vehicles specifications'!$B$3:$CK$86,MATCH(B376,'vehicles specifications'!$A$3:$A$86,0),MATCH(G404,'vehicles specifications'!$B$2:$CK$2,0))*INDEX('ei names mapping'!$B$137:$BK$220,MATCH(B376,'ei names mapping'!$A$137:$A$220,0),MATCH(G404,'ei names mapping'!$B$136:$BK$136,0))</f>
        <v>2.5125628140703518E-5</v>
      </c>
      <c r="C404" s="12" t="str">
        <f>INDEX('ei names mapping'!$B$38:$BK$67,MATCH(B373,'ei names mapping'!$A$4:$A$33,0),MATCH(G404,'ei names mapping'!$B$3:$BK$3,0))</f>
        <v>GLO</v>
      </c>
      <c r="D404" s="12" t="str">
        <f>INDEX('ei names mapping'!$B$104:$BK$133,MATCH(B373,'ei names mapping'!$A$4:$A$33,0),MATCH(G404,'ei names mapping'!$B$3:$BK$3,0))</f>
        <v>unit</v>
      </c>
      <c r="F404" s="12" t="s">
        <v>91</v>
      </c>
      <c r="G404" s="12" t="s">
        <v>123</v>
      </c>
      <c r="H404" s="12" t="str">
        <f>INDEX('ei names mapping'!$B$71:$BK$100,MATCH(B373,'ei names mapping'!$A$4:$A$33,0),MATCH(G404,'ei names mapping'!$B$3:$BK$3,0))</f>
        <v>maintenance, electric scooter, without battery</v>
      </c>
    </row>
    <row r="405" spans="1:8" x14ac:dyDescent="0.3">
      <c r="A405" s="12" t="str">
        <f>INDEX('ei names mapping'!$B$4:$BK$33,MATCH(B373,'ei names mapping'!$A$4:$A$33,0),MATCH(G405,'ei names mapping'!$B$3:$BK$3,0))</f>
        <v>treatment of road wear emissions, passenger car</v>
      </c>
      <c r="B405" s="16">
        <f>INDEX('vehicles specifications'!$B$3:$CK$86,MATCH(B376,'vehicles specifications'!$A$3:$A$86,0),MATCH(G405,'vehicles specifications'!$B$2:$CK$2,0))*INDEX('ei names mapping'!$B$137:$BK$220,MATCH(B376,'ei names mapping'!$A$137:$A$220,0),MATCH(G405,'ei names mapping'!$B$136:$BK$136,0))</f>
        <v>-6.0000000000000002E-6</v>
      </c>
      <c r="C405" s="12" t="str">
        <f>INDEX('ei names mapping'!$B$38:$BK$67,MATCH(B373,'ei names mapping'!$A$4:$A$33,0),MATCH(G405,'ei names mapping'!$B$3:$BK$3,0))</f>
        <v>RER</v>
      </c>
      <c r="D405" s="12" t="str">
        <f>INDEX('ei names mapping'!$B$104:$BK$133,MATCH(B373,'ei names mapping'!$A$4:$A$33,0),MATCH(G405,'ei names mapping'!$B$3:$BK$3,0))</f>
        <v>kilogram</v>
      </c>
      <c r="E405" s="12"/>
      <c r="F405" s="12" t="s">
        <v>91</v>
      </c>
      <c r="G405" t="s">
        <v>29</v>
      </c>
      <c r="H405" s="12" t="str">
        <f>INDEX('ei names mapping'!$B$71:$BK$100,MATCH(B373,'ei names mapping'!$A$4:$A$33,0),MATCH(G405,'ei names mapping'!$B$3:$BK$3,0))</f>
        <v>road wear emissions, passenger car</v>
      </c>
    </row>
    <row r="406" spans="1:8" x14ac:dyDescent="0.3">
      <c r="A406" s="12" t="str">
        <f>INDEX('ei names mapping'!$B$4:$BK$33,MATCH(B373,'ei names mapping'!$A$4:$A$33,0),MATCH(G406,'ei names mapping'!$B$3:$BK$3,0))</f>
        <v>treatment of tyre wear emissions, passenger car</v>
      </c>
      <c r="B406" s="16">
        <f>INDEX('vehicles specifications'!$B$3:$CK$86,MATCH(B376,'vehicles specifications'!$A$3:$A$86,0),MATCH(G406,'vehicles specifications'!$B$2:$CK$2,0))*INDEX('ei names mapping'!$B$137:$BK$220,MATCH(B376,'ei names mapping'!$A$137:$A$220,0),MATCH(G406,'ei names mapping'!$B$136:$BK$136,0))</f>
        <v>-6.3939999999999993E-6</v>
      </c>
      <c r="C406" s="12" t="str">
        <f>INDEX('ei names mapping'!$B$38:$BK$67,MATCH(B373,'ei names mapping'!$A$4:$A$33,0),MATCH(G406,'ei names mapping'!$B$3:$BK$3,0))</f>
        <v>RER</v>
      </c>
      <c r="D406" s="12" t="str">
        <f>INDEX('ei names mapping'!$B$104:$BK$133,MATCH(B373,'ei names mapping'!$A$4:$A$33,0),MATCH(G406,'ei names mapping'!$B$3:$BK$3,0))</f>
        <v>kilogram</v>
      </c>
      <c r="E406" s="12"/>
      <c r="F406" s="12" t="s">
        <v>91</v>
      </c>
      <c r="G406" t="s">
        <v>30</v>
      </c>
      <c r="H406" s="12" t="str">
        <f>INDEX('ei names mapping'!$B$71:$BK$100,MATCH(B373,'ei names mapping'!$A$4:$A$33,0),MATCH(G406,'ei names mapping'!$B$3:$BK$3,0))</f>
        <v>tyre wear emissions, passenger car</v>
      </c>
    </row>
    <row r="407" spans="1:8" x14ac:dyDescent="0.3">
      <c r="A407" s="12" t="str">
        <f>INDEX('ei names mapping'!$B$4:$BK$33,MATCH(B373,'ei names mapping'!$A$4:$A$33,0),MATCH(G407,'ei names mapping'!$B$3:$BK$3,0))</f>
        <v>treatment of brake wear emissions, passenger car</v>
      </c>
      <c r="B407" s="16">
        <f>INDEX('vehicles specifications'!$B$3:$CK$86,MATCH(B376,'vehicles specifications'!$A$3:$A$86,0),MATCH(G407,'vehicles specifications'!$B$2:$CK$2,0))*INDEX('ei names mapping'!$B$137:$BK$220,MATCH(B376,'ei names mapping'!$A$137:$A$220,0),MATCH(G407,'ei names mapping'!$B$136:$BK$136,0))</f>
        <v>-3.0894999999999998E-6</v>
      </c>
      <c r="C407" s="12" t="str">
        <f>INDEX('ei names mapping'!$B$38:$BK$67,MATCH(B373,'ei names mapping'!$A$4:$A$33,0),MATCH(G407,'ei names mapping'!$B$3:$BK$3,0))</f>
        <v>RER</v>
      </c>
      <c r="D407" s="12" t="str">
        <f>INDEX('ei names mapping'!$B$104:$BK$133,MATCH(B373,'ei names mapping'!$A$4:$A$33,0),MATCH(G407,'ei names mapping'!$B$3:$BK$3,0))</f>
        <v>kilogram</v>
      </c>
      <c r="E407" s="12"/>
      <c r="F407" s="12" t="s">
        <v>91</v>
      </c>
      <c r="G407" t="s">
        <v>31</v>
      </c>
      <c r="H407" s="12" t="str">
        <f>INDEX('ei names mapping'!$B$71:$BK$100,MATCH(B373,'ei names mapping'!$A$4:$A$33,0),MATCH(G407,'ei names mapping'!$B$3:$BK$3,0))</f>
        <v>brake wear emissions, passenger car</v>
      </c>
    </row>
    <row r="409" spans="1:8" ht="15.6" x14ac:dyDescent="0.3">
      <c r="A409" s="11" t="s">
        <v>72</v>
      </c>
      <c r="B409" s="9" t="str">
        <f>"transport, "&amp;B411&amp;", "&amp;B413&amp;", label-certified electricity"</f>
        <v>transport, Scooter, electric, 4-11kW, 2040, label-certified electricity</v>
      </c>
    </row>
    <row r="410" spans="1:8" x14ac:dyDescent="0.3">
      <c r="A410" t="s">
        <v>73</v>
      </c>
      <c r="B410" t="s">
        <v>37</v>
      </c>
    </row>
    <row r="411" spans="1:8" x14ac:dyDescent="0.3">
      <c r="A411" t="s">
        <v>87</v>
      </c>
      <c r="B411" s="21" t="s">
        <v>631</v>
      </c>
    </row>
    <row r="412" spans="1:8" x14ac:dyDescent="0.3">
      <c r="A412" t="s">
        <v>88</v>
      </c>
      <c r="B412" s="12"/>
    </row>
    <row r="413" spans="1:8" x14ac:dyDescent="0.3">
      <c r="A413" t="s">
        <v>89</v>
      </c>
      <c r="B413" s="12">
        <v>2040</v>
      </c>
    </row>
    <row r="414" spans="1:8" x14ac:dyDescent="0.3">
      <c r="A414" t="s">
        <v>131</v>
      </c>
      <c r="B414" s="12" t="str">
        <f>B411&amp;" - "&amp;B413&amp;" - "&amp;B410</f>
        <v>Scooter, electric, 4-11kW - 2040 - CH</v>
      </c>
    </row>
    <row r="415" spans="1:8" x14ac:dyDescent="0.3">
      <c r="A415" t="s">
        <v>74</v>
      </c>
      <c r="B415" s="12" t="str">
        <f>"transport, "&amp;B411</f>
        <v>transport, Scooter, electric, 4-11kW</v>
      </c>
    </row>
    <row r="416" spans="1:8" x14ac:dyDescent="0.3">
      <c r="A416" t="s">
        <v>75</v>
      </c>
      <c r="B416" t="s">
        <v>76</v>
      </c>
    </row>
    <row r="417" spans="1:2" x14ac:dyDescent="0.3">
      <c r="A417" t="s">
        <v>77</v>
      </c>
      <c r="B417" t="s">
        <v>172</v>
      </c>
    </row>
    <row r="418" spans="1:2" x14ac:dyDescent="0.3">
      <c r="A418" t="s">
        <v>79</v>
      </c>
      <c r="B418" t="s">
        <v>90</v>
      </c>
    </row>
    <row r="419" spans="1:2" x14ac:dyDescent="0.3">
      <c r="A419" t="s">
        <v>132</v>
      </c>
      <c r="B419">
        <f>INDEX('vehicles specifications'!$B$3:$CK$86,MATCH(B414,'vehicles specifications'!$A$3:$A$86,0),MATCH("Lifetime [km]",'vehicles specifications'!$B$2:$CK$2,0))</f>
        <v>39800</v>
      </c>
    </row>
    <row r="420" spans="1:2" x14ac:dyDescent="0.3">
      <c r="A420" t="s">
        <v>133</v>
      </c>
      <c r="B420">
        <f>INDEX('vehicles specifications'!$B$3:$CK$86,MATCH(B414,'vehicles specifications'!$A$3:$A$86,0),MATCH("Passengers [unit]",'vehicles specifications'!$B$2:$CK$2,0))</f>
        <v>1</v>
      </c>
    </row>
    <row r="421" spans="1:2" x14ac:dyDescent="0.3">
      <c r="A421" t="s">
        <v>134</v>
      </c>
      <c r="B421">
        <f>INDEX('vehicles specifications'!$B$3:$CK$86,MATCH(B414,'vehicles specifications'!$A$3:$A$86,0),MATCH("Servicing [unit]",'vehicles specifications'!$B$2:$CK$2,0))</f>
        <v>1</v>
      </c>
    </row>
    <row r="422" spans="1:2" x14ac:dyDescent="0.3">
      <c r="A422" t="s">
        <v>135</v>
      </c>
      <c r="B422">
        <f>INDEX('vehicles specifications'!$B$3:$CK$86,MATCH(B414,'vehicles specifications'!$A$3:$A$86,0),MATCH("Energy battery replacement [unit]",'vehicles specifications'!$B$2:$CK$2,0))</f>
        <v>0.25</v>
      </c>
    </row>
    <row r="423" spans="1:2" x14ac:dyDescent="0.3">
      <c r="A423" t="s">
        <v>136</v>
      </c>
      <c r="B423">
        <f>INDEX('vehicles specifications'!$B$3:$CK$86,MATCH(B414,'vehicles specifications'!$A$3:$A$86,0),MATCH("Annual kilometers [km]",'vehicles specifications'!$B$2:$CK$2,0))</f>
        <v>2731</v>
      </c>
    </row>
    <row r="424" spans="1:2" x14ac:dyDescent="0.3">
      <c r="A424" t="s">
        <v>137</v>
      </c>
      <c r="B424" s="2">
        <f>INDEX('vehicles specifications'!$B$3:$CK$86,MATCH(B414,'vehicles specifications'!$A$3:$A$86,0),MATCH("Curb mass [kg]",'vehicles specifications'!$B$2:$CK$2,0))</f>
        <v>130.39999999999998</v>
      </c>
    </row>
    <row r="425" spans="1:2" x14ac:dyDescent="0.3">
      <c r="A425" t="s">
        <v>138</v>
      </c>
      <c r="B425">
        <f>INDEX('vehicles specifications'!$B$3:$CK$86,MATCH(B414,'vehicles specifications'!$A$3:$A$86,0),MATCH("Power [kW]",'vehicles specifications'!$B$2:$CK$2,0))</f>
        <v>6.1</v>
      </c>
    </row>
    <row r="426" spans="1:2" x14ac:dyDescent="0.3">
      <c r="A426" t="s">
        <v>139</v>
      </c>
      <c r="B426">
        <f>INDEX('vehicles specifications'!$B$3:$CK$86,MATCH(B414,'vehicles specifications'!$A$3:$A$86,0),MATCH("Energy battery mass [kg]",'vehicles specifications'!$B$2:$CK$2,0))</f>
        <v>24.599999999999994</v>
      </c>
    </row>
    <row r="427" spans="1:2" x14ac:dyDescent="0.3">
      <c r="A427" t="s">
        <v>140</v>
      </c>
      <c r="B427">
        <f>INDEX('vehicles specifications'!$B$3:$CK$86,MATCH(B414,'vehicles specifications'!$A$3:$A$86,0),MATCH("Electric energy stored [kWh]",'vehicles specifications'!$B$2:$CK$2,0))</f>
        <v>8.1999999999999993</v>
      </c>
    </row>
    <row r="428" spans="1:2" s="21" customFormat="1" x14ac:dyDescent="0.3">
      <c r="A428" s="21" t="s">
        <v>654</v>
      </c>
      <c r="B428" s="21">
        <f>INDEX('vehicles specifications'!$B$3:$CK$86,MATCH(B414,'vehicles specifications'!$A$3:$A$86,0),MATCH("Electric energy available [kWh]",'vehicles specifications'!$B$2:$CK$2,0))</f>
        <v>6.56</v>
      </c>
    </row>
    <row r="429" spans="1:2" x14ac:dyDescent="0.3">
      <c r="A429" t="s">
        <v>143</v>
      </c>
      <c r="B429" s="2">
        <f>INDEX('vehicles specifications'!$B$3:$CK$86,MATCH(B414,'vehicles specifications'!$A$3:$A$86,0),MATCH("Oxydation energy stored [kWh]",'vehicles specifications'!$B$2:$CK$2,0))</f>
        <v>0</v>
      </c>
    </row>
    <row r="430" spans="1:2" x14ac:dyDescent="0.3">
      <c r="A430" t="s">
        <v>145</v>
      </c>
      <c r="B430">
        <f>INDEX('vehicles specifications'!$B$3:$CK$86,MATCH(B414,'vehicles specifications'!$A$3:$A$86,0),MATCH("Fuel mass [kg]",'vehicles specifications'!$B$2:$CK$2,0))</f>
        <v>0</v>
      </c>
    </row>
    <row r="431" spans="1:2" x14ac:dyDescent="0.3">
      <c r="A431" t="s">
        <v>141</v>
      </c>
      <c r="B431" s="2">
        <f>INDEX('vehicles specifications'!$B$3:$CK$86,MATCH(B414,'vehicles specifications'!$A$3:$A$86,0),MATCH("Range [km]",'vehicles specifications'!$B$2:$CK$2,0))</f>
        <v>124.6786410424228</v>
      </c>
    </row>
    <row r="432" spans="1:2" x14ac:dyDescent="0.3">
      <c r="A432" t="s">
        <v>142</v>
      </c>
      <c r="B432" t="str">
        <f>INDEX('vehicles specifications'!$B$3:$CK$86,MATCH(B414,'vehicles specifications'!$A$3:$A$86,0),MATCH("Emission standard",'vehicles specifications'!$B$2:$CK$2,0))</f>
        <v>None</v>
      </c>
    </row>
    <row r="433" spans="1:8" x14ac:dyDescent="0.3">
      <c r="A433" t="s">
        <v>144</v>
      </c>
      <c r="B433" s="6">
        <f>INDEX('vehicles specifications'!$B$3:$CK$86,MATCH(B414,'vehicles specifications'!$A$3:$A$86,0),MATCH("Lightweighting rate [%]",'vehicles specifications'!$B$2:$CK$2,0))</f>
        <v>0.05</v>
      </c>
    </row>
    <row r="434" spans="1:8" x14ac:dyDescent="0.3">
      <c r="A434" t="s">
        <v>84</v>
      </c>
      <c r="B434" s="21" t="str">
        <f>"Power: "&amp;B425&amp;" kW. Lifetime: "&amp;B419&amp;" km. Annual kilometers: "&amp;B423&amp;" km. Number of passengers: "&amp;B420&amp;". Curb mass: "&amp;ROUND(B424,1)&amp;" kg. Lightweighting of glider: "&amp;ROUND(B433*100,0)&amp;"%. Emission standard: "&amp;B432&amp;". Service visits throughout lifetime: "&amp;ROUND(B421,1)&amp;". Range: "&amp;ROUND(B431,0)&amp;" km. Battery capacity: "&amp;ROUND(B427,1)&amp;" kWh. Available battery capacity: "&amp;B428&amp;" kWh. Battery mass: "&amp;ROUND(B426,1)&amp; " kg. Battery replacement throughout lifetime: "&amp;ROUND(B422,1)&amp;". Fuel tank capacity: "&amp;ROUND(B429,1)&amp;" kWh. Fuel mass: "&amp;ROUND(B430,1)&amp;" kg. Documentation: "&amp;Readmefirst!$B$2&amp;", "&amp;Readmefirst!$B$3&amp;". "&amp;B418</f>
        <v>Power: 6.1 kW. Lifetime: 39800 km. Annual kilometers: 2731 km. Number of passengers: 1. Curb mass: 130.4 kg. Lightweighting of glider: 5%. Emission standard: None. Service visits throughout lifetime: 1. Range: 125 km. Battery capacity: 8.2 kWh. Available battery capacity: 6.56 kWh. Battery mass: 24.6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35" spans="1:8" ht="15.6" x14ac:dyDescent="0.3">
      <c r="A435" s="11" t="s">
        <v>80</v>
      </c>
    </row>
    <row r="436" spans="1:8" x14ac:dyDescent="0.3">
      <c r="A436" t="s">
        <v>81</v>
      </c>
      <c r="B436" t="s">
        <v>82</v>
      </c>
      <c r="C436" t="s">
        <v>73</v>
      </c>
      <c r="D436" t="s">
        <v>77</v>
      </c>
      <c r="E436" t="s">
        <v>83</v>
      </c>
      <c r="F436" t="s">
        <v>75</v>
      </c>
      <c r="G436" t="s">
        <v>84</v>
      </c>
      <c r="H436" t="s">
        <v>74</v>
      </c>
    </row>
    <row r="437" spans="1:8" x14ac:dyDescent="0.3">
      <c r="A437" s="12" t="str">
        <f>B409</f>
        <v>transport, Scooter, electric, 4-11kW, 2040, label-certified electricity</v>
      </c>
      <c r="B437" s="12">
        <v>1</v>
      </c>
      <c r="C437" s="12" t="str">
        <f>B410</f>
        <v>CH</v>
      </c>
      <c r="D437" s="12" t="s">
        <v>172</v>
      </c>
      <c r="E437" s="12"/>
      <c r="F437" s="12" t="s">
        <v>85</v>
      </c>
      <c r="G437" s="12" t="s">
        <v>86</v>
      </c>
      <c r="H437" s="12" t="str">
        <f>B415</f>
        <v>transport, Scooter, electric, 4-11kW</v>
      </c>
    </row>
    <row r="438" spans="1:8" x14ac:dyDescent="0.3">
      <c r="A438" s="12" t="str">
        <f>B411&amp;", "&amp;B413</f>
        <v>Scooter, electric, 4-11kW, 2040</v>
      </c>
      <c r="B438" s="12">
        <f>1/B419</f>
        <v>2.5125628140703518E-5</v>
      </c>
      <c r="C438" s="12" t="str">
        <f>B410</f>
        <v>CH</v>
      </c>
      <c r="D438" s="12" t="s">
        <v>77</v>
      </c>
      <c r="E438" s="12"/>
      <c r="F438" s="12" t="s">
        <v>91</v>
      </c>
      <c r="G438" s="12"/>
      <c r="H438" s="12" t="str">
        <f>RIGHT(H437,LEN(H437)-11)</f>
        <v>Scooter, electric, 4-11kW</v>
      </c>
    </row>
    <row r="439" spans="1:8" s="21" customFormat="1" x14ac:dyDescent="0.3">
      <c r="A439" s="12" t="str">
        <f>INDEX('ei names mapping'!$B$4:$R$33,MATCH(B411,'ei names mapping'!$A$4:$A$33,0),MATCH(G439,'ei names mapping'!$B$3:$R$3,0))</f>
        <v>road construction</v>
      </c>
      <c r="B439" s="16">
        <f>INDEX('vehicles specifications'!$B$3:$CK$86,MATCH(B414,'vehicles specifications'!$A$3:$A$86,0),MATCH(G439,'vehicles specifications'!$B$2:$CK$2,0))*INDEX('ei names mapping'!$B$137:$BK$220,MATCH(B414,'ei names mapping'!$A$137:$A$220,0),MATCH(G439,'ei names mapping'!$B$136:$BK$136,0))</f>
        <v>1.0976279999999999E-4</v>
      </c>
      <c r="C439" s="12" t="str">
        <f>INDEX('ei names mapping'!$B$38:$R$67,MATCH(B411,'ei names mapping'!$A$4:$A$33,0),MATCH(G439,'ei names mapping'!$B$3:$R$3,0))</f>
        <v>CH</v>
      </c>
      <c r="D439" s="12" t="str">
        <f>INDEX('ei names mapping'!$B$104:$BK$133,MATCH(B411,'ei names mapping'!$A$4:$A$33,0),MATCH(G439,'ei names mapping'!$B$3:$BK$3,0))</f>
        <v>meter-year</v>
      </c>
      <c r="E439" s="12"/>
      <c r="F439" s="12" t="s">
        <v>91</v>
      </c>
      <c r="G439" s="21" t="s">
        <v>108</v>
      </c>
      <c r="H439" s="12" t="str">
        <f>INDEX('ei names mapping'!$B$71:$BK$100,MATCH(B411,'ei names mapping'!$A$4:$A$33,0),MATCH(G439,'ei names mapping'!$B$3:$BK$3,0))</f>
        <v>road</v>
      </c>
    </row>
    <row r="440" spans="1:8" x14ac:dyDescent="0.3">
      <c r="A440" s="12" t="str">
        <f>INDEX('ei names mapping'!$B$4:$R$33,MATCH(B411,'ei names mapping'!$A$4:$A$33,0),MATCH(G440,'ei names mapping'!$B$3:$R$3,0))</f>
        <v>road maintenance</v>
      </c>
      <c r="B440" s="16">
        <f>INDEX('vehicles specifications'!$B$3:$CK$86,MATCH(B414,'vehicles specifications'!$A$3:$A$86,0),MATCH(G440,'vehicles specifications'!$B$2:$CK$2,0))*INDEX('ei names mapping'!$B$137:$BK$220,MATCH(B414,'ei names mapping'!$A$137:$A$220,0),MATCH(G440,'ei names mapping'!$B$136:$BK$136,0))</f>
        <v>1.2899999999999999E-3</v>
      </c>
      <c r="C440" s="12" t="str">
        <f>INDEX('ei names mapping'!$B$38:$R$67,MATCH(B411,'ei names mapping'!$A$4:$A$33,0),MATCH(G440,'ei names mapping'!$B$3:$R$3,0))</f>
        <v>CH</v>
      </c>
      <c r="D440" s="12" t="str">
        <f>INDEX('ei names mapping'!$B$104:$BK$133,MATCH(B411,'ei names mapping'!$A$4:$A$33,0),MATCH(G440,'ei names mapping'!$B$3:$BK$3,0))</f>
        <v>meter-year</v>
      </c>
      <c r="E440" s="12"/>
      <c r="F440" s="12" t="s">
        <v>91</v>
      </c>
      <c r="G440" t="s">
        <v>117</v>
      </c>
      <c r="H440" s="12" t="str">
        <f>INDEX('ei names mapping'!$B$71:$BK$100,MATCH(B411,'ei names mapping'!$A$4:$A$33,0),MATCH(G440,'ei names mapping'!$B$3:$BK$3,0))</f>
        <v>road maintenance</v>
      </c>
    </row>
    <row r="441" spans="1:8" x14ac:dyDescent="0.3">
      <c r="A441" s="12" t="s">
        <v>114</v>
      </c>
      <c r="B441" s="14">
        <f>INDEX('vehicles specifications'!$B$3:$CK$86,MATCH(B414,'vehicles specifications'!$A$3:$A$86,0),MATCH(G441,'vehicles specifications'!$B$2:$CK$2,0))*INDEX('ei names mapping'!$B$137:$BK$220,MATCH(B414,'ei names mapping'!$A$137:$A$220,0),MATCH(G441,'ei names mapping'!$B$136:$BK$136,0))</f>
        <v>5.7876793809010993E-2</v>
      </c>
      <c r="C441" s="12" t="str">
        <f>INDEX('ei names mapping'!$B$38:$R$67,MATCH($B$3,'ei names mapping'!$A$4:$A$33,0),MATCH(G441,'ei names mapping'!$B$3:$R$3,0))</f>
        <v>CH</v>
      </c>
      <c r="D441" s="12" t="str">
        <f>INDEX('ei names mapping'!$B$104:$R$133,MATCH($B$3,'ei names mapping'!$A$4:$A$33,0),MATCH(G441,'ei names mapping'!$B$3:$R$3,0))</f>
        <v>kilowatt hour</v>
      </c>
      <c r="E441" s="12"/>
      <c r="F441" s="12" t="s">
        <v>91</v>
      </c>
      <c r="G441" t="s">
        <v>28</v>
      </c>
      <c r="H441" s="12" t="s">
        <v>116</v>
      </c>
    </row>
    <row r="442" spans="1:8" x14ac:dyDescent="0.3">
      <c r="A442" s="12" t="str">
        <f>INDEX('ei names mapping'!$B$4:$R$33,MATCH(B411,'ei names mapping'!$A$4:$A$33,0),MATCH(G442,'ei names mapping'!$B$3:$R$3,0))</f>
        <v>market for maintenance, electric scooter, without battery</v>
      </c>
      <c r="B442" s="16">
        <f>INDEX('vehicles specifications'!$B$3:$CK$86,MATCH(B414,'vehicles specifications'!$A$3:$A$86,0),MATCH(G442,'vehicles specifications'!$B$2:$CK$2,0))*INDEX('ei names mapping'!$B$137:$BK$220,MATCH(B414,'ei names mapping'!$A$137:$A$220,0),MATCH(G442,'ei names mapping'!$B$136:$BK$136,0))</f>
        <v>2.5125628140703518E-5</v>
      </c>
      <c r="C442" s="12" t="str">
        <f>INDEX('ei names mapping'!$B$38:$BK$67,MATCH(B411,'ei names mapping'!$A$4:$A$33,0),MATCH(G442,'ei names mapping'!$B$3:$BK$3,0))</f>
        <v>GLO</v>
      </c>
      <c r="D442" s="12" t="str">
        <f>INDEX('ei names mapping'!$B$104:$BK$133,MATCH(B411,'ei names mapping'!$A$4:$A$33,0),MATCH(G442,'ei names mapping'!$B$3:$BK$3,0))</f>
        <v>unit</v>
      </c>
      <c r="F442" s="12" t="s">
        <v>91</v>
      </c>
      <c r="G442" s="12" t="s">
        <v>123</v>
      </c>
      <c r="H442" s="12" t="str">
        <f>INDEX('ei names mapping'!$B$71:$BK$100,MATCH(B411,'ei names mapping'!$A$4:$A$33,0),MATCH(G442,'ei names mapping'!$B$3:$BK$3,0))</f>
        <v>maintenance, electric scooter, without battery</v>
      </c>
    </row>
    <row r="443" spans="1:8" x14ac:dyDescent="0.3">
      <c r="A443" s="12" t="str">
        <f>INDEX('ei names mapping'!$B$4:$BK$33,MATCH(B411,'ei names mapping'!$A$4:$A$33,0),MATCH(G443,'ei names mapping'!$B$3:$BK$3,0))</f>
        <v>treatment of road wear emissions, passenger car</v>
      </c>
      <c r="B443" s="16">
        <f>INDEX('vehicles specifications'!$B$3:$CK$86,MATCH(B414,'vehicles specifications'!$A$3:$A$86,0),MATCH(G443,'vehicles specifications'!$B$2:$CK$2,0))*INDEX('ei names mapping'!$B$137:$BK$220,MATCH(B414,'ei names mapping'!$A$137:$A$220,0),MATCH(G443,'ei names mapping'!$B$136:$BK$136,0))</f>
        <v>-6.0000000000000002E-6</v>
      </c>
      <c r="C443" s="12" t="str">
        <f>INDEX('ei names mapping'!$B$38:$BK$67,MATCH(B411,'ei names mapping'!$A$4:$A$33,0),MATCH(G443,'ei names mapping'!$B$3:$BK$3,0))</f>
        <v>RER</v>
      </c>
      <c r="D443" s="12" t="str">
        <f>INDEX('ei names mapping'!$B$104:$BK$133,MATCH(B411,'ei names mapping'!$A$4:$A$33,0),MATCH(G443,'ei names mapping'!$B$3:$BK$3,0))</f>
        <v>kilogram</v>
      </c>
      <c r="E443" s="12"/>
      <c r="F443" s="12" t="s">
        <v>91</v>
      </c>
      <c r="G443" t="s">
        <v>29</v>
      </c>
      <c r="H443" s="12" t="str">
        <f>INDEX('ei names mapping'!$B$71:$BK$100,MATCH(B411,'ei names mapping'!$A$4:$A$33,0),MATCH(G443,'ei names mapping'!$B$3:$BK$3,0))</f>
        <v>road wear emissions, passenger car</v>
      </c>
    </row>
    <row r="444" spans="1:8" x14ac:dyDescent="0.3">
      <c r="A444" s="12" t="str">
        <f>INDEX('ei names mapping'!$B$4:$BK$33,MATCH(B411,'ei names mapping'!$A$4:$A$33,0),MATCH(G444,'ei names mapping'!$B$3:$BK$3,0))</f>
        <v>treatment of tyre wear emissions, passenger car</v>
      </c>
      <c r="B444" s="16">
        <f>INDEX('vehicles specifications'!$B$3:$CK$86,MATCH(B414,'vehicles specifications'!$A$3:$A$86,0),MATCH(G444,'vehicles specifications'!$B$2:$CK$2,0))*INDEX('ei names mapping'!$B$137:$BK$220,MATCH(B414,'ei names mapping'!$A$137:$A$220,0),MATCH(G444,'ei names mapping'!$B$136:$BK$136,0))</f>
        <v>-6.3939999999999993E-6</v>
      </c>
      <c r="C444" s="12" t="str">
        <f>INDEX('ei names mapping'!$B$38:$BK$67,MATCH(B411,'ei names mapping'!$A$4:$A$33,0),MATCH(G444,'ei names mapping'!$B$3:$BK$3,0))</f>
        <v>RER</v>
      </c>
      <c r="D444" s="12" t="str">
        <f>INDEX('ei names mapping'!$B$104:$BK$133,MATCH(B411,'ei names mapping'!$A$4:$A$33,0),MATCH(G444,'ei names mapping'!$B$3:$BK$3,0))</f>
        <v>kilogram</v>
      </c>
      <c r="E444" s="12"/>
      <c r="F444" s="12" t="s">
        <v>91</v>
      </c>
      <c r="G444" t="s">
        <v>30</v>
      </c>
      <c r="H444" s="12" t="str">
        <f>INDEX('ei names mapping'!$B$71:$BK$100,MATCH(B411,'ei names mapping'!$A$4:$A$33,0),MATCH(G444,'ei names mapping'!$B$3:$BK$3,0))</f>
        <v>tyre wear emissions, passenger car</v>
      </c>
    </row>
    <row r="445" spans="1:8" x14ac:dyDescent="0.3">
      <c r="A445" s="12" t="str">
        <f>INDEX('ei names mapping'!$B$4:$BK$33,MATCH(B411,'ei names mapping'!$A$4:$A$33,0),MATCH(G445,'ei names mapping'!$B$3:$BK$3,0))</f>
        <v>treatment of brake wear emissions, passenger car</v>
      </c>
      <c r="B445" s="16">
        <f>INDEX('vehicles specifications'!$B$3:$CK$86,MATCH(B414,'vehicles specifications'!$A$3:$A$86,0),MATCH(G445,'vehicles specifications'!$B$2:$CK$2,0))*INDEX('ei names mapping'!$B$137:$BK$220,MATCH(B414,'ei names mapping'!$A$137:$A$220,0),MATCH(G445,'ei names mapping'!$B$136:$BK$136,0))</f>
        <v>-3.0894999999999998E-6</v>
      </c>
      <c r="C445" s="12" t="str">
        <f>INDEX('ei names mapping'!$B$38:$BK$67,MATCH(B411,'ei names mapping'!$A$4:$A$33,0),MATCH(G445,'ei names mapping'!$B$3:$BK$3,0))</f>
        <v>RER</v>
      </c>
      <c r="D445" s="12" t="str">
        <f>INDEX('ei names mapping'!$B$104:$BK$133,MATCH(B411,'ei names mapping'!$A$4:$A$33,0),MATCH(G445,'ei names mapping'!$B$3:$BK$3,0))</f>
        <v>kilogram</v>
      </c>
      <c r="E445" s="12"/>
      <c r="F445" s="12" t="s">
        <v>91</v>
      </c>
      <c r="G445" t="s">
        <v>31</v>
      </c>
      <c r="H445" s="12" t="str">
        <f>INDEX('ei names mapping'!$B$71:$BK$100,MATCH(B411,'ei names mapping'!$A$4:$A$33,0),MATCH(G445,'ei names mapping'!$B$3:$BK$3,0))</f>
        <v>brake wear emissions, passenger car</v>
      </c>
    </row>
    <row r="447" spans="1:8" ht="15.6" x14ac:dyDescent="0.3">
      <c r="A447" s="11" t="s">
        <v>72</v>
      </c>
      <c r="B447" s="9" t="str">
        <f>"transport, "&amp;B449&amp;", "&amp;B451&amp;", label-certified electricity"</f>
        <v>transport, Scooter, electric, 4-11kW, 2050, label-certified electricity</v>
      </c>
    </row>
    <row r="448" spans="1:8" x14ac:dyDescent="0.3">
      <c r="A448" t="s">
        <v>73</v>
      </c>
      <c r="B448" t="s">
        <v>37</v>
      </c>
    </row>
    <row r="449" spans="1:2" x14ac:dyDescent="0.3">
      <c r="A449" t="s">
        <v>87</v>
      </c>
      <c r="B449" s="21" t="s">
        <v>631</v>
      </c>
    </row>
    <row r="450" spans="1:2" x14ac:dyDescent="0.3">
      <c r="A450" t="s">
        <v>88</v>
      </c>
      <c r="B450" s="12"/>
    </row>
    <row r="451" spans="1:2" x14ac:dyDescent="0.3">
      <c r="A451" t="s">
        <v>89</v>
      </c>
      <c r="B451" s="12">
        <v>2050</v>
      </c>
    </row>
    <row r="452" spans="1:2" x14ac:dyDescent="0.3">
      <c r="A452" t="s">
        <v>131</v>
      </c>
      <c r="B452" s="12" t="str">
        <f>B449&amp;" - "&amp;B451&amp;" - "&amp;B448</f>
        <v>Scooter, electric, 4-11kW - 2050 - CH</v>
      </c>
    </row>
    <row r="453" spans="1:2" x14ac:dyDescent="0.3">
      <c r="A453" t="s">
        <v>74</v>
      </c>
      <c r="B453" s="12" t="str">
        <f>"transport, "&amp;B449</f>
        <v>transport, Scooter, electric, 4-11kW</v>
      </c>
    </row>
    <row r="454" spans="1:2" x14ac:dyDescent="0.3">
      <c r="A454" t="s">
        <v>75</v>
      </c>
      <c r="B454" t="s">
        <v>76</v>
      </c>
    </row>
    <row r="455" spans="1:2" x14ac:dyDescent="0.3">
      <c r="A455" t="s">
        <v>77</v>
      </c>
      <c r="B455" t="s">
        <v>172</v>
      </c>
    </row>
    <row r="456" spans="1:2" x14ac:dyDescent="0.3">
      <c r="A456" t="s">
        <v>79</v>
      </c>
      <c r="B456" t="s">
        <v>90</v>
      </c>
    </row>
    <row r="457" spans="1:2" x14ac:dyDescent="0.3">
      <c r="A457" t="s">
        <v>132</v>
      </c>
      <c r="B457">
        <f>INDEX('vehicles specifications'!$B$3:$CK$86,MATCH(B452,'vehicles specifications'!$A$3:$A$86,0),MATCH("Lifetime [km]",'vehicles specifications'!$B$2:$CK$2,0))</f>
        <v>39800</v>
      </c>
    </row>
    <row r="458" spans="1:2" x14ac:dyDescent="0.3">
      <c r="A458" t="s">
        <v>133</v>
      </c>
      <c r="B458">
        <f>INDEX('vehicles specifications'!$B$3:$CK$86,MATCH(B452,'vehicles specifications'!$A$3:$A$86,0),MATCH("Passengers [unit]",'vehicles specifications'!$B$2:$CK$2,0))</f>
        <v>1</v>
      </c>
    </row>
    <row r="459" spans="1:2" x14ac:dyDescent="0.3">
      <c r="A459" t="s">
        <v>134</v>
      </c>
      <c r="B459">
        <f>INDEX('vehicles specifications'!$B$3:$CK$86,MATCH(B452,'vehicles specifications'!$A$3:$A$86,0),MATCH("Servicing [unit]",'vehicles specifications'!$B$2:$CK$2,0))</f>
        <v>1</v>
      </c>
    </row>
    <row r="460" spans="1:2" x14ac:dyDescent="0.3">
      <c r="A460" t="s">
        <v>135</v>
      </c>
      <c r="B460">
        <f>INDEX('vehicles specifications'!$B$3:$CK$86,MATCH(B452,'vehicles specifications'!$A$3:$A$86,0),MATCH("Energy battery replacement [unit]",'vehicles specifications'!$B$2:$CK$2,0))</f>
        <v>0</v>
      </c>
    </row>
    <row r="461" spans="1:2" x14ac:dyDescent="0.3">
      <c r="A461" t="s">
        <v>136</v>
      </c>
      <c r="B461">
        <f>INDEX('vehicles specifications'!$B$3:$CK$86,MATCH(B452,'vehicles specifications'!$A$3:$A$86,0),MATCH("Annual kilometers [km]",'vehicles specifications'!$B$2:$CK$2,0))</f>
        <v>2731</v>
      </c>
    </row>
    <row r="462" spans="1:2" x14ac:dyDescent="0.3">
      <c r="A462" t="s">
        <v>137</v>
      </c>
      <c r="B462" s="2">
        <f>INDEX('vehicles specifications'!$B$3:$CK$86,MATCH(B452,'vehicles specifications'!$A$3:$A$86,0),MATCH("Curb mass [kg]",'vehicles specifications'!$B$2:$CK$2,0))</f>
        <v>130.04</v>
      </c>
    </row>
    <row r="463" spans="1:2" x14ac:dyDescent="0.3">
      <c r="A463" t="s">
        <v>138</v>
      </c>
      <c r="B463">
        <f>INDEX('vehicles specifications'!$B$3:$CK$86,MATCH(B452,'vehicles specifications'!$A$3:$A$86,0),MATCH("Power [kW]",'vehicles specifications'!$B$2:$CK$2,0))</f>
        <v>6.1</v>
      </c>
    </row>
    <row r="464" spans="1:2" x14ac:dyDescent="0.3">
      <c r="A464" t="s">
        <v>139</v>
      </c>
      <c r="B464">
        <f>INDEX('vehicles specifications'!$B$3:$CK$86,MATCH(B452,'vehicles specifications'!$A$3:$A$86,0),MATCH("Energy battery mass [kg]",'vehicles specifications'!$B$2:$CK$2,0))</f>
        <v>25.92</v>
      </c>
    </row>
    <row r="465" spans="1:8" x14ac:dyDescent="0.3">
      <c r="A465" t="s">
        <v>140</v>
      </c>
      <c r="B465">
        <f>INDEX('vehicles specifications'!$B$3:$CK$86,MATCH(B452,'vehicles specifications'!$A$3:$A$86,0),MATCH("Electric energy stored [kWh]",'vehicles specifications'!$B$2:$CK$2,0))</f>
        <v>10.8</v>
      </c>
    </row>
    <row r="466" spans="1:8" s="21" customFormat="1" x14ac:dyDescent="0.3">
      <c r="A466" s="21" t="s">
        <v>654</v>
      </c>
      <c r="B466" s="21">
        <f>INDEX('vehicles specifications'!$B$3:$CK$86,MATCH(B452,'vehicles specifications'!$A$3:$A$86,0),MATCH("Electric energy available [kWh]",'vehicles specifications'!$B$2:$CK$2,0))</f>
        <v>8.64</v>
      </c>
    </row>
    <row r="467" spans="1:8" x14ac:dyDescent="0.3">
      <c r="A467" t="s">
        <v>143</v>
      </c>
      <c r="B467" s="2">
        <f>INDEX('vehicles specifications'!$B$3:$CK$86,MATCH(B452,'vehicles specifications'!$A$3:$A$86,0),MATCH("Oxydation energy stored [kWh]",'vehicles specifications'!$B$2:$CK$2,0))</f>
        <v>0</v>
      </c>
    </row>
    <row r="468" spans="1:8" x14ac:dyDescent="0.3">
      <c r="A468" t="s">
        <v>145</v>
      </c>
      <c r="B468">
        <f>INDEX('vehicles specifications'!$B$3:$CK$86,MATCH(B452,'vehicles specifications'!$A$3:$A$86,0),MATCH("Fuel mass [kg]",'vehicles specifications'!$B$2:$CK$2,0))</f>
        <v>0</v>
      </c>
    </row>
    <row r="469" spans="1:8" x14ac:dyDescent="0.3">
      <c r="A469" t="s">
        <v>141</v>
      </c>
      <c r="B469" s="2">
        <f>INDEX('vehicles specifications'!$B$3:$CK$86,MATCH(B452,'vehicles specifications'!$A$3:$A$86,0),MATCH("Range [km]",'vehicles specifications'!$B$2:$CK$2,0))</f>
        <v>164.21089308026419</v>
      </c>
    </row>
    <row r="470" spans="1:8" x14ac:dyDescent="0.3">
      <c r="A470" t="s">
        <v>142</v>
      </c>
      <c r="B470" t="str">
        <f>INDEX('vehicles specifications'!$B$3:$CK$86,MATCH(B452,'vehicles specifications'!$A$3:$A$86,0),MATCH("Emission standard",'vehicles specifications'!$B$2:$CK$2,0))</f>
        <v>None</v>
      </c>
    </row>
    <row r="471" spans="1:8" x14ac:dyDescent="0.3">
      <c r="A471" t="s">
        <v>144</v>
      </c>
      <c r="B471" s="6">
        <f>INDEX('vehicles specifications'!$B$3:$CK$86,MATCH(B452,'vehicles specifications'!$A$3:$A$86,0),MATCH("Lightweighting rate [%]",'vehicles specifications'!$B$2:$CK$2,0))</f>
        <v>7.0000000000000007E-2</v>
      </c>
    </row>
    <row r="472" spans="1:8" x14ac:dyDescent="0.3">
      <c r="A472" t="s">
        <v>84</v>
      </c>
      <c r="B472" s="21" t="str">
        <f>"Power: "&amp;B463&amp;" kW. Lifetime: "&amp;B457&amp;" km. Annual kilometers: "&amp;B461&amp;" km. Number of passengers: "&amp;B458&amp;". Curb mass: "&amp;ROUND(B462,1)&amp;" kg. Lightweighting of glider: "&amp;ROUND(B471*100,0)&amp;"%. Emission standard: "&amp;B470&amp;". Service visits throughout lifetime: "&amp;ROUND(B459,1)&amp;". Range: "&amp;ROUND(B469,0)&amp;" km. Battery capacity: "&amp;ROUND(B465,1)&amp;" kWh. Available battery capacity: "&amp;B466&amp;" kWh. Battery mass: "&amp;ROUND(B464,1)&amp; " kg. Battery replacement throughout lifetime: "&amp;ROUND(B460,1)&amp;". Fuel tank capacity: "&amp;ROUND(B467,1)&amp;" kWh. Fuel mass: "&amp;ROUND(B468,1)&amp;" kg. Documentation: "&amp;Readmefirst!$B$2&amp;", "&amp;Readmefirst!$B$3&amp;". "&amp;B456</f>
        <v>Power: 6.1 kW. Lifetime: 39800 km. Annual kilometers: 2731 km. Number of passengers: 1. Curb mass: 130 kg. Lightweighting of glider: 7%. Emission standard: None. Service visits throughout lifetime: 1. Range: 164 km. Battery capacity: 10.8 kWh. Available battery capacity: 8.64 kWh. Battery mass: 25.9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73" spans="1:8" ht="15.6" x14ac:dyDescent="0.3">
      <c r="A473" s="11" t="s">
        <v>80</v>
      </c>
    </row>
    <row r="474" spans="1:8" x14ac:dyDescent="0.3">
      <c r="A474" t="s">
        <v>81</v>
      </c>
      <c r="B474" t="s">
        <v>82</v>
      </c>
      <c r="C474" t="s">
        <v>73</v>
      </c>
      <c r="D474" t="s">
        <v>77</v>
      </c>
      <c r="E474" t="s">
        <v>83</v>
      </c>
      <c r="F474" t="s">
        <v>75</v>
      </c>
      <c r="G474" t="s">
        <v>84</v>
      </c>
      <c r="H474" t="s">
        <v>74</v>
      </c>
    </row>
    <row r="475" spans="1:8" x14ac:dyDescent="0.3">
      <c r="A475" s="12" t="str">
        <f>B447</f>
        <v>transport, Scooter, electric, 4-11kW, 2050, label-certified electricity</v>
      </c>
      <c r="B475" s="12">
        <v>1</v>
      </c>
      <c r="C475" s="12" t="str">
        <f>B448</f>
        <v>CH</v>
      </c>
      <c r="D475" s="12" t="s">
        <v>172</v>
      </c>
      <c r="E475" s="12"/>
      <c r="F475" s="12" t="s">
        <v>85</v>
      </c>
      <c r="G475" s="12" t="s">
        <v>86</v>
      </c>
      <c r="H475" s="12" t="str">
        <f>B453</f>
        <v>transport, Scooter, electric, 4-11kW</v>
      </c>
    </row>
    <row r="476" spans="1:8" x14ac:dyDescent="0.3">
      <c r="A476" s="12" t="str">
        <f>B449&amp;", "&amp;B451</f>
        <v>Scooter, electric, 4-11kW, 2050</v>
      </c>
      <c r="B476" s="12">
        <f>1/B457</f>
        <v>2.5125628140703518E-5</v>
      </c>
      <c r="C476" s="12" t="str">
        <f>B448</f>
        <v>CH</v>
      </c>
      <c r="D476" s="12" t="s">
        <v>77</v>
      </c>
      <c r="E476" s="12"/>
      <c r="F476" s="12" t="s">
        <v>91</v>
      </c>
      <c r="G476" s="12"/>
      <c r="H476" s="12" t="str">
        <f>RIGHT(H475,LEN(H475)-11)</f>
        <v>Scooter, electric, 4-11kW</v>
      </c>
    </row>
    <row r="477" spans="1:8" s="21" customFormat="1" x14ac:dyDescent="0.3">
      <c r="A477" s="12" t="str">
        <f>INDEX('ei names mapping'!$B$4:$R$33,MATCH(B449,'ei names mapping'!$A$4:$A$33,0),MATCH(G477,'ei names mapping'!$B$3:$R$3,0))</f>
        <v>road construction</v>
      </c>
      <c r="B477" s="16">
        <f>INDEX('vehicles specifications'!$B$3:$CK$86,MATCH(B452,'vehicles specifications'!$A$3:$A$86,0),MATCH(G477,'vehicles specifications'!$B$2:$CK$2,0))*INDEX('ei names mapping'!$B$137:$BK$220,MATCH(B452,'ei names mapping'!$A$137:$A$220,0),MATCH(G477,'ei names mapping'!$B$136:$BK$136,0))</f>
        <v>1.0956948E-4</v>
      </c>
      <c r="C477" s="12" t="str">
        <f>INDEX('ei names mapping'!$B$38:$R$67,MATCH(B449,'ei names mapping'!$A$4:$A$33,0),MATCH(G477,'ei names mapping'!$B$3:$R$3,0))</f>
        <v>CH</v>
      </c>
      <c r="D477" s="12" t="str">
        <f>INDEX('ei names mapping'!$B$104:$BK$133,MATCH(B449,'ei names mapping'!$A$4:$A$33,0),MATCH(G477,'ei names mapping'!$B$3:$BK$3,0))</f>
        <v>meter-year</v>
      </c>
      <c r="E477" s="12"/>
      <c r="F477" s="12" t="s">
        <v>91</v>
      </c>
      <c r="G477" s="21" t="s">
        <v>108</v>
      </c>
      <c r="H477" s="12" t="str">
        <f>INDEX('ei names mapping'!$B$71:$BK$100,MATCH(B449,'ei names mapping'!$A$4:$A$33,0),MATCH(G477,'ei names mapping'!$B$3:$BK$3,0))</f>
        <v>road</v>
      </c>
    </row>
    <row r="478" spans="1:8" x14ac:dyDescent="0.3">
      <c r="A478" s="12" t="str">
        <f>INDEX('ei names mapping'!$B$4:$R$33,MATCH(B449,'ei names mapping'!$A$4:$A$33,0),MATCH(G478,'ei names mapping'!$B$3:$R$3,0))</f>
        <v>road maintenance</v>
      </c>
      <c r="B478" s="16">
        <f>INDEX('vehicles specifications'!$B$3:$CK$86,MATCH(B452,'vehicles specifications'!$A$3:$A$86,0),MATCH(G478,'vehicles specifications'!$B$2:$CK$2,0))*INDEX('ei names mapping'!$B$137:$BK$220,MATCH(B452,'ei names mapping'!$A$137:$A$220,0),MATCH(G478,'ei names mapping'!$B$136:$BK$136,0))</f>
        <v>1.2899999999999999E-3</v>
      </c>
      <c r="C478" s="12" t="str">
        <f>INDEX('ei names mapping'!$B$38:$R$67,MATCH(B449,'ei names mapping'!$A$4:$A$33,0),MATCH(G478,'ei names mapping'!$B$3:$R$3,0))</f>
        <v>CH</v>
      </c>
      <c r="D478" s="12" t="str">
        <f>INDEX('ei names mapping'!$B$104:$BK$133,MATCH(B449,'ei names mapping'!$A$4:$A$33,0),MATCH(G478,'ei names mapping'!$B$3:$BK$3,0))</f>
        <v>meter-year</v>
      </c>
      <c r="E478" s="12"/>
      <c r="F478" s="12" t="s">
        <v>91</v>
      </c>
      <c r="G478" t="s">
        <v>117</v>
      </c>
      <c r="H478" s="12" t="str">
        <f>INDEX('ei names mapping'!$B$71:$BK$100,MATCH(B449,'ei names mapping'!$A$4:$A$33,0),MATCH(G478,'ei names mapping'!$B$3:$BK$3,0))</f>
        <v>road maintenance</v>
      </c>
    </row>
    <row r="479" spans="1:8" x14ac:dyDescent="0.3">
      <c r="A479" s="12" t="s">
        <v>114</v>
      </c>
      <c r="B479" s="14">
        <f>INDEX('vehicles specifications'!$B$3:$CK$86,MATCH(B452,'vehicles specifications'!$A$3:$A$86,0),MATCH(G479,'vehicles specifications'!$B$2:$CK$2,0))*INDEX('ei names mapping'!$B$137:$BK$220,MATCH(B452,'ei names mapping'!$A$137:$A$220,0),MATCH(G479,'ei names mapping'!$B$136:$BK$136,0))</f>
        <v>5.7876793809010993E-2</v>
      </c>
      <c r="C479" s="12" t="str">
        <f>INDEX('ei names mapping'!$B$38:$R$67,MATCH($B$3,'ei names mapping'!$A$4:$A$33,0),MATCH(G479,'ei names mapping'!$B$3:$R$3,0))</f>
        <v>CH</v>
      </c>
      <c r="D479" s="12" t="str">
        <f>INDEX('ei names mapping'!$B$104:$R$133,MATCH($B$3,'ei names mapping'!$A$4:$A$33,0),MATCH(G479,'ei names mapping'!$B$3:$R$3,0))</f>
        <v>kilowatt hour</v>
      </c>
      <c r="E479" s="12"/>
      <c r="F479" s="12" t="s">
        <v>91</v>
      </c>
      <c r="G479" t="s">
        <v>28</v>
      </c>
      <c r="H479" s="12" t="s">
        <v>116</v>
      </c>
    </row>
    <row r="480" spans="1:8" x14ac:dyDescent="0.3">
      <c r="A480" s="12" t="str">
        <f>INDEX('ei names mapping'!$B$4:$R$33,MATCH(B449,'ei names mapping'!$A$4:$A$33,0),MATCH(G480,'ei names mapping'!$B$3:$R$3,0))</f>
        <v>market for maintenance, electric scooter, without battery</v>
      </c>
      <c r="B480" s="16">
        <f>INDEX('vehicles specifications'!$B$3:$CK$86,MATCH(B452,'vehicles specifications'!$A$3:$A$86,0),MATCH(G480,'vehicles specifications'!$B$2:$CK$2,0))*INDEX('ei names mapping'!$B$137:$BK$220,MATCH(B452,'ei names mapping'!$A$137:$A$220,0),MATCH(G480,'ei names mapping'!$B$136:$BK$136,0))</f>
        <v>2.5125628140703518E-5</v>
      </c>
      <c r="C480" s="12" t="str">
        <f>INDEX('ei names mapping'!$B$38:$BK$67,MATCH(B449,'ei names mapping'!$A$4:$A$33,0),MATCH(G480,'ei names mapping'!$B$3:$BK$3,0))</f>
        <v>GLO</v>
      </c>
      <c r="D480" s="12" t="str">
        <f>INDEX('ei names mapping'!$B$104:$BK$133,MATCH(B449,'ei names mapping'!$A$4:$A$33,0),MATCH(G480,'ei names mapping'!$B$3:$BK$3,0))</f>
        <v>unit</v>
      </c>
      <c r="F480" s="12" t="s">
        <v>91</v>
      </c>
      <c r="G480" s="12" t="s">
        <v>123</v>
      </c>
      <c r="H480" s="12" t="str">
        <f>INDEX('ei names mapping'!$B$71:$BK$100,MATCH(B449,'ei names mapping'!$A$4:$A$33,0),MATCH(G480,'ei names mapping'!$B$3:$BK$3,0))</f>
        <v>maintenance, electric scooter, without battery</v>
      </c>
    </row>
    <row r="481" spans="1:8" x14ac:dyDescent="0.3">
      <c r="A481" s="12" t="str">
        <f>INDEX('ei names mapping'!$B$4:$BK$33,MATCH(B449,'ei names mapping'!$A$4:$A$33,0),MATCH(G481,'ei names mapping'!$B$3:$BK$3,0))</f>
        <v>treatment of road wear emissions, passenger car</v>
      </c>
      <c r="B481" s="16">
        <f>INDEX('vehicles specifications'!$B$3:$CK$86,MATCH(B452,'vehicles specifications'!$A$3:$A$86,0),MATCH(G481,'vehicles specifications'!$B$2:$CK$2,0))*INDEX('ei names mapping'!$B$137:$BK$220,MATCH(B452,'ei names mapping'!$A$137:$A$220,0),MATCH(G481,'ei names mapping'!$B$136:$BK$136,0))</f>
        <v>-6.0000000000000002E-6</v>
      </c>
      <c r="C481" s="12" t="str">
        <f>INDEX('ei names mapping'!$B$38:$BK$67,MATCH(B449,'ei names mapping'!$A$4:$A$33,0),MATCH(G481,'ei names mapping'!$B$3:$BK$3,0))</f>
        <v>RER</v>
      </c>
      <c r="D481" s="12" t="str">
        <f>INDEX('ei names mapping'!$B$104:$BK$133,MATCH(B449,'ei names mapping'!$A$4:$A$33,0),MATCH(G481,'ei names mapping'!$B$3:$BK$3,0))</f>
        <v>kilogram</v>
      </c>
      <c r="E481" s="12"/>
      <c r="F481" s="12" t="s">
        <v>91</v>
      </c>
      <c r="G481" t="s">
        <v>29</v>
      </c>
      <c r="H481" s="12" t="str">
        <f>INDEX('ei names mapping'!$B$71:$BK$100,MATCH(B449,'ei names mapping'!$A$4:$A$33,0),MATCH(G481,'ei names mapping'!$B$3:$BK$3,0))</f>
        <v>road wear emissions, passenger car</v>
      </c>
    </row>
    <row r="482" spans="1:8" x14ac:dyDescent="0.3">
      <c r="A482" s="12" t="str">
        <f>INDEX('ei names mapping'!$B$4:$BK$33,MATCH(B449,'ei names mapping'!$A$4:$A$33,0),MATCH(G482,'ei names mapping'!$B$3:$BK$3,0))</f>
        <v>treatment of tyre wear emissions, passenger car</v>
      </c>
      <c r="B482" s="16">
        <f>INDEX('vehicles specifications'!$B$3:$CK$86,MATCH(B452,'vehicles specifications'!$A$3:$A$86,0),MATCH(G482,'vehicles specifications'!$B$2:$CK$2,0))*INDEX('ei names mapping'!$B$137:$BK$220,MATCH(B452,'ei names mapping'!$A$137:$A$220,0),MATCH(G482,'ei names mapping'!$B$136:$BK$136,0))</f>
        <v>-6.3939999999999993E-6</v>
      </c>
      <c r="C482" s="12" t="str">
        <f>INDEX('ei names mapping'!$B$38:$BK$67,MATCH(B449,'ei names mapping'!$A$4:$A$33,0),MATCH(G482,'ei names mapping'!$B$3:$BK$3,0))</f>
        <v>RER</v>
      </c>
      <c r="D482" s="12" t="str">
        <f>INDEX('ei names mapping'!$B$104:$BK$133,MATCH(B449,'ei names mapping'!$A$4:$A$33,0),MATCH(G482,'ei names mapping'!$B$3:$BK$3,0))</f>
        <v>kilogram</v>
      </c>
      <c r="E482" s="12"/>
      <c r="F482" s="12" t="s">
        <v>91</v>
      </c>
      <c r="G482" t="s">
        <v>30</v>
      </c>
      <c r="H482" s="12" t="str">
        <f>INDEX('ei names mapping'!$B$71:$BK$100,MATCH(B449,'ei names mapping'!$A$4:$A$33,0),MATCH(G482,'ei names mapping'!$B$3:$BK$3,0))</f>
        <v>tyre wear emissions, passenger car</v>
      </c>
    </row>
    <row r="483" spans="1:8" x14ac:dyDescent="0.3">
      <c r="A483" s="12" t="str">
        <f>INDEX('ei names mapping'!$B$4:$BK$33,MATCH(B449,'ei names mapping'!$A$4:$A$33,0),MATCH(G483,'ei names mapping'!$B$3:$BK$3,0))</f>
        <v>treatment of brake wear emissions, passenger car</v>
      </c>
      <c r="B483" s="16">
        <f>INDEX('vehicles specifications'!$B$3:$CK$86,MATCH(B452,'vehicles specifications'!$A$3:$A$86,0),MATCH(G483,'vehicles specifications'!$B$2:$CK$2,0))*INDEX('ei names mapping'!$B$137:$BK$220,MATCH(B452,'ei names mapping'!$A$137:$A$220,0),MATCH(G483,'ei names mapping'!$B$136:$BK$136,0))</f>
        <v>-3.0894999999999998E-6</v>
      </c>
      <c r="C483" s="12" t="str">
        <f>INDEX('ei names mapping'!$B$38:$BK$67,MATCH(B449,'ei names mapping'!$A$4:$A$33,0),MATCH(G483,'ei names mapping'!$B$3:$BK$3,0))</f>
        <v>RER</v>
      </c>
      <c r="D483" s="12" t="str">
        <f>INDEX('ei names mapping'!$B$104:$BK$133,MATCH(B449,'ei names mapping'!$A$4:$A$33,0),MATCH(G483,'ei names mapping'!$B$3:$BK$3,0))</f>
        <v>kilogram</v>
      </c>
      <c r="E483" s="12"/>
      <c r="F483" s="12" t="s">
        <v>91</v>
      </c>
      <c r="G483" t="s">
        <v>31</v>
      </c>
      <c r="H483" s="12" t="str">
        <f>INDEX('ei names mapping'!$B$71:$BK$100,MATCH(B449,'ei names mapping'!$A$4:$A$33,0),MATCH(G483,'ei names mapping'!$B$3:$BK$3,0))</f>
        <v>brake wear emissions, passenger car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87"/>
  <sheetViews>
    <sheetView tabSelected="1" workbookViewId="0">
      <pane xSplit="2" topLeftCell="C1" activePane="topRight" state="frozen"/>
      <selection pane="topRight" activeCell="I60" sqref="I60"/>
    </sheetView>
  </sheetViews>
  <sheetFormatPr defaultRowHeight="14.4" x14ac:dyDescent="0.3"/>
  <cols>
    <col min="1" max="1" width="68.5546875" customWidth="1"/>
    <col min="2" max="2" width="13.6640625" customWidth="1"/>
    <col min="3" max="3" width="4.5546875" customWidth="1"/>
    <col min="4" max="4" width="5" customWidth="1"/>
    <col min="5" max="5" width="8.109375" customWidth="1"/>
    <col min="6" max="6" width="16.33203125" customWidth="1"/>
    <col min="7" max="7" width="8.109375" customWidth="1"/>
    <col min="8" max="8" width="10" customWidth="1"/>
    <col min="9" max="9" width="16.88671875" customWidth="1"/>
    <col min="10" max="10" width="11.88671875" customWidth="1"/>
    <col min="11" max="11" width="20" customWidth="1"/>
    <col min="12" max="12" width="13.88671875" customWidth="1"/>
    <col min="13" max="13" width="14.88671875" customWidth="1"/>
    <col min="14" max="14" width="17.44140625" customWidth="1"/>
    <col min="15" max="15" width="14" customWidth="1"/>
    <col min="16" max="16" width="12.88671875" customWidth="1"/>
    <col min="17" max="17" width="14.77734375" customWidth="1"/>
    <col min="18" max="18" width="10.6640625" bestFit="1" customWidth="1"/>
    <col min="19" max="19" width="18.33203125" bestFit="1" customWidth="1"/>
    <col min="20" max="20" width="19.88671875" bestFit="1" customWidth="1"/>
    <col min="21" max="21" width="14" bestFit="1" customWidth="1"/>
    <col min="22" max="22" width="11.88671875" customWidth="1"/>
    <col min="23" max="23" width="9.44140625" customWidth="1"/>
    <col min="24" max="24" width="24.33203125" bestFit="1" customWidth="1"/>
    <col min="25" max="26" width="24.33203125" customWidth="1"/>
    <col min="27" max="27" width="24.44140625" bestFit="1" customWidth="1"/>
    <col min="28" max="28" width="24.88671875" style="3" bestFit="1" customWidth="1"/>
    <col min="29" max="29" width="21.109375" bestFit="1" customWidth="1"/>
    <col min="30" max="30" width="28.77734375" bestFit="1" customWidth="1"/>
    <col min="31" max="31" width="13.109375" bestFit="1" customWidth="1"/>
    <col min="32" max="32" width="12.44140625" bestFit="1" customWidth="1"/>
    <col min="33" max="33" width="26.77734375" bestFit="1" customWidth="1"/>
    <col min="34" max="34" width="16.5546875" bestFit="1" customWidth="1"/>
    <col min="35" max="35" width="24.5546875" bestFit="1" customWidth="1"/>
    <col min="36" max="36" width="25.77734375" bestFit="1" customWidth="1"/>
    <col min="37" max="39" width="25.77734375" customWidth="1"/>
    <col min="40" max="40" width="18.77734375" bestFit="1" customWidth="1"/>
    <col min="41" max="41" width="23.44140625" bestFit="1" customWidth="1"/>
    <col min="42" max="42" width="20.21875" bestFit="1" customWidth="1"/>
    <col min="43" max="43" width="26.77734375" bestFit="1" customWidth="1"/>
    <col min="44" max="44" width="27.77734375" bestFit="1" customWidth="1"/>
    <col min="45" max="45" width="10.21875" bestFit="1" customWidth="1"/>
    <col min="46" max="46" width="5.5546875" bestFit="1" customWidth="1"/>
    <col min="47" max="47" width="8.88671875" customWidth="1"/>
    <col min="48" max="48" width="14.77734375" bestFit="1" customWidth="1"/>
    <col min="49" max="49" width="11.109375" bestFit="1" customWidth="1"/>
    <col min="50" max="50" width="10.21875" bestFit="1" customWidth="1"/>
    <col min="51" max="51" width="11.44140625" bestFit="1" customWidth="1"/>
    <col min="52" max="53" width="11.33203125" bestFit="1" customWidth="1"/>
    <col min="54" max="54" width="13.5546875" bestFit="1" customWidth="1"/>
    <col min="55" max="86" width="13.5546875" style="21" customWidth="1"/>
    <col min="87" max="87" width="16.6640625" bestFit="1" customWidth="1"/>
    <col min="88" max="88" width="15.5546875" bestFit="1" customWidth="1"/>
    <col min="89" max="89" width="17.21875" bestFit="1" customWidth="1"/>
  </cols>
  <sheetData>
    <row r="1" spans="1:89" x14ac:dyDescent="0.3">
      <c r="A1" t="s">
        <v>69</v>
      </c>
    </row>
    <row r="2" spans="1:89" s="9" customFormat="1" x14ac:dyDescent="0.3">
      <c r="A2" s="9" t="s">
        <v>130</v>
      </c>
      <c r="B2" s="9" t="s">
        <v>0</v>
      </c>
      <c r="C2" s="9" t="s">
        <v>1</v>
      </c>
      <c r="D2" s="9" t="s">
        <v>2</v>
      </c>
      <c r="E2" s="9" t="s">
        <v>36</v>
      </c>
      <c r="F2" s="9" t="s">
        <v>66</v>
      </c>
      <c r="G2" s="9" t="s">
        <v>38</v>
      </c>
      <c r="H2" s="9" t="s">
        <v>3</v>
      </c>
      <c r="I2" s="9" t="s">
        <v>42</v>
      </c>
      <c r="J2" s="9" t="s">
        <v>4</v>
      </c>
      <c r="K2" s="9" t="s">
        <v>6</v>
      </c>
      <c r="L2" s="9" t="s">
        <v>5</v>
      </c>
      <c r="M2" s="9" t="s">
        <v>7</v>
      </c>
      <c r="N2" s="9" t="s">
        <v>8</v>
      </c>
      <c r="O2" s="9" t="s">
        <v>9</v>
      </c>
      <c r="P2" s="9" t="s">
        <v>11</v>
      </c>
      <c r="Q2" s="9" t="s">
        <v>10</v>
      </c>
      <c r="R2" s="9" t="s">
        <v>12</v>
      </c>
      <c r="S2" s="9" t="s">
        <v>15</v>
      </c>
      <c r="T2" s="9" t="s">
        <v>14</v>
      </c>
      <c r="U2" s="9" t="s">
        <v>13</v>
      </c>
      <c r="V2" s="9" t="s">
        <v>16</v>
      </c>
      <c r="W2" s="9" t="s">
        <v>557</v>
      </c>
      <c r="X2" s="9" t="s">
        <v>17</v>
      </c>
      <c r="Y2" s="9" t="s">
        <v>64</v>
      </c>
      <c r="Z2" s="9" t="s">
        <v>65</v>
      </c>
      <c r="AA2" s="9" t="s">
        <v>19</v>
      </c>
      <c r="AB2" s="10" t="s">
        <v>20</v>
      </c>
      <c r="AC2" s="9" t="s">
        <v>18</v>
      </c>
      <c r="AD2" s="9" t="s">
        <v>21</v>
      </c>
      <c r="AE2" s="9" t="s">
        <v>51</v>
      </c>
      <c r="AF2" s="9" t="s">
        <v>22</v>
      </c>
      <c r="AG2" s="9" t="s">
        <v>23</v>
      </c>
      <c r="AH2" s="9" t="s">
        <v>24</v>
      </c>
      <c r="AI2" s="9" t="s">
        <v>25</v>
      </c>
      <c r="AJ2" s="9" t="s">
        <v>53</v>
      </c>
      <c r="AK2" s="9" t="s">
        <v>123</v>
      </c>
      <c r="AL2" s="9" t="s">
        <v>108</v>
      </c>
      <c r="AM2" s="9" t="s">
        <v>117</v>
      </c>
      <c r="AN2" s="9" t="s">
        <v>150</v>
      </c>
      <c r="AO2" s="9" t="s">
        <v>151</v>
      </c>
      <c r="AP2" s="9" t="s">
        <v>152</v>
      </c>
      <c r="AQ2" s="9" t="s">
        <v>27</v>
      </c>
      <c r="AR2" s="9" t="s">
        <v>28</v>
      </c>
      <c r="AS2" s="9" t="s">
        <v>26</v>
      </c>
      <c r="AT2" s="9" t="s">
        <v>67</v>
      </c>
      <c r="AU2" s="9" t="s">
        <v>68</v>
      </c>
      <c r="AV2" s="9" t="s">
        <v>56</v>
      </c>
      <c r="AW2" s="9" t="s">
        <v>57</v>
      </c>
      <c r="AX2" s="9" t="s">
        <v>58</v>
      </c>
      <c r="AY2" s="9" t="s">
        <v>59</v>
      </c>
      <c r="AZ2" s="9" t="s">
        <v>60</v>
      </c>
      <c r="BA2" s="9" t="s">
        <v>61</v>
      </c>
      <c r="BB2" s="9" t="s">
        <v>63</v>
      </c>
      <c r="BC2" s="9" t="s">
        <v>659</v>
      </c>
      <c r="BD2" s="9" t="s">
        <v>603</v>
      </c>
      <c r="BE2" s="9" t="s">
        <v>604</v>
      </c>
      <c r="BF2" s="9" t="s">
        <v>605</v>
      </c>
      <c r="BG2" s="9" t="s">
        <v>606</v>
      </c>
      <c r="BH2" s="9" t="s">
        <v>607</v>
      </c>
      <c r="BI2" s="9" t="s">
        <v>608</v>
      </c>
      <c r="BJ2" s="9" t="s">
        <v>609</v>
      </c>
      <c r="BK2" s="9" t="s">
        <v>610</v>
      </c>
      <c r="BL2" s="9" t="s">
        <v>611</v>
      </c>
      <c r="BM2" s="9" t="s">
        <v>612</v>
      </c>
      <c r="BN2" s="9" t="s">
        <v>56</v>
      </c>
      <c r="BO2" s="9" t="s">
        <v>613</v>
      </c>
      <c r="BP2" s="9" t="s">
        <v>614</v>
      </c>
      <c r="BQ2" s="9" t="s">
        <v>615</v>
      </c>
      <c r="BR2" s="9" t="s">
        <v>616</v>
      </c>
      <c r="BS2" s="9" t="s">
        <v>617</v>
      </c>
      <c r="BT2" s="9" t="s">
        <v>618</v>
      </c>
      <c r="BU2" s="9" t="s">
        <v>619</v>
      </c>
      <c r="BV2" s="9" t="s">
        <v>622</v>
      </c>
      <c r="BW2" s="9" t="s">
        <v>620</v>
      </c>
      <c r="BX2" s="9" t="s">
        <v>621</v>
      </c>
      <c r="BY2" s="9" t="s">
        <v>623</v>
      </c>
      <c r="BZ2" s="9" t="s">
        <v>624</v>
      </c>
      <c r="CA2" s="9" t="s">
        <v>625</v>
      </c>
      <c r="CB2" s="9" t="s">
        <v>626</v>
      </c>
      <c r="CC2" s="9" t="s">
        <v>581</v>
      </c>
      <c r="CD2" s="9" t="s">
        <v>583</v>
      </c>
      <c r="CE2" s="9" t="s">
        <v>582</v>
      </c>
      <c r="CF2" s="9" t="s">
        <v>629</v>
      </c>
      <c r="CG2" s="9" t="s">
        <v>627</v>
      </c>
      <c r="CH2" s="9" t="s">
        <v>628</v>
      </c>
      <c r="CI2" s="9" t="s">
        <v>29</v>
      </c>
      <c r="CJ2" s="9" t="s">
        <v>30</v>
      </c>
      <c r="CK2" s="9" t="s">
        <v>31</v>
      </c>
    </row>
    <row r="3" spans="1:89" x14ac:dyDescent="0.3">
      <c r="A3" t="str">
        <f>B3&amp;" - "&amp;D3&amp;" - "&amp;E3</f>
        <v>Kick Scooter, electric, &lt;1kW - 2020 - CH</v>
      </c>
      <c r="B3" t="s">
        <v>688</v>
      </c>
      <c r="D3">
        <v>2020</v>
      </c>
      <c r="E3" t="s">
        <v>37</v>
      </c>
      <c r="F3" t="s">
        <v>146</v>
      </c>
      <c r="G3" t="s">
        <v>39</v>
      </c>
      <c r="H3" t="s">
        <v>32</v>
      </c>
      <c r="I3" t="s">
        <v>43</v>
      </c>
      <c r="J3">
        <v>1785</v>
      </c>
      <c r="K3">
        <v>890</v>
      </c>
      <c r="L3" s="2">
        <f>J3/K3</f>
        <v>2.00561797752809</v>
      </c>
      <c r="M3">
        <v>1</v>
      </c>
      <c r="N3">
        <v>70</v>
      </c>
      <c r="O3">
        <v>0</v>
      </c>
      <c r="P3" s="2">
        <f t="shared" ref="P3:P26" si="0">SUM(U3,V3,W3,AC3,AF3,AH3)</f>
        <v>12.274999999999999</v>
      </c>
      <c r="Q3" s="2">
        <f>P3+(M3*N3)+O3</f>
        <v>82.275000000000006</v>
      </c>
      <c r="R3">
        <v>0.25</v>
      </c>
      <c r="S3" s="2">
        <v>7</v>
      </c>
      <c r="T3" s="1">
        <v>0</v>
      </c>
      <c r="U3" s="2">
        <f>S3*(1-T3)</f>
        <v>7</v>
      </c>
      <c r="V3">
        <v>0</v>
      </c>
      <c r="W3">
        <v>3</v>
      </c>
      <c r="X3" s="3">
        <v>0.35</v>
      </c>
      <c r="Y3" s="1">
        <v>0.8</v>
      </c>
      <c r="Z3" s="3">
        <f>Y3*X3</f>
        <v>0.27999999999999997</v>
      </c>
      <c r="AA3" s="3">
        <f>X3/'energy battery'!B$3</f>
        <v>1.7499999999999998</v>
      </c>
      <c r="AB3" s="3">
        <f>0.3*AA3</f>
        <v>0.52499999999999991</v>
      </c>
      <c r="AC3" s="3">
        <f>AB3+AA3</f>
        <v>2.2749999999999995</v>
      </c>
      <c r="AD3">
        <v>0</v>
      </c>
      <c r="AE3">
        <v>0</v>
      </c>
      <c r="AF3">
        <v>0</v>
      </c>
      <c r="AG3">
        <v>0</v>
      </c>
      <c r="AH3">
        <v>0</v>
      </c>
      <c r="AI3">
        <v>0.5</v>
      </c>
      <c r="AJ3">
        <v>1</v>
      </c>
      <c r="AK3">
        <f>J3/4000</f>
        <v>0.44624999999999998</v>
      </c>
      <c r="AL3">
        <f>0.000537/1000*Q3</f>
        <v>4.4181675000000002E-5</v>
      </c>
      <c r="AM3">
        <v>0</v>
      </c>
      <c r="AN3" s="2">
        <f>U3</f>
        <v>7</v>
      </c>
      <c r="AO3" s="2">
        <f>SUM(V3:W3)</f>
        <v>3</v>
      </c>
      <c r="AP3" s="2">
        <f>AC3</f>
        <v>2.2749999999999995</v>
      </c>
      <c r="AQ3" s="6" t="s">
        <v>86</v>
      </c>
      <c r="AR3" s="5">
        <v>8.6126327557294588E-2</v>
      </c>
      <c r="AS3" s="2">
        <f>SUM(Z3,AG3)/(SUM(AQ3:AR3)/3.6)</f>
        <v>11.703738317757008</v>
      </c>
      <c r="AT3" s="5">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f>VLOOKUP(B3,'abrasion emissions'!$A$4:$D$32,4,FALSE)</f>
        <v>3.0000000000000001E-6</v>
      </c>
      <c r="CJ3" s="7">
        <f>VLOOKUP(B3,'abrasion emissions'!$A$4:$D$32,2,FALSE)</f>
        <v>2.9189999999999999E-6</v>
      </c>
      <c r="CK3" s="7">
        <f>VLOOKUP(B3,'abrasion emissions'!$A$4:$D$32,3,FALSE)</f>
        <v>1.8370000000000002E-6</v>
      </c>
    </row>
    <row r="4" spans="1:89" x14ac:dyDescent="0.3">
      <c r="A4" t="str">
        <f t="shared" ref="A4:A57" si="1">B4&amp;" - "&amp;D4&amp;" - "&amp;E4</f>
        <v>Kick Scooter, electric, &lt;1kW - 2030 - CH</v>
      </c>
      <c r="B4" t="s">
        <v>688</v>
      </c>
      <c r="D4">
        <v>2030</v>
      </c>
      <c r="E4" t="s">
        <v>37</v>
      </c>
      <c r="F4" t="s">
        <v>146</v>
      </c>
      <c r="G4" t="s">
        <v>39</v>
      </c>
      <c r="H4" t="s">
        <v>32</v>
      </c>
      <c r="I4" t="s">
        <v>43</v>
      </c>
      <c r="J4" s="21">
        <v>1785</v>
      </c>
      <c r="K4" s="21">
        <v>890</v>
      </c>
      <c r="L4" s="2">
        <f t="shared" ref="L4:L57" si="2">J4/K4</f>
        <v>2.00561797752809</v>
      </c>
      <c r="M4">
        <v>1</v>
      </c>
      <c r="N4">
        <v>70</v>
      </c>
      <c r="O4">
        <v>0</v>
      </c>
      <c r="P4" s="2">
        <f t="shared" si="0"/>
        <v>11.856666666666666</v>
      </c>
      <c r="Q4" s="2">
        <f t="shared" ref="Q4:Q57" si="3">P4+(M4*N4)+O4</f>
        <v>81.856666666666669</v>
      </c>
      <c r="R4">
        <v>0.25</v>
      </c>
      <c r="S4" s="2">
        <v>7</v>
      </c>
      <c r="T4" s="1">
        <v>0.03</v>
      </c>
      <c r="U4" s="2">
        <f t="shared" ref="U4:U52" si="4">S4*(1-T4)</f>
        <v>6.79</v>
      </c>
      <c r="V4">
        <v>0</v>
      </c>
      <c r="W4">
        <v>2.9</v>
      </c>
      <c r="X4" s="3">
        <v>0.5</v>
      </c>
      <c r="Y4" s="1">
        <v>0.8</v>
      </c>
      <c r="Z4" s="3">
        <f t="shared" ref="Z4:Z57" si="5">Y4*X4</f>
        <v>0.4</v>
      </c>
      <c r="AA4" s="3">
        <f>X4/'energy battery'!B$4</f>
        <v>1.6666666666666667</v>
      </c>
      <c r="AB4" s="3">
        <f t="shared" ref="AB4:AB22" si="6">0.3*AA4</f>
        <v>0.5</v>
      </c>
      <c r="AC4" s="3">
        <f t="shared" ref="AC4:AC57" si="7">AB4+AA4</f>
        <v>2.166666666666667</v>
      </c>
      <c r="AD4">
        <v>0</v>
      </c>
      <c r="AE4">
        <v>0</v>
      </c>
      <c r="AF4">
        <v>0</v>
      </c>
      <c r="AG4">
        <v>0</v>
      </c>
      <c r="AH4">
        <v>0</v>
      </c>
      <c r="AI4">
        <v>0.5</v>
      </c>
      <c r="AJ4">
        <v>1</v>
      </c>
      <c r="AK4">
        <f>J4/4000</f>
        <v>0.44624999999999998</v>
      </c>
      <c r="AL4">
        <f t="shared" ref="AL4:AL22" si="8">0.000537/1000*Q4</f>
        <v>4.3957030000000002E-5</v>
      </c>
      <c r="AM4">
        <v>0</v>
      </c>
      <c r="AN4" s="2">
        <f t="shared" ref="AN4:AN57" si="9">U4</f>
        <v>6.79</v>
      </c>
      <c r="AO4" s="2">
        <f t="shared" ref="AO4:AO57" si="10">SUM(V4:W4)</f>
        <v>2.9</v>
      </c>
      <c r="AP4" s="2">
        <f t="shared" ref="AP4:AP57" si="11">AC4</f>
        <v>2.166666666666667</v>
      </c>
      <c r="AQ4" s="6" t="s">
        <v>86</v>
      </c>
      <c r="AR4" s="5">
        <v>8.6126327557294588E-2</v>
      </c>
      <c r="AS4" s="2">
        <f>SUM(Z4,AG4)/(SUM(AQ4:AR4)/3.6)</f>
        <v>16.719626168224298</v>
      </c>
      <c r="AT4" s="5">
        <v>0</v>
      </c>
      <c r="AU4" s="7">
        <v>0</v>
      </c>
      <c r="AV4" s="7">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f>VLOOKUP(B4,'abrasion emissions'!$A$4:$D$32,4,FALSE)</f>
        <v>3.0000000000000001E-6</v>
      </c>
      <c r="CJ4" s="7">
        <f>VLOOKUP(B4,'abrasion emissions'!$A$4:$D$32,2,FALSE)</f>
        <v>2.9189999999999999E-6</v>
      </c>
      <c r="CK4" s="7">
        <f>VLOOKUP(B4,'abrasion emissions'!$A$4:$D$32,3,FALSE)</f>
        <v>1.8370000000000002E-6</v>
      </c>
    </row>
    <row r="5" spans="1:89" x14ac:dyDescent="0.3">
      <c r="A5" t="str">
        <f t="shared" si="1"/>
        <v>Kick Scooter, electric, &lt;1kW - 2040 - CH</v>
      </c>
      <c r="B5" t="s">
        <v>688</v>
      </c>
      <c r="D5">
        <v>2040</v>
      </c>
      <c r="E5" t="s">
        <v>37</v>
      </c>
      <c r="F5" t="s">
        <v>146</v>
      </c>
      <c r="G5" t="s">
        <v>39</v>
      </c>
      <c r="H5" t="s">
        <v>32</v>
      </c>
      <c r="I5" t="s">
        <v>43</v>
      </c>
      <c r="J5" s="21">
        <v>1785</v>
      </c>
      <c r="K5" s="21">
        <v>890</v>
      </c>
      <c r="L5" s="2">
        <f t="shared" si="2"/>
        <v>2.00561797752809</v>
      </c>
      <c r="M5">
        <v>1</v>
      </c>
      <c r="N5">
        <v>70</v>
      </c>
      <c r="O5">
        <v>0</v>
      </c>
      <c r="P5" s="2">
        <f t="shared" si="0"/>
        <v>12.049999999999999</v>
      </c>
      <c r="Q5" s="2">
        <f t="shared" si="3"/>
        <v>82.05</v>
      </c>
      <c r="R5">
        <v>0.25</v>
      </c>
      <c r="S5" s="2">
        <v>7</v>
      </c>
      <c r="T5" s="1">
        <v>0.05</v>
      </c>
      <c r="U5" s="2">
        <f t="shared" si="4"/>
        <v>6.6499999999999995</v>
      </c>
      <c r="V5">
        <v>0</v>
      </c>
      <c r="W5">
        <v>2.8</v>
      </c>
      <c r="X5" s="3">
        <v>0.8</v>
      </c>
      <c r="Y5" s="1">
        <v>0.8</v>
      </c>
      <c r="Z5" s="3">
        <f t="shared" si="5"/>
        <v>0.64000000000000012</v>
      </c>
      <c r="AA5" s="3">
        <f>X5/'energy battery'!B$5</f>
        <v>2</v>
      </c>
      <c r="AB5" s="3">
        <f t="shared" si="6"/>
        <v>0.6</v>
      </c>
      <c r="AC5" s="3">
        <f t="shared" si="7"/>
        <v>2.6</v>
      </c>
      <c r="AD5">
        <v>0</v>
      </c>
      <c r="AE5">
        <v>0</v>
      </c>
      <c r="AF5">
        <v>0</v>
      </c>
      <c r="AG5">
        <v>0</v>
      </c>
      <c r="AH5">
        <v>0</v>
      </c>
      <c r="AI5">
        <v>0.5</v>
      </c>
      <c r="AJ5">
        <v>1</v>
      </c>
      <c r="AK5">
        <f>J5/4000</f>
        <v>0.44624999999999998</v>
      </c>
      <c r="AL5">
        <f t="shared" si="8"/>
        <v>4.406085E-5</v>
      </c>
      <c r="AM5">
        <v>0</v>
      </c>
      <c r="AN5" s="2">
        <f t="shared" si="9"/>
        <v>6.6499999999999995</v>
      </c>
      <c r="AO5" s="2">
        <f t="shared" si="10"/>
        <v>2.8</v>
      </c>
      <c r="AP5" s="2">
        <f t="shared" si="11"/>
        <v>2.6</v>
      </c>
      <c r="AQ5" s="6" t="s">
        <v>86</v>
      </c>
      <c r="AR5" s="5">
        <v>8.6126327557294588E-2</v>
      </c>
      <c r="AS5" s="2">
        <f>SUM(Z5,AG5)/(SUM(AQ5:AR5)/3.6)</f>
        <v>26.751401869158883</v>
      </c>
      <c r="AT5" s="5">
        <v>0</v>
      </c>
      <c r="AU5" s="7">
        <v>0</v>
      </c>
      <c r="AV5" s="7">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f>VLOOKUP(B5,'abrasion emissions'!$A$4:$D$32,4,FALSE)</f>
        <v>3.0000000000000001E-6</v>
      </c>
      <c r="CJ5" s="7">
        <f>VLOOKUP(B5,'abrasion emissions'!$A$4:$D$32,2,FALSE)</f>
        <v>2.9189999999999999E-6</v>
      </c>
      <c r="CK5" s="7">
        <f>VLOOKUP(B5,'abrasion emissions'!$A$4:$D$32,3,FALSE)</f>
        <v>1.8370000000000002E-6</v>
      </c>
    </row>
    <row r="6" spans="1:89" x14ac:dyDescent="0.3">
      <c r="A6" t="str">
        <f t="shared" si="1"/>
        <v>Kick Scooter, electric, &lt;1kW - 2050 - CH</v>
      </c>
      <c r="B6" t="s">
        <v>688</v>
      </c>
      <c r="D6">
        <v>2050</v>
      </c>
      <c r="E6" t="s">
        <v>37</v>
      </c>
      <c r="F6" t="s">
        <v>146</v>
      </c>
      <c r="G6" t="s">
        <v>39</v>
      </c>
      <c r="H6" t="s">
        <v>32</v>
      </c>
      <c r="I6" t="s">
        <v>43</v>
      </c>
      <c r="J6" s="21">
        <v>1785</v>
      </c>
      <c r="K6" s="21">
        <v>890</v>
      </c>
      <c r="L6" s="2">
        <f t="shared" si="2"/>
        <v>2.00561797752809</v>
      </c>
      <c r="M6">
        <v>1</v>
      </c>
      <c r="N6">
        <v>70</v>
      </c>
      <c r="O6">
        <v>0</v>
      </c>
      <c r="P6" s="2">
        <f t="shared" si="0"/>
        <v>11.81</v>
      </c>
      <c r="Q6" s="2">
        <f t="shared" si="3"/>
        <v>81.81</v>
      </c>
      <c r="R6">
        <v>0.25</v>
      </c>
      <c r="S6" s="2">
        <v>7</v>
      </c>
      <c r="T6" s="1">
        <v>7.0000000000000007E-2</v>
      </c>
      <c r="U6" s="2">
        <f t="shared" si="4"/>
        <v>6.51</v>
      </c>
      <c r="V6">
        <v>0</v>
      </c>
      <c r="W6">
        <v>2.7</v>
      </c>
      <c r="X6" s="3">
        <v>1</v>
      </c>
      <c r="Y6" s="1">
        <v>0.8</v>
      </c>
      <c r="Z6" s="3">
        <f t="shared" si="5"/>
        <v>0.8</v>
      </c>
      <c r="AA6" s="3">
        <f>X6/'energy battery'!B$6</f>
        <v>2</v>
      </c>
      <c r="AB6" s="3">
        <f t="shared" si="6"/>
        <v>0.6</v>
      </c>
      <c r="AC6" s="3">
        <f t="shared" si="7"/>
        <v>2.6</v>
      </c>
      <c r="AD6">
        <v>0</v>
      </c>
      <c r="AE6">
        <v>0</v>
      </c>
      <c r="AF6">
        <v>0</v>
      </c>
      <c r="AG6">
        <v>0</v>
      </c>
      <c r="AH6">
        <v>0</v>
      </c>
      <c r="AI6">
        <v>0.5</v>
      </c>
      <c r="AJ6">
        <v>1</v>
      </c>
      <c r="AK6">
        <f>J6/4000</f>
        <v>0.44624999999999998</v>
      </c>
      <c r="AL6">
        <f t="shared" si="8"/>
        <v>4.3931970000000004E-5</v>
      </c>
      <c r="AM6">
        <v>0</v>
      </c>
      <c r="AN6" s="2">
        <f t="shared" si="9"/>
        <v>6.51</v>
      </c>
      <c r="AO6" s="2">
        <f t="shared" si="10"/>
        <v>2.7</v>
      </c>
      <c r="AP6" s="2">
        <f t="shared" si="11"/>
        <v>2.6</v>
      </c>
      <c r="AQ6" s="6" t="s">
        <v>86</v>
      </c>
      <c r="AR6" s="5">
        <v>8.6126327557294588E-2</v>
      </c>
      <c r="AS6" s="2">
        <f>SUM(Z6,AG6)/(SUM(AQ6:AR6)/3.6)</f>
        <v>33.439252336448597</v>
      </c>
      <c r="AT6" s="5">
        <v>0</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f>VLOOKUP(B6,'abrasion emissions'!$A$4:$D$32,4,FALSE)</f>
        <v>3.0000000000000001E-6</v>
      </c>
      <c r="CJ6" s="7">
        <f>VLOOKUP(B6,'abrasion emissions'!$A$4:$D$32,2,FALSE)</f>
        <v>2.9189999999999999E-6</v>
      </c>
      <c r="CK6" s="7">
        <f>VLOOKUP(B6,'abrasion emissions'!$A$4:$D$32,3,FALSE)</f>
        <v>1.8370000000000002E-6</v>
      </c>
    </row>
    <row r="7" spans="1:89" x14ac:dyDescent="0.3">
      <c r="A7" t="str">
        <f t="shared" si="1"/>
        <v>Bicycle, conventional, urban - 2020 - CH</v>
      </c>
      <c r="B7" t="s">
        <v>33</v>
      </c>
      <c r="D7">
        <v>2020</v>
      </c>
      <c r="E7" t="s">
        <v>37</v>
      </c>
      <c r="F7" t="s">
        <v>146</v>
      </c>
      <c r="G7" t="s">
        <v>39</v>
      </c>
      <c r="J7">
        <v>10000</v>
      </c>
      <c r="K7">
        <v>1000</v>
      </c>
      <c r="L7" s="2">
        <f t="shared" si="2"/>
        <v>10</v>
      </c>
      <c r="M7">
        <v>1</v>
      </c>
      <c r="N7">
        <v>70</v>
      </c>
      <c r="O7">
        <v>1</v>
      </c>
      <c r="P7" s="2">
        <f t="shared" si="0"/>
        <v>12</v>
      </c>
      <c r="Q7" s="2">
        <f t="shared" si="3"/>
        <v>83</v>
      </c>
      <c r="R7">
        <v>0</v>
      </c>
      <c r="S7" s="2">
        <v>12</v>
      </c>
      <c r="T7" s="1">
        <v>0</v>
      </c>
      <c r="U7" s="2">
        <f t="shared" si="4"/>
        <v>12</v>
      </c>
      <c r="V7">
        <v>0</v>
      </c>
      <c r="W7">
        <v>0</v>
      </c>
      <c r="X7" s="3">
        <v>0</v>
      </c>
      <c r="Y7" s="1">
        <v>0.8</v>
      </c>
      <c r="Z7" s="3">
        <f t="shared" si="5"/>
        <v>0</v>
      </c>
      <c r="AA7" s="3">
        <f>X7/'energy battery'!B$3</f>
        <v>0</v>
      </c>
      <c r="AB7" s="3">
        <f t="shared" si="6"/>
        <v>0</v>
      </c>
      <c r="AC7" s="3">
        <f t="shared" si="7"/>
        <v>0</v>
      </c>
      <c r="AD7">
        <v>0</v>
      </c>
      <c r="AE7">
        <v>0</v>
      </c>
      <c r="AF7">
        <v>0</v>
      </c>
      <c r="AG7">
        <v>0</v>
      </c>
      <c r="AH7">
        <v>0</v>
      </c>
      <c r="AI7">
        <v>0</v>
      </c>
      <c r="AJ7">
        <v>0</v>
      </c>
      <c r="AK7">
        <f>J7/4000</f>
        <v>2.5</v>
      </c>
      <c r="AL7">
        <f t="shared" si="8"/>
        <v>4.4570999999999997E-5</v>
      </c>
      <c r="AM7">
        <v>0</v>
      </c>
      <c r="AN7" s="2">
        <f t="shared" si="9"/>
        <v>12</v>
      </c>
      <c r="AO7" s="2">
        <f t="shared" si="10"/>
        <v>0</v>
      </c>
      <c r="AP7" s="2">
        <f t="shared" si="11"/>
        <v>0</v>
      </c>
      <c r="AQ7" s="6" t="s">
        <v>86</v>
      </c>
      <c r="AR7" s="6" t="str">
        <f>IF($H7="BEV",SUMPRODUCT(#REF!,#REF!),"")</f>
        <v/>
      </c>
      <c r="AS7" s="2">
        <v>0</v>
      </c>
      <c r="AT7" s="5">
        <v>0</v>
      </c>
      <c r="AU7" s="7">
        <v>0</v>
      </c>
      <c r="AV7" s="7">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f>VLOOKUP(B7,'abrasion emissions'!$A$4:$D$32,4,FALSE)</f>
        <v>3.0000000000000001E-6</v>
      </c>
      <c r="CJ7" s="7">
        <f>VLOOKUP(B7,'abrasion emissions'!$A$4:$D$32,2,FALSE)</f>
        <v>2.9189999999999999E-6</v>
      </c>
      <c r="CK7" s="7">
        <f>VLOOKUP(B7,'abrasion emissions'!$A$4:$D$32,3,FALSE)</f>
        <v>1.8370000000000002E-6</v>
      </c>
    </row>
    <row r="8" spans="1:89" x14ac:dyDescent="0.3">
      <c r="A8" t="str">
        <f t="shared" si="1"/>
        <v>Bicycle, conventional, urban - 2030 - CH</v>
      </c>
      <c r="B8" t="s">
        <v>33</v>
      </c>
      <c r="D8">
        <v>2030</v>
      </c>
      <c r="E8" t="s">
        <v>37</v>
      </c>
      <c r="F8" t="s">
        <v>146</v>
      </c>
      <c r="G8" t="s">
        <v>39</v>
      </c>
      <c r="J8">
        <v>10000</v>
      </c>
      <c r="K8">
        <v>1000</v>
      </c>
      <c r="L8" s="2">
        <f t="shared" si="2"/>
        <v>10</v>
      </c>
      <c r="M8">
        <v>1</v>
      </c>
      <c r="N8">
        <v>70</v>
      </c>
      <c r="O8">
        <v>1</v>
      </c>
      <c r="P8" s="2">
        <f t="shared" si="0"/>
        <v>11.64</v>
      </c>
      <c r="Q8" s="2">
        <f t="shared" si="3"/>
        <v>82.64</v>
      </c>
      <c r="R8">
        <v>0</v>
      </c>
      <c r="S8" s="2">
        <v>12</v>
      </c>
      <c r="T8" s="1">
        <v>0.03</v>
      </c>
      <c r="U8" s="2">
        <f t="shared" si="4"/>
        <v>11.64</v>
      </c>
      <c r="V8">
        <v>0</v>
      </c>
      <c r="W8">
        <v>0</v>
      </c>
      <c r="X8" s="3">
        <v>0</v>
      </c>
      <c r="Y8" s="1">
        <v>0.8</v>
      </c>
      <c r="Z8" s="3">
        <f t="shared" si="5"/>
        <v>0</v>
      </c>
      <c r="AA8" s="3">
        <f>X8/'energy battery'!B$4</f>
        <v>0</v>
      </c>
      <c r="AB8" s="3">
        <f t="shared" si="6"/>
        <v>0</v>
      </c>
      <c r="AC8" s="3">
        <f t="shared" si="7"/>
        <v>0</v>
      </c>
      <c r="AD8">
        <v>0</v>
      </c>
      <c r="AE8">
        <v>0</v>
      </c>
      <c r="AF8">
        <v>0</v>
      </c>
      <c r="AG8">
        <v>0</v>
      </c>
      <c r="AH8">
        <v>0</v>
      </c>
      <c r="AI8">
        <v>0</v>
      </c>
      <c r="AJ8">
        <v>0</v>
      </c>
      <c r="AK8">
        <f t="shared" ref="AK8:AK22" si="12">J8/4000</f>
        <v>2.5</v>
      </c>
      <c r="AL8">
        <f t="shared" si="8"/>
        <v>4.4377679999999999E-5</v>
      </c>
      <c r="AM8">
        <v>0</v>
      </c>
      <c r="AN8" s="2">
        <f t="shared" si="9"/>
        <v>11.64</v>
      </c>
      <c r="AO8" s="2">
        <f t="shared" si="10"/>
        <v>0</v>
      </c>
      <c r="AP8" s="2">
        <f t="shared" si="11"/>
        <v>0</v>
      </c>
      <c r="AQ8" s="6" t="s">
        <v>86</v>
      </c>
      <c r="AR8" s="6" t="str">
        <f>IF($H8="BEV",SUMPRODUCT(#REF!,#REF!),"")</f>
        <v/>
      </c>
      <c r="AS8" s="2">
        <v>0</v>
      </c>
      <c r="AT8" s="5">
        <v>0</v>
      </c>
      <c r="AU8" s="7">
        <v>0</v>
      </c>
      <c r="AV8" s="7">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f>VLOOKUP(B8,'abrasion emissions'!$A$4:$D$32,4,FALSE)</f>
        <v>3.0000000000000001E-6</v>
      </c>
      <c r="CJ8" s="7">
        <f>VLOOKUP(B8,'abrasion emissions'!$A$4:$D$32,2,FALSE)</f>
        <v>2.9189999999999999E-6</v>
      </c>
      <c r="CK8" s="7">
        <f>VLOOKUP(B8,'abrasion emissions'!$A$4:$D$32,3,FALSE)</f>
        <v>1.8370000000000002E-6</v>
      </c>
    </row>
    <row r="9" spans="1:89" x14ac:dyDescent="0.3">
      <c r="A9" t="str">
        <f t="shared" si="1"/>
        <v>Bicycle, conventional, urban - 2040 - CH</v>
      </c>
      <c r="B9" t="s">
        <v>33</v>
      </c>
      <c r="D9">
        <v>2040</v>
      </c>
      <c r="E9" t="s">
        <v>37</v>
      </c>
      <c r="F9" t="s">
        <v>146</v>
      </c>
      <c r="G9" t="s">
        <v>39</v>
      </c>
      <c r="J9">
        <v>10000</v>
      </c>
      <c r="K9">
        <v>1000</v>
      </c>
      <c r="L9" s="2">
        <f t="shared" si="2"/>
        <v>10</v>
      </c>
      <c r="M9">
        <v>1</v>
      </c>
      <c r="N9">
        <v>70</v>
      </c>
      <c r="O9">
        <v>1</v>
      </c>
      <c r="P9" s="2">
        <f t="shared" si="0"/>
        <v>11.399999999999999</v>
      </c>
      <c r="Q9" s="2">
        <f t="shared" si="3"/>
        <v>82.4</v>
      </c>
      <c r="R9">
        <v>0</v>
      </c>
      <c r="S9" s="2">
        <v>12</v>
      </c>
      <c r="T9" s="1">
        <v>0.05</v>
      </c>
      <c r="U9" s="2">
        <f t="shared" si="4"/>
        <v>11.399999999999999</v>
      </c>
      <c r="V9">
        <v>0</v>
      </c>
      <c r="W9">
        <v>0</v>
      </c>
      <c r="X9" s="3">
        <v>0</v>
      </c>
      <c r="Y9" s="1">
        <v>0.8</v>
      </c>
      <c r="Z9" s="3">
        <f t="shared" si="5"/>
        <v>0</v>
      </c>
      <c r="AA9" s="3">
        <f>X9/'energy battery'!B$5</f>
        <v>0</v>
      </c>
      <c r="AB9" s="3">
        <f t="shared" si="6"/>
        <v>0</v>
      </c>
      <c r="AC9" s="3">
        <f t="shared" si="7"/>
        <v>0</v>
      </c>
      <c r="AD9">
        <v>0</v>
      </c>
      <c r="AE9">
        <v>0</v>
      </c>
      <c r="AF9">
        <v>0</v>
      </c>
      <c r="AG9">
        <v>0</v>
      </c>
      <c r="AH9">
        <v>0</v>
      </c>
      <c r="AI9">
        <v>0</v>
      </c>
      <c r="AJ9">
        <v>0</v>
      </c>
      <c r="AK9">
        <f t="shared" si="12"/>
        <v>2.5</v>
      </c>
      <c r="AL9">
        <f t="shared" si="8"/>
        <v>4.4248800000000002E-5</v>
      </c>
      <c r="AM9">
        <v>0</v>
      </c>
      <c r="AN9" s="2">
        <f t="shared" si="9"/>
        <v>11.399999999999999</v>
      </c>
      <c r="AO9" s="2">
        <f t="shared" si="10"/>
        <v>0</v>
      </c>
      <c r="AP9" s="2">
        <f t="shared" si="11"/>
        <v>0</v>
      </c>
      <c r="AQ9" s="6" t="s">
        <v>86</v>
      </c>
      <c r="AR9" s="6" t="str">
        <f>IF($H9="BEV",SUMPRODUCT(#REF!,#REF!),"")</f>
        <v/>
      </c>
      <c r="AS9" s="2">
        <v>0</v>
      </c>
      <c r="AT9" s="5">
        <v>0</v>
      </c>
      <c r="AU9" s="7">
        <v>0</v>
      </c>
      <c r="AV9" s="7">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f>VLOOKUP(B9,'abrasion emissions'!$A$4:$D$32,4,FALSE)</f>
        <v>3.0000000000000001E-6</v>
      </c>
      <c r="CJ9" s="7">
        <f>VLOOKUP(B9,'abrasion emissions'!$A$4:$D$32,2,FALSE)</f>
        <v>2.9189999999999999E-6</v>
      </c>
      <c r="CK9" s="7">
        <f>VLOOKUP(B9,'abrasion emissions'!$A$4:$D$32,3,FALSE)</f>
        <v>1.8370000000000002E-6</v>
      </c>
    </row>
    <row r="10" spans="1:89" x14ac:dyDescent="0.3">
      <c r="A10" t="str">
        <f t="shared" si="1"/>
        <v>Bicycle, conventional, urban - 2050 - CH</v>
      </c>
      <c r="B10" t="s">
        <v>33</v>
      </c>
      <c r="D10">
        <v>2050</v>
      </c>
      <c r="E10" t="s">
        <v>37</v>
      </c>
      <c r="F10" t="s">
        <v>146</v>
      </c>
      <c r="G10" t="s">
        <v>39</v>
      </c>
      <c r="J10">
        <v>10000</v>
      </c>
      <c r="K10">
        <v>1000</v>
      </c>
      <c r="L10" s="2">
        <f t="shared" si="2"/>
        <v>10</v>
      </c>
      <c r="M10">
        <v>1</v>
      </c>
      <c r="N10">
        <v>70</v>
      </c>
      <c r="O10">
        <v>1</v>
      </c>
      <c r="P10" s="2">
        <f t="shared" si="0"/>
        <v>11.16</v>
      </c>
      <c r="Q10" s="2">
        <f t="shared" si="3"/>
        <v>82.16</v>
      </c>
      <c r="R10">
        <v>0</v>
      </c>
      <c r="S10" s="2">
        <v>12</v>
      </c>
      <c r="T10" s="1">
        <v>7.0000000000000007E-2</v>
      </c>
      <c r="U10" s="2">
        <f t="shared" si="4"/>
        <v>11.16</v>
      </c>
      <c r="V10">
        <v>0</v>
      </c>
      <c r="W10">
        <v>0</v>
      </c>
      <c r="X10" s="3">
        <v>0</v>
      </c>
      <c r="Y10" s="1">
        <v>0.8</v>
      </c>
      <c r="Z10" s="3">
        <f t="shared" si="5"/>
        <v>0</v>
      </c>
      <c r="AA10" s="3">
        <f>X10/'energy battery'!B$6</f>
        <v>0</v>
      </c>
      <c r="AB10" s="3">
        <f t="shared" si="6"/>
        <v>0</v>
      </c>
      <c r="AC10" s="3">
        <f t="shared" si="7"/>
        <v>0</v>
      </c>
      <c r="AD10">
        <v>0</v>
      </c>
      <c r="AE10">
        <v>0</v>
      </c>
      <c r="AF10">
        <v>0</v>
      </c>
      <c r="AG10">
        <v>0</v>
      </c>
      <c r="AH10">
        <v>0</v>
      </c>
      <c r="AI10">
        <v>0</v>
      </c>
      <c r="AJ10">
        <v>0</v>
      </c>
      <c r="AK10">
        <f t="shared" si="12"/>
        <v>2.5</v>
      </c>
      <c r="AL10">
        <f t="shared" si="8"/>
        <v>4.4119919999999999E-5</v>
      </c>
      <c r="AM10">
        <v>0</v>
      </c>
      <c r="AN10" s="2">
        <f t="shared" si="9"/>
        <v>11.16</v>
      </c>
      <c r="AO10" s="2">
        <f t="shared" si="10"/>
        <v>0</v>
      </c>
      <c r="AP10" s="2">
        <f t="shared" si="11"/>
        <v>0</v>
      </c>
      <c r="AQ10" s="6" t="s">
        <v>86</v>
      </c>
      <c r="AR10" s="6" t="str">
        <f>IF($H10="BEV",SUMPRODUCT(#REF!,#REF!),"")</f>
        <v/>
      </c>
      <c r="AS10" s="2">
        <v>0</v>
      </c>
      <c r="AT10" s="5">
        <v>0</v>
      </c>
      <c r="AU10" s="7">
        <v>0</v>
      </c>
      <c r="AV10" s="7">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f>VLOOKUP(B10,'abrasion emissions'!$A$4:$D$32,4,FALSE)</f>
        <v>3.0000000000000001E-6</v>
      </c>
      <c r="CJ10" s="7">
        <f>VLOOKUP(B10,'abrasion emissions'!$A$4:$D$32,2,FALSE)</f>
        <v>2.9189999999999999E-6</v>
      </c>
      <c r="CK10" s="7">
        <f>VLOOKUP(B10,'abrasion emissions'!$A$4:$D$32,3,FALSE)</f>
        <v>1.8370000000000002E-6</v>
      </c>
    </row>
    <row r="11" spans="1:89" x14ac:dyDescent="0.3">
      <c r="A11" t="str">
        <f t="shared" si="1"/>
        <v>Bicycle, electric (&lt;25 km/h) - 2020 - CH</v>
      </c>
      <c r="B11" t="s">
        <v>517</v>
      </c>
      <c r="D11">
        <v>2020</v>
      </c>
      <c r="E11" t="s">
        <v>37</v>
      </c>
      <c r="F11" t="s">
        <v>146</v>
      </c>
      <c r="G11" t="s">
        <v>39</v>
      </c>
      <c r="H11" t="s">
        <v>32</v>
      </c>
      <c r="I11" t="s">
        <v>43</v>
      </c>
      <c r="J11">
        <v>20000</v>
      </c>
      <c r="K11">
        <v>2060</v>
      </c>
      <c r="L11" s="2">
        <f t="shared" si="2"/>
        <v>9.7087378640776691</v>
      </c>
      <c r="M11">
        <v>1</v>
      </c>
      <c r="N11">
        <v>70</v>
      </c>
      <c r="O11">
        <v>1</v>
      </c>
      <c r="P11" s="2">
        <f t="shared" si="0"/>
        <v>23.25</v>
      </c>
      <c r="Q11" s="2">
        <f t="shared" si="3"/>
        <v>94.25</v>
      </c>
      <c r="R11">
        <v>0.3</v>
      </c>
      <c r="S11" s="2">
        <v>16</v>
      </c>
      <c r="T11" s="1">
        <v>0</v>
      </c>
      <c r="U11" s="2">
        <f t="shared" si="4"/>
        <v>16</v>
      </c>
      <c r="V11">
        <v>0</v>
      </c>
      <c r="W11">
        <v>4</v>
      </c>
      <c r="X11" s="3">
        <v>0.5</v>
      </c>
      <c r="Y11" s="1">
        <v>0.8</v>
      </c>
      <c r="Z11" s="3">
        <f t="shared" si="5"/>
        <v>0.4</v>
      </c>
      <c r="AA11" s="3">
        <f>X11/'energy battery'!B$3</f>
        <v>2.5</v>
      </c>
      <c r="AB11" s="3">
        <f t="shared" si="6"/>
        <v>0.75</v>
      </c>
      <c r="AC11" s="3">
        <f t="shared" si="7"/>
        <v>3.25</v>
      </c>
      <c r="AD11">
        <v>1</v>
      </c>
      <c r="AE11">
        <v>0</v>
      </c>
      <c r="AF11">
        <v>0</v>
      </c>
      <c r="AG11">
        <v>0</v>
      </c>
      <c r="AH11">
        <v>0</v>
      </c>
      <c r="AI11">
        <v>0.5</v>
      </c>
      <c r="AJ11">
        <v>1</v>
      </c>
      <c r="AK11">
        <f t="shared" si="12"/>
        <v>5</v>
      </c>
      <c r="AL11">
        <f t="shared" si="8"/>
        <v>5.061225E-5</v>
      </c>
      <c r="AM11">
        <v>0</v>
      </c>
      <c r="AN11" s="2">
        <f t="shared" si="9"/>
        <v>16</v>
      </c>
      <c r="AO11" s="2">
        <f t="shared" si="10"/>
        <v>4</v>
      </c>
      <c r="AP11" s="2">
        <f t="shared" si="11"/>
        <v>3.25</v>
      </c>
      <c r="AQ11" s="6" t="s">
        <v>86</v>
      </c>
      <c r="AR11" s="5">
        <v>2.4670639149862349E-2</v>
      </c>
      <c r="AS11" s="2">
        <f>SUM(Z11,AG11)/(SUM(AQ11:AR11)/3.6)</f>
        <v>58.368978251949123</v>
      </c>
      <c r="AT11" s="5">
        <v>0</v>
      </c>
      <c r="AU11" s="7">
        <v>0</v>
      </c>
      <c r="AV11" s="7">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f>VLOOKUP(B11,'abrasion emissions'!$A$4:$D$32,4,FALSE)</f>
        <v>3.0000000000000001E-6</v>
      </c>
      <c r="CJ11" s="7">
        <f>VLOOKUP(B11,'abrasion emissions'!$A$4:$D$32,2,FALSE)</f>
        <v>2.9189999999999999E-6</v>
      </c>
      <c r="CK11" s="7">
        <f>VLOOKUP(B11,'abrasion emissions'!$A$4:$D$32,3,FALSE)</f>
        <v>1.8370000000000002E-6</v>
      </c>
    </row>
    <row r="12" spans="1:89" x14ac:dyDescent="0.3">
      <c r="A12" t="str">
        <f t="shared" si="1"/>
        <v>Bicycle, electric (&lt;25 km/h) - 2030 - CH</v>
      </c>
      <c r="B12" t="s">
        <v>517</v>
      </c>
      <c r="D12">
        <v>2030</v>
      </c>
      <c r="E12" t="s">
        <v>37</v>
      </c>
      <c r="F12" t="s">
        <v>146</v>
      </c>
      <c r="G12" t="s">
        <v>39</v>
      </c>
      <c r="H12" t="s">
        <v>32</v>
      </c>
      <c r="I12" t="s">
        <v>43</v>
      </c>
      <c r="J12" s="21">
        <v>20000</v>
      </c>
      <c r="K12" s="21">
        <v>2060</v>
      </c>
      <c r="L12" s="2">
        <f t="shared" si="2"/>
        <v>9.7087378640776691</v>
      </c>
      <c r="M12">
        <v>1</v>
      </c>
      <c r="N12">
        <v>70</v>
      </c>
      <c r="O12">
        <v>1</v>
      </c>
      <c r="P12" s="2">
        <f t="shared" si="0"/>
        <v>22.886666666666663</v>
      </c>
      <c r="Q12" s="2">
        <f t="shared" si="3"/>
        <v>93.886666666666656</v>
      </c>
      <c r="R12">
        <v>0.3</v>
      </c>
      <c r="S12" s="2">
        <v>16</v>
      </c>
      <c r="T12" s="1">
        <v>0.03</v>
      </c>
      <c r="U12" s="2">
        <f t="shared" si="4"/>
        <v>15.52</v>
      </c>
      <c r="V12">
        <v>0</v>
      </c>
      <c r="W12">
        <v>3.9</v>
      </c>
      <c r="X12" s="3">
        <v>0.8</v>
      </c>
      <c r="Y12" s="1">
        <v>0.8</v>
      </c>
      <c r="Z12" s="3">
        <f t="shared" si="5"/>
        <v>0.64000000000000012</v>
      </c>
      <c r="AA12" s="3">
        <f>X12/'energy battery'!B$4</f>
        <v>2.666666666666667</v>
      </c>
      <c r="AB12" s="3">
        <f t="shared" si="6"/>
        <v>0.8</v>
      </c>
      <c r="AC12" s="3">
        <f t="shared" si="7"/>
        <v>3.4666666666666668</v>
      </c>
      <c r="AD12">
        <v>0.5</v>
      </c>
      <c r="AE12">
        <v>0</v>
      </c>
      <c r="AF12">
        <v>0</v>
      </c>
      <c r="AG12">
        <v>0</v>
      </c>
      <c r="AH12">
        <v>0</v>
      </c>
      <c r="AI12">
        <v>0.5</v>
      </c>
      <c r="AJ12">
        <v>1</v>
      </c>
      <c r="AK12">
        <f t="shared" si="12"/>
        <v>5</v>
      </c>
      <c r="AL12">
        <f t="shared" si="8"/>
        <v>5.0417139999999991E-5</v>
      </c>
      <c r="AM12">
        <v>0</v>
      </c>
      <c r="AN12" s="2">
        <f t="shared" si="9"/>
        <v>15.52</v>
      </c>
      <c r="AO12" s="2">
        <f t="shared" si="10"/>
        <v>3.9</v>
      </c>
      <c r="AP12" s="2">
        <f t="shared" si="11"/>
        <v>3.4666666666666668</v>
      </c>
      <c r="AQ12" s="6" t="s">
        <v>86</v>
      </c>
      <c r="AR12" s="5">
        <v>2.4670639149862349E-2</v>
      </c>
      <c r="AS12" s="2">
        <f>SUM(Z12,AG12)/(SUM(AQ12:AR12)/3.6)</f>
        <v>93.390365203118606</v>
      </c>
      <c r="AT12" s="5">
        <v>0</v>
      </c>
      <c r="AU12" s="7">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f>VLOOKUP(B12,'abrasion emissions'!$A$4:$D$32,4,FALSE)</f>
        <v>3.0000000000000001E-6</v>
      </c>
      <c r="CJ12" s="7">
        <f>VLOOKUP(B12,'abrasion emissions'!$A$4:$D$32,2,FALSE)</f>
        <v>2.9189999999999999E-6</v>
      </c>
      <c r="CK12" s="7">
        <f>VLOOKUP(B12,'abrasion emissions'!$A$4:$D$32,3,FALSE)</f>
        <v>1.8370000000000002E-6</v>
      </c>
    </row>
    <row r="13" spans="1:89" x14ac:dyDescent="0.3">
      <c r="A13" t="str">
        <f t="shared" si="1"/>
        <v>Bicycle, electric (&lt;25 km/h) - 2040 - CH</v>
      </c>
      <c r="B13" t="s">
        <v>517</v>
      </c>
      <c r="D13">
        <v>2040</v>
      </c>
      <c r="E13" t="s">
        <v>37</v>
      </c>
      <c r="F13" t="s">
        <v>146</v>
      </c>
      <c r="G13" t="s">
        <v>39</v>
      </c>
      <c r="H13" t="s">
        <v>32</v>
      </c>
      <c r="I13" t="s">
        <v>43</v>
      </c>
      <c r="J13" s="21">
        <v>20000</v>
      </c>
      <c r="K13" s="21">
        <v>2060</v>
      </c>
      <c r="L13" s="2">
        <f t="shared" si="2"/>
        <v>9.7087378640776691</v>
      </c>
      <c r="M13">
        <v>1</v>
      </c>
      <c r="N13">
        <v>70</v>
      </c>
      <c r="O13">
        <v>1</v>
      </c>
      <c r="P13" s="2">
        <f t="shared" si="0"/>
        <v>22.9</v>
      </c>
      <c r="Q13" s="2">
        <f t="shared" si="3"/>
        <v>93.9</v>
      </c>
      <c r="R13">
        <v>0.3</v>
      </c>
      <c r="S13" s="2">
        <v>16</v>
      </c>
      <c r="T13" s="1">
        <v>0.05</v>
      </c>
      <c r="U13" s="2">
        <f t="shared" si="4"/>
        <v>15.2</v>
      </c>
      <c r="V13">
        <v>0</v>
      </c>
      <c r="W13">
        <v>3.8</v>
      </c>
      <c r="X13" s="3">
        <v>1.2</v>
      </c>
      <c r="Y13" s="1">
        <v>0.8</v>
      </c>
      <c r="Z13" s="3">
        <f t="shared" si="5"/>
        <v>0.96</v>
      </c>
      <c r="AA13" s="3">
        <f>X13/'energy battery'!B$5</f>
        <v>2.9999999999999996</v>
      </c>
      <c r="AB13" s="3">
        <f t="shared" si="6"/>
        <v>0.8999999999999998</v>
      </c>
      <c r="AC13" s="3">
        <f t="shared" si="7"/>
        <v>3.8999999999999995</v>
      </c>
      <c r="AD13">
        <v>0.25</v>
      </c>
      <c r="AE13">
        <v>0</v>
      </c>
      <c r="AF13">
        <v>0</v>
      </c>
      <c r="AG13">
        <v>0</v>
      </c>
      <c r="AH13">
        <v>0</v>
      </c>
      <c r="AI13">
        <v>0.5</v>
      </c>
      <c r="AJ13">
        <v>1</v>
      </c>
      <c r="AK13">
        <f t="shared" si="12"/>
        <v>5</v>
      </c>
      <c r="AL13">
        <f t="shared" si="8"/>
        <v>5.0424300000000004E-5</v>
      </c>
      <c r="AM13">
        <v>0</v>
      </c>
      <c r="AN13" s="2">
        <f t="shared" si="9"/>
        <v>15.2</v>
      </c>
      <c r="AO13" s="2">
        <f t="shared" si="10"/>
        <v>3.8</v>
      </c>
      <c r="AP13" s="2">
        <f t="shared" si="11"/>
        <v>3.8999999999999995</v>
      </c>
      <c r="AQ13" s="6" t="s">
        <v>86</v>
      </c>
      <c r="AR13" s="5">
        <v>2.4670639149862349E-2</v>
      </c>
      <c r="AS13" s="2">
        <f>SUM(Z13,AG13)/(SUM(AQ13:AR13)/3.6)</f>
        <v>140.08554780467787</v>
      </c>
      <c r="AT13" s="5">
        <v>0</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f>VLOOKUP(B13,'abrasion emissions'!$A$4:$D$32,4,FALSE)</f>
        <v>3.0000000000000001E-6</v>
      </c>
      <c r="CJ13" s="7">
        <f>VLOOKUP(B13,'abrasion emissions'!$A$4:$D$32,2,FALSE)</f>
        <v>2.9189999999999999E-6</v>
      </c>
      <c r="CK13" s="7">
        <f>VLOOKUP(B13,'abrasion emissions'!$A$4:$D$32,3,FALSE)</f>
        <v>1.8370000000000002E-6</v>
      </c>
    </row>
    <row r="14" spans="1:89" x14ac:dyDescent="0.3">
      <c r="A14" t="str">
        <f t="shared" si="1"/>
        <v>Bicycle, electric (&lt;25 km/h) - 2050 - CH</v>
      </c>
      <c r="B14" t="s">
        <v>517</v>
      </c>
      <c r="D14">
        <v>2050</v>
      </c>
      <c r="E14" t="s">
        <v>37</v>
      </c>
      <c r="F14" t="s">
        <v>146</v>
      </c>
      <c r="G14" t="s">
        <v>39</v>
      </c>
      <c r="H14" t="s">
        <v>32</v>
      </c>
      <c r="I14" t="s">
        <v>43</v>
      </c>
      <c r="J14" s="21">
        <v>20000</v>
      </c>
      <c r="K14" s="21">
        <v>2060</v>
      </c>
      <c r="L14" s="2">
        <f t="shared" si="2"/>
        <v>9.7087378640776691</v>
      </c>
      <c r="M14">
        <v>1</v>
      </c>
      <c r="N14">
        <v>70</v>
      </c>
      <c r="O14">
        <v>1</v>
      </c>
      <c r="P14" s="2">
        <f t="shared" si="0"/>
        <v>22.74</v>
      </c>
      <c r="Q14" s="2">
        <f t="shared" si="3"/>
        <v>93.74</v>
      </c>
      <c r="R14">
        <v>0.3</v>
      </c>
      <c r="S14" s="2">
        <v>16</v>
      </c>
      <c r="T14" s="1">
        <v>7.0000000000000007E-2</v>
      </c>
      <c r="U14" s="2">
        <f t="shared" si="4"/>
        <v>14.879999999999999</v>
      </c>
      <c r="V14">
        <v>0</v>
      </c>
      <c r="W14">
        <v>3.7</v>
      </c>
      <c r="X14" s="3">
        <v>1.6</v>
      </c>
      <c r="Y14" s="1">
        <v>0.8</v>
      </c>
      <c r="Z14" s="3">
        <f t="shared" si="5"/>
        <v>1.2800000000000002</v>
      </c>
      <c r="AA14" s="3">
        <f>X14/'energy battery'!B$6</f>
        <v>3.2</v>
      </c>
      <c r="AB14" s="3">
        <f t="shared" si="6"/>
        <v>0.96</v>
      </c>
      <c r="AC14" s="3">
        <f t="shared" si="7"/>
        <v>4.16</v>
      </c>
      <c r="AD14">
        <v>0</v>
      </c>
      <c r="AE14">
        <v>0</v>
      </c>
      <c r="AF14">
        <v>0</v>
      </c>
      <c r="AG14">
        <v>0</v>
      </c>
      <c r="AH14">
        <v>0</v>
      </c>
      <c r="AI14">
        <v>0.5</v>
      </c>
      <c r="AJ14">
        <v>1</v>
      </c>
      <c r="AK14">
        <f t="shared" si="12"/>
        <v>5</v>
      </c>
      <c r="AL14">
        <f t="shared" si="8"/>
        <v>5.0338379999999998E-5</v>
      </c>
      <c r="AM14">
        <v>0</v>
      </c>
      <c r="AN14" s="2">
        <f t="shared" si="9"/>
        <v>14.879999999999999</v>
      </c>
      <c r="AO14" s="2">
        <f t="shared" si="10"/>
        <v>3.7</v>
      </c>
      <c r="AP14" s="2">
        <f t="shared" si="11"/>
        <v>4.16</v>
      </c>
      <c r="AQ14" s="6" t="s">
        <v>86</v>
      </c>
      <c r="AR14" s="5">
        <v>2.4670639149862349E-2</v>
      </c>
      <c r="AS14" s="2">
        <f>SUM(Z14,AG14)/(SUM(AQ14:AR14)/3.6)</f>
        <v>186.78073040623721</v>
      </c>
      <c r="AT14" s="5">
        <v>0</v>
      </c>
      <c r="AU14" s="7">
        <v>0</v>
      </c>
      <c r="AV14" s="7">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f>VLOOKUP(B14,'abrasion emissions'!$A$4:$D$32,4,FALSE)</f>
        <v>3.0000000000000001E-6</v>
      </c>
      <c r="CJ14" s="7">
        <f>VLOOKUP(B14,'abrasion emissions'!$A$4:$D$32,2,FALSE)</f>
        <v>2.9189999999999999E-6</v>
      </c>
      <c r="CK14" s="7">
        <f>VLOOKUP(B14,'abrasion emissions'!$A$4:$D$32,3,FALSE)</f>
        <v>1.8370000000000002E-6</v>
      </c>
    </row>
    <row r="15" spans="1:89" x14ac:dyDescent="0.3">
      <c r="A15" t="str">
        <f t="shared" si="1"/>
        <v>Bicycle, electric (&lt;45 km/h) - 2020 - CH</v>
      </c>
      <c r="B15" t="s">
        <v>518</v>
      </c>
      <c r="D15">
        <v>2020</v>
      </c>
      <c r="E15" t="s">
        <v>37</v>
      </c>
      <c r="F15" t="s">
        <v>146</v>
      </c>
      <c r="G15" t="s">
        <v>39</v>
      </c>
      <c r="H15" t="s">
        <v>32</v>
      </c>
      <c r="I15" t="s">
        <v>43</v>
      </c>
      <c r="J15">
        <v>30000</v>
      </c>
      <c r="K15" s="21">
        <v>3000</v>
      </c>
      <c r="L15" s="2">
        <f t="shared" si="2"/>
        <v>10</v>
      </c>
      <c r="M15">
        <v>1</v>
      </c>
      <c r="N15">
        <v>70</v>
      </c>
      <c r="O15">
        <v>1</v>
      </c>
      <c r="P15" s="2">
        <f t="shared" si="0"/>
        <v>27.9</v>
      </c>
      <c r="Q15" s="2">
        <f t="shared" si="3"/>
        <v>98.9</v>
      </c>
      <c r="R15">
        <v>0.5</v>
      </c>
      <c r="S15" s="2">
        <v>19</v>
      </c>
      <c r="T15" s="1">
        <v>0</v>
      </c>
      <c r="U15" s="2">
        <f t="shared" si="4"/>
        <v>19</v>
      </c>
      <c r="V15">
        <v>0</v>
      </c>
      <c r="W15">
        <v>5</v>
      </c>
      <c r="X15" s="3">
        <v>0.6</v>
      </c>
      <c r="Y15" s="1">
        <v>0.8</v>
      </c>
      <c r="Z15" s="3">
        <f t="shared" si="5"/>
        <v>0.48</v>
      </c>
      <c r="AA15" s="3">
        <f>X15/'energy battery'!B$3</f>
        <v>2.9999999999999996</v>
      </c>
      <c r="AB15" s="3">
        <f t="shared" si="6"/>
        <v>0.8999999999999998</v>
      </c>
      <c r="AC15" s="3">
        <f t="shared" si="7"/>
        <v>3.8999999999999995</v>
      </c>
      <c r="AD15">
        <v>1</v>
      </c>
      <c r="AE15">
        <v>0</v>
      </c>
      <c r="AF15">
        <v>0</v>
      </c>
      <c r="AG15">
        <v>0</v>
      </c>
      <c r="AH15">
        <v>0</v>
      </c>
      <c r="AI15">
        <v>0.5</v>
      </c>
      <c r="AJ15">
        <v>1</v>
      </c>
      <c r="AK15">
        <f t="shared" si="12"/>
        <v>7.5</v>
      </c>
      <c r="AL15">
        <f t="shared" si="8"/>
        <v>5.3109300000000003E-5</v>
      </c>
      <c r="AM15">
        <v>0</v>
      </c>
      <c r="AN15" s="2">
        <f t="shared" si="9"/>
        <v>19</v>
      </c>
      <c r="AO15" s="2">
        <f t="shared" si="10"/>
        <v>5</v>
      </c>
      <c r="AP15" s="2">
        <f t="shared" si="11"/>
        <v>3.8999999999999995</v>
      </c>
      <c r="AQ15" s="6" t="s">
        <v>86</v>
      </c>
      <c r="AR15" s="5">
        <v>4.5308940859381523E-2</v>
      </c>
      <c r="AS15" s="2">
        <f>SUM(Z15,AG15)/(SUM(AQ15:AR15)/3.6)</f>
        <v>38.13816803537587</v>
      </c>
      <c r="AT15" s="5">
        <v>0</v>
      </c>
      <c r="AU15" s="7">
        <v>0</v>
      </c>
      <c r="AV15" s="7">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f>VLOOKUP(B15,'abrasion emissions'!$A$4:$D$32,4,FALSE)</f>
        <v>3.0000000000000001E-6</v>
      </c>
      <c r="CJ15" s="7">
        <f>VLOOKUP(B15,'abrasion emissions'!$A$4:$D$32,2,FALSE)</f>
        <v>2.9189999999999999E-6</v>
      </c>
      <c r="CK15" s="7">
        <f>VLOOKUP(B15,'abrasion emissions'!$A$4:$D$32,3,FALSE)</f>
        <v>1.8370000000000002E-6</v>
      </c>
    </row>
    <row r="16" spans="1:89" x14ac:dyDescent="0.3">
      <c r="A16" t="str">
        <f t="shared" si="1"/>
        <v>Bicycle, electric (&lt;45 km/h) - 2030 - CH</v>
      </c>
      <c r="B16" t="s">
        <v>518</v>
      </c>
      <c r="D16">
        <v>2030</v>
      </c>
      <c r="E16" t="s">
        <v>37</v>
      </c>
      <c r="F16" t="s">
        <v>146</v>
      </c>
      <c r="G16" t="s">
        <v>39</v>
      </c>
      <c r="H16" t="s">
        <v>32</v>
      </c>
      <c r="I16" t="s">
        <v>43</v>
      </c>
      <c r="J16" s="21">
        <v>30000</v>
      </c>
      <c r="K16" s="21">
        <v>3000</v>
      </c>
      <c r="L16" s="2">
        <f t="shared" si="2"/>
        <v>10</v>
      </c>
      <c r="M16">
        <v>1</v>
      </c>
      <c r="N16">
        <v>70</v>
      </c>
      <c r="O16">
        <v>1</v>
      </c>
      <c r="P16" s="2">
        <f t="shared" si="0"/>
        <v>27.663333333333334</v>
      </c>
      <c r="Q16" s="2">
        <f t="shared" si="3"/>
        <v>98.663333333333327</v>
      </c>
      <c r="R16">
        <v>0.5</v>
      </c>
      <c r="S16" s="2">
        <v>19</v>
      </c>
      <c r="T16" s="1">
        <v>0.03</v>
      </c>
      <c r="U16" s="2">
        <f t="shared" si="4"/>
        <v>18.43</v>
      </c>
      <c r="V16">
        <v>0</v>
      </c>
      <c r="W16">
        <v>4.9000000000000004</v>
      </c>
      <c r="X16" s="3">
        <v>1</v>
      </c>
      <c r="Y16" s="1">
        <v>0.8</v>
      </c>
      <c r="Z16" s="3">
        <f t="shared" si="5"/>
        <v>0.8</v>
      </c>
      <c r="AA16" s="3">
        <f>X16/'energy battery'!B$4</f>
        <v>3.3333333333333335</v>
      </c>
      <c r="AB16" s="3">
        <f t="shared" si="6"/>
        <v>1</v>
      </c>
      <c r="AC16" s="3">
        <f t="shared" si="7"/>
        <v>4.3333333333333339</v>
      </c>
      <c r="AD16">
        <v>0.5</v>
      </c>
      <c r="AE16">
        <v>0</v>
      </c>
      <c r="AF16">
        <v>0</v>
      </c>
      <c r="AG16">
        <v>0</v>
      </c>
      <c r="AH16">
        <v>0</v>
      </c>
      <c r="AI16">
        <v>0.5</v>
      </c>
      <c r="AJ16">
        <v>1</v>
      </c>
      <c r="AK16">
        <f t="shared" si="12"/>
        <v>7.5</v>
      </c>
      <c r="AL16">
        <f t="shared" si="8"/>
        <v>5.2982209999999996E-5</v>
      </c>
      <c r="AM16">
        <v>0</v>
      </c>
      <c r="AN16" s="2">
        <f t="shared" si="9"/>
        <v>18.43</v>
      </c>
      <c r="AO16" s="2">
        <f t="shared" si="10"/>
        <v>4.9000000000000004</v>
      </c>
      <c r="AP16" s="2">
        <f t="shared" si="11"/>
        <v>4.3333333333333339</v>
      </c>
      <c r="AQ16" s="6" t="s">
        <v>86</v>
      </c>
      <c r="AR16" s="5">
        <v>4.5308940859381523E-2</v>
      </c>
      <c r="AS16" s="2">
        <f>SUM(Z16,AG16)/(SUM(AQ16:AR16)/3.6)</f>
        <v>63.563613392293121</v>
      </c>
      <c r="AT16" s="5">
        <v>0</v>
      </c>
      <c r="AU16" s="7">
        <v>0</v>
      </c>
      <c r="AV16" s="7">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f>VLOOKUP(B16,'abrasion emissions'!$A$4:$D$32,4,FALSE)</f>
        <v>3.0000000000000001E-6</v>
      </c>
      <c r="CJ16" s="7">
        <f>VLOOKUP(B16,'abrasion emissions'!$A$4:$D$32,2,FALSE)</f>
        <v>2.9189999999999999E-6</v>
      </c>
      <c r="CK16" s="7">
        <f>VLOOKUP(B16,'abrasion emissions'!$A$4:$D$32,3,FALSE)</f>
        <v>1.8370000000000002E-6</v>
      </c>
    </row>
    <row r="17" spans="1:89" x14ac:dyDescent="0.3">
      <c r="A17" t="str">
        <f t="shared" si="1"/>
        <v>Bicycle, electric (&lt;45 km/h) - 2040 - CH</v>
      </c>
      <c r="B17" t="s">
        <v>518</v>
      </c>
      <c r="D17">
        <v>2040</v>
      </c>
      <c r="E17" t="s">
        <v>37</v>
      </c>
      <c r="F17" t="s">
        <v>146</v>
      </c>
      <c r="G17" t="s">
        <v>39</v>
      </c>
      <c r="H17" t="s">
        <v>32</v>
      </c>
      <c r="I17" t="s">
        <v>43</v>
      </c>
      <c r="J17" s="21">
        <v>30000</v>
      </c>
      <c r="K17" s="21">
        <v>3000</v>
      </c>
      <c r="L17" s="2">
        <f t="shared" si="2"/>
        <v>10</v>
      </c>
      <c r="M17">
        <v>1</v>
      </c>
      <c r="N17">
        <v>70</v>
      </c>
      <c r="O17">
        <v>1</v>
      </c>
      <c r="P17" s="2">
        <f t="shared" si="0"/>
        <v>27.625</v>
      </c>
      <c r="Q17" s="2">
        <f t="shared" si="3"/>
        <v>98.625</v>
      </c>
      <c r="R17">
        <v>0.5</v>
      </c>
      <c r="S17" s="2">
        <v>19</v>
      </c>
      <c r="T17" s="1">
        <v>0.05</v>
      </c>
      <c r="U17" s="2">
        <f t="shared" si="4"/>
        <v>18.05</v>
      </c>
      <c r="V17">
        <v>0</v>
      </c>
      <c r="W17">
        <v>4.7</v>
      </c>
      <c r="X17" s="3">
        <v>1.5</v>
      </c>
      <c r="Y17" s="1">
        <v>0.8</v>
      </c>
      <c r="Z17" s="3">
        <f t="shared" si="5"/>
        <v>1.2000000000000002</v>
      </c>
      <c r="AA17" s="3">
        <f>X17/'energy battery'!B$5</f>
        <v>3.75</v>
      </c>
      <c r="AB17" s="3">
        <f t="shared" si="6"/>
        <v>1.125</v>
      </c>
      <c r="AC17" s="3">
        <f t="shared" si="7"/>
        <v>4.875</v>
      </c>
      <c r="AD17">
        <v>0.25</v>
      </c>
      <c r="AE17">
        <v>0</v>
      </c>
      <c r="AF17">
        <v>0</v>
      </c>
      <c r="AG17">
        <v>0</v>
      </c>
      <c r="AH17">
        <v>0</v>
      </c>
      <c r="AI17">
        <v>0.5</v>
      </c>
      <c r="AJ17">
        <v>1</v>
      </c>
      <c r="AK17">
        <f t="shared" si="12"/>
        <v>7.5</v>
      </c>
      <c r="AL17">
        <f t="shared" si="8"/>
        <v>5.2961625E-5</v>
      </c>
      <c r="AM17">
        <v>0</v>
      </c>
      <c r="AN17" s="2">
        <f t="shared" si="9"/>
        <v>18.05</v>
      </c>
      <c r="AO17" s="2">
        <f t="shared" si="10"/>
        <v>4.7</v>
      </c>
      <c r="AP17" s="2">
        <f t="shared" si="11"/>
        <v>4.875</v>
      </c>
      <c r="AQ17" s="6" t="s">
        <v>86</v>
      </c>
      <c r="AR17" s="5">
        <v>4.5308940859381523E-2</v>
      </c>
      <c r="AS17" s="2">
        <f>SUM(Z17,AG17)/(SUM(AQ17:AR17)/3.6)</f>
        <v>95.345420088439695</v>
      </c>
      <c r="AT17" s="5">
        <v>0</v>
      </c>
      <c r="AU17" s="7">
        <v>0</v>
      </c>
      <c r="AV17" s="7">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f>VLOOKUP(B17,'abrasion emissions'!$A$4:$D$32,4,FALSE)</f>
        <v>3.0000000000000001E-6</v>
      </c>
      <c r="CJ17" s="7">
        <f>VLOOKUP(B17,'abrasion emissions'!$A$4:$D$32,2,FALSE)</f>
        <v>2.9189999999999999E-6</v>
      </c>
      <c r="CK17" s="7">
        <f>VLOOKUP(B17,'abrasion emissions'!$A$4:$D$32,3,FALSE)</f>
        <v>1.8370000000000002E-6</v>
      </c>
    </row>
    <row r="18" spans="1:89" x14ac:dyDescent="0.3">
      <c r="A18" t="str">
        <f t="shared" si="1"/>
        <v>Bicycle, electric (&lt;45 km/h) - 2050 - CH</v>
      </c>
      <c r="B18" t="s">
        <v>518</v>
      </c>
      <c r="D18">
        <v>2050</v>
      </c>
      <c r="E18" t="s">
        <v>37</v>
      </c>
      <c r="F18" t="s">
        <v>146</v>
      </c>
      <c r="G18" t="s">
        <v>39</v>
      </c>
      <c r="H18" t="s">
        <v>32</v>
      </c>
      <c r="I18" t="s">
        <v>43</v>
      </c>
      <c r="J18" s="21">
        <v>30000</v>
      </c>
      <c r="K18" s="21">
        <v>3000</v>
      </c>
      <c r="L18" s="2">
        <f t="shared" si="2"/>
        <v>10</v>
      </c>
      <c r="M18">
        <v>1</v>
      </c>
      <c r="N18">
        <v>70</v>
      </c>
      <c r="O18">
        <v>1</v>
      </c>
      <c r="P18" s="2">
        <f t="shared" si="0"/>
        <v>27.989999999999995</v>
      </c>
      <c r="Q18" s="2">
        <f t="shared" si="3"/>
        <v>98.99</v>
      </c>
      <c r="R18">
        <v>0.5</v>
      </c>
      <c r="S18" s="2">
        <v>19</v>
      </c>
      <c r="T18" s="1">
        <v>7.0000000000000007E-2</v>
      </c>
      <c r="U18" s="2">
        <f t="shared" si="4"/>
        <v>17.669999999999998</v>
      </c>
      <c r="V18">
        <v>0</v>
      </c>
      <c r="W18">
        <v>4.5999999999999996</v>
      </c>
      <c r="X18" s="3">
        <v>2.2000000000000002</v>
      </c>
      <c r="Y18" s="1">
        <v>0.8</v>
      </c>
      <c r="Z18" s="3">
        <f t="shared" si="5"/>
        <v>1.7600000000000002</v>
      </c>
      <c r="AA18" s="3">
        <f>X18/'energy battery'!B$6</f>
        <v>4.4000000000000004</v>
      </c>
      <c r="AB18" s="3">
        <f t="shared" si="6"/>
        <v>1.32</v>
      </c>
      <c r="AC18" s="3">
        <f t="shared" si="7"/>
        <v>5.7200000000000006</v>
      </c>
      <c r="AD18">
        <v>0</v>
      </c>
      <c r="AE18">
        <v>0</v>
      </c>
      <c r="AF18">
        <v>0</v>
      </c>
      <c r="AG18">
        <v>0</v>
      </c>
      <c r="AH18">
        <v>0</v>
      </c>
      <c r="AI18">
        <v>0.5</v>
      </c>
      <c r="AJ18">
        <v>1</v>
      </c>
      <c r="AK18">
        <f t="shared" si="12"/>
        <v>7.5</v>
      </c>
      <c r="AL18">
        <f t="shared" si="8"/>
        <v>5.3157629999999996E-5</v>
      </c>
      <c r="AM18">
        <v>0</v>
      </c>
      <c r="AN18" s="2">
        <f t="shared" si="9"/>
        <v>17.669999999999998</v>
      </c>
      <c r="AO18" s="2">
        <f t="shared" si="10"/>
        <v>4.5999999999999996</v>
      </c>
      <c r="AP18" s="2">
        <f t="shared" si="11"/>
        <v>5.7200000000000006</v>
      </c>
      <c r="AQ18" s="6" t="s">
        <v>86</v>
      </c>
      <c r="AR18" s="5">
        <v>4.5308940859381523E-2</v>
      </c>
      <c r="AS18" s="2">
        <f>SUM(Z18,AG18)/(SUM(AQ18:AR18)/3.6)</f>
        <v>139.83994946304489</v>
      </c>
      <c r="AT18" s="5">
        <v>0</v>
      </c>
      <c r="AU18" s="7">
        <v>0</v>
      </c>
      <c r="AV18" s="7">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f>VLOOKUP(B18,'abrasion emissions'!$A$4:$D$32,4,FALSE)</f>
        <v>3.0000000000000001E-6</v>
      </c>
      <c r="CJ18" s="7">
        <f>VLOOKUP(B18,'abrasion emissions'!$A$4:$D$32,2,FALSE)</f>
        <v>2.9189999999999999E-6</v>
      </c>
      <c r="CK18" s="7">
        <f>VLOOKUP(B18,'abrasion emissions'!$A$4:$D$32,3,FALSE)</f>
        <v>1.8370000000000002E-6</v>
      </c>
    </row>
    <row r="19" spans="1:89" x14ac:dyDescent="0.3">
      <c r="A19" t="str">
        <f t="shared" si="1"/>
        <v>Bicycle, electric, cargo bike - 2020 - CH</v>
      </c>
      <c r="B19" t="s">
        <v>524</v>
      </c>
      <c r="D19">
        <v>2020</v>
      </c>
      <c r="E19" t="s">
        <v>37</v>
      </c>
      <c r="F19" t="s">
        <v>146</v>
      </c>
      <c r="G19" t="s">
        <v>39</v>
      </c>
      <c r="H19" t="s">
        <v>32</v>
      </c>
      <c r="I19" t="s">
        <v>43</v>
      </c>
      <c r="J19">
        <v>20000</v>
      </c>
      <c r="K19" s="21">
        <v>2060</v>
      </c>
      <c r="L19" s="2">
        <f t="shared" si="2"/>
        <v>9.7087378640776691</v>
      </c>
      <c r="M19">
        <v>1</v>
      </c>
      <c r="N19">
        <v>70</v>
      </c>
      <c r="O19">
        <v>1</v>
      </c>
      <c r="P19" s="2">
        <f t="shared" si="0"/>
        <v>36.9</v>
      </c>
      <c r="Q19" s="2">
        <f t="shared" si="3"/>
        <v>107.9</v>
      </c>
      <c r="R19">
        <v>0.5</v>
      </c>
      <c r="S19" s="2">
        <v>28</v>
      </c>
      <c r="T19" s="1">
        <v>0</v>
      </c>
      <c r="U19" s="2">
        <f t="shared" si="4"/>
        <v>28</v>
      </c>
      <c r="V19">
        <v>0</v>
      </c>
      <c r="W19">
        <v>5</v>
      </c>
      <c r="X19" s="3">
        <v>0.6</v>
      </c>
      <c r="Y19" s="1">
        <v>0.8</v>
      </c>
      <c r="Z19" s="3">
        <f t="shared" si="5"/>
        <v>0.48</v>
      </c>
      <c r="AA19" s="3">
        <f>X19/'energy battery'!B$3</f>
        <v>2.9999999999999996</v>
      </c>
      <c r="AB19" s="3">
        <f t="shared" si="6"/>
        <v>0.8999999999999998</v>
      </c>
      <c r="AC19" s="3">
        <f t="shared" si="7"/>
        <v>3.8999999999999995</v>
      </c>
      <c r="AD19">
        <v>1</v>
      </c>
      <c r="AE19">
        <v>0</v>
      </c>
      <c r="AF19">
        <v>0</v>
      </c>
      <c r="AG19">
        <v>0</v>
      </c>
      <c r="AH19">
        <v>0</v>
      </c>
      <c r="AI19">
        <v>0.5</v>
      </c>
      <c r="AJ19">
        <v>1</v>
      </c>
      <c r="AK19">
        <f t="shared" si="12"/>
        <v>5</v>
      </c>
      <c r="AL19">
        <f t="shared" si="8"/>
        <v>5.7942300000000003E-5</v>
      </c>
      <c r="AM19">
        <v>0</v>
      </c>
      <c r="AN19" s="2">
        <f t="shared" si="9"/>
        <v>28</v>
      </c>
      <c r="AO19" s="2">
        <f t="shared" si="10"/>
        <v>5</v>
      </c>
      <c r="AP19" s="2">
        <f t="shared" si="11"/>
        <v>3.8999999999999995</v>
      </c>
      <c r="AQ19" s="6" t="s">
        <v>86</v>
      </c>
      <c r="AR19" s="5">
        <v>3.4708323163290214E-2</v>
      </c>
      <c r="AS19" s="2">
        <f>SUM(Z19,AG19)/(SUM(AQ19:AR19)/3.6)</f>
        <v>49.786329113924047</v>
      </c>
      <c r="AT19" s="5">
        <v>0</v>
      </c>
      <c r="AU19" s="7">
        <v>0</v>
      </c>
      <c r="AV19" s="7">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f>VLOOKUP(B19,'abrasion emissions'!$A$4:$D$32,4,FALSE)</f>
        <v>3.0000000000000001E-6</v>
      </c>
      <c r="CJ19" s="7">
        <f>VLOOKUP(B19,'abrasion emissions'!$A$4:$D$32,2,FALSE)</f>
        <v>2.9189999999999999E-6</v>
      </c>
      <c r="CK19" s="7">
        <f>VLOOKUP(B19,'abrasion emissions'!$A$4:$D$32,3,FALSE)</f>
        <v>1.8370000000000002E-6</v>
      </c>
    </row>
    <row r="20" spans="1:89" x14ac:dyDescent="0.3">
      <c r="A20" t="str">
        <f t="shared" si="1"/>
        <v>Bicycle, electric, cargo bike - 2030 - CH</v>
      </c>
      <c r="B20" t="s">
        <v>524</v>
      </c>
      <c r="D20">
        <v>2030</v>
      </c>
      <c r="E20" t="s">
        <v>37</v>
      </c>
      <c r="F20" t="s">
        <v>146</v>
      </c>
      <c r="G20" t="s">
        <v>39</v>
      </c>
      <c r="H20" t="s">
        <v>32</v>
      </c>
      <c r="I20" t="s">
        <v>43</v>
      </c>
      <c r="J20" s="21">
        <v>20000</v>
      </c>
      <c r="K20" s="21">
        <v>2060</v>
      </c>
      <c r="L20" s="2">
        <f t="shared" si="2"/>
        <v>9.7087378640776691</v>
      </c>
      <c r="M20">
        <v>1</v>
      </c>
      <c r="N20">
        <v>70</v>
      </c>
      <c r="O20">
        <v>1</v>
      </c>
      <c r="P20" s="2">
        <f t="shared" si="0"/>
        <v>37.260000000000005</v>
      </c>
      <c r="Q20" s="2">
        <f t="shared" si="3"/>
        <v>108.26</v>
      </c>
      <c r="R20">
        <v>0.5</v>
      </c>
      <c r="S20" s="2">
        <v>28</v>
      </c>
      <c r="T20" s="1">
        <v>0.03</v>
      </c>
      <c r="U20" s="2">
        <f t="shared" si="4"/>
        <v>27.16</v>
      </c>
      <c r="V20">
        <v>0</v>
      </c>
      <c r="W20">
        <v>4.9000000000000004</v>
      </c>
      <c r="X20" s="3">
        <v>1.2</v>
      </c>
      <c r="Y20" s="1">
        <v>0.8</v>
      </c>
      <c r="Z20" s="3">
        <f t="shared" si="5"/>
        <v>0.96</v>
      </c>
      <c r="AA20" s="3">
        <f>X20/'energy battery'!B$4</f>
        <v>4</v>
      </c>
      <c r="AB20" s="3">
        <f t="shared" si="6"/>
        <v>1.2</v>
      </c>
      <c r="AC20" s="3">
        <f t="shared" si="7"/>
        <v>5.2</v>
      </c>
      <c r="AD20">
        <v>0.5</v>
      </c>
      <c r="AE20">
        <v>0</v>
      </c>
      <c r="AF20">
        <v>0</v>
      </c>
      <c r="AG20">
        <v>0</v>
      </c>
      <c r="AH20">
        <v>0</v>
      </c>
      <c r="AI20">
        <v>0.5</v>
      </c>
      <c r="AJ20">
        <v>1</v>
      </c>
      <c r="AK20">
        <f t="shared" si="12"/>
        <v>5</v>
      </c>
      <c r="AL20">
        <f t="shared" si="8"/>
        <v>5.8135620000000001E-5</v>
      </c>
      <c r="AM20">
        <v>0</v>
      </c>
      <c r="AN20" s="2">
        <f t="shared" si="9"/>
        <v>27.16</v>
      </c>
      <c r="AO20" s="2">
        <f t="shared" si="10"/>
        <v>4.9000000000000004</v>
      </c>
      <c r="AP20" s="2">
        <f t="shared" si="11"/>
        <v>5.2</v>
      </c>
      <c r="AQ20" s="6" t="s">
        <v>86</v>
      </c>
      <c r="AR20" s="5">
        <v>3.4708323163290214E-2</v>
      </c>
      <c r="AS20" s="2">
        <f>SUM(Z20,AG20)/(SUM(AQ20:AR20)/3.6)</f>
        <v>99.572658227848095</v>
      </c>
      <c r="AT20" s="5">
        <v>0</v>
      </c>
      <c r="AU20" s="7">
        <v>0</v>
      </c>
      <c r="AV20" s="7">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f>VLOOKUP(B20,'abrasion emissions'!$A$4:$D$32,4,FALSE)</f>
        <v>3.0000000000000001E-6</v>
      </c>
      <c r="CJ20" s="7">
        <f>VLOOKUP(B20,'abrasion emissions'!$A$4:$D$32,2,FALSE)</f>
        <v>2.9189999999999999E-6</v>
      </c>
      <c r="CK20" s="7">
        <f>VLOOKUP(B20,'abrasion emissions'!$A$4:$D$32,3,FALSE)</f>
        <v>1.8370000000000002E-6</v>
      </c>
    </row>
    <row r="21" spans="1:89" x14ac:dyDescent="0.3">
      <c r="A21" t="str">
        <f t="shared" si="1"/>
        <v>Bicycle, electric, cargo bike - 2040 - CH</v>
      </c>
      <c r="B21" t="s">
        <v>524</v>
      </c>
      <c r="D21">
        <v>2040</v>
      </c>
      <c r="E21" t="s">
        <v>37</v>
      </c>
      <c r="F21" t="s">
        <v>146</v>
      </c>
      <c r="G21" t="s">
        <v>39</v>
      </c>
      <c r="H21" t="s">
        <v>32</v>
      </c>
      <c r="I21" t="s">
        <v>43</v>
      </c>
      <c r="J21" s="21">
        <v>20000</v>
      </c>
      <c r="K21" s="21">
        <v>2060</v>
      </c>
      <c r="L21" s="2">
        <f t="shared" si="2"/>
        <v>9.7087378640776691</v>
      </c>
      <c r="M21">
        <v>1</v>
      </c>
      <c r="N21">
        <v>70</v>
      </c>
      <c r="O21">
        <v>1</v>
      </c>
      <c r="P21" s="2">
        <f t="shared" si="0"/>
        <v>36.5</v>
      </c>
      <c r="Q21" s="2">
        <f t="shared" si="3"/>
        <v>107.5</v>
      </c>
      <c r="R21">
        <v>0.5</v>
      </c>
      <c r="S21" s="2">
        <v>28</v>
      </c>
      <c r="T21" s="1">
        <v>0.05</v>
      </c>
      <c r="U21" s="2">
        <f t="shared" si="4"/>
        <v>26.599999999999998</v>
      </c>
      <c r="V21">
        <v>0</v>
      </c>
      <c r="W21">
        <v>4.7</v>
      </c>
      <c r="X21" s="3">
        <v>1.6</v>
      </c>
      <c r="Y21" s="1">
        <v>0.8</v>
      </c>
      <c r="Z21" s="3">
        <f t="shared" si="5"/>
        <v>1.2800000000000002</v>
      </c>
      <c r="AA21" s="3">
        <f>X21/'energy battery'!B$5</f>
        <v>4</v>
      </c>
      <c r="AB21" s="3">
        <f t="shared" si="6"/>
        <v>1.2</v>
      </c>
      <c r="AC21" s="3">
        <f t="shared" si="7"/>
        <v>5.2</v>
      </c>
      <c r="AD21">
        <v>0.25</v>
      </c>
      <c r="AE21">
        <v>0</v>
      </c>
      <c r="AF21">
        <v>0</v>
      </c>
      <c r="AG21">
        <v>0</v>
      </c>
      <c r="AH21">
        <v>0</v>
      </c>
      <c r="AI21">
        <v>0.5</v>
      </c>
      <c r="AJ21">
        <v>1</v>
      </c>
      <c r="AK21">
        <f t="shared" si="12"/>
        <v>5</v>
      </c>
      <c r="AL21">
        <f t="shared" si="8"/>
        <v>5.7727499999999999E-5</v>
      </c>
      <c r="AM21">
        <v>0</v>
      </c>
      <c r="AN21" s="2">
        <f t="shared" si="9"/>
        <v>26.599999999999998</v>
      </c>
      <c r="AO21" s="2">
        <f t="shared" si="10"/>
        <v>4.7</v>
      </c>
      <c r="AP21" s="2">
        <f t="shared" si="11"/>
        <v>5.2</v>
      </c>
      <c r="AQ21" s="6" t="s">
        <v>86</v>
      </c>
      <c r="AR21" s="5">
        <v>3.4708323163290214E-2</v>
      </c>
      <c r="AS21" s="2">
        <f>SUM(Z21,AG21)/(SUM(AQ21:AR21)/3.6)</f>
        <v>132.76354430379749</v>
      </c>
      <c r="AT21" s="5">
        <v>0</v>
      </c>
      <c r="AU21" s="7">
        <v>0</v>
      </c>
      <c r="AV21" s="7">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f>VLOOKUP(B21,'abrasion emissions'!$A$4:$D$32,4,FALSE)</f>
        <v>3.0000000000000001E-6</v>
      </c>
      <c r="CJ21" s="7">
        <f>VLOOKUP(B21,'abrasion emissions'!$A$4:$D$32,2,FALSE)</f>
        <v>2.9189999999999999E-6</v>
      </c>
      <c r="CK21" s="7">
        <f>VLOOKUP(B21,'abrasion emissions'!$A$4:$D$32,3,FALSE)</f>
        <v>1.8370000000000002E-6</v>
      </c>
    </row>
    <row r="22" spans="1:89" x14ac:dyDescent="0.3">
      <c r="A22" t="str">
        <f t="shared" si="1"/>
        <v>Bicycle, electric, cargo bike - 2050 - CH</v>
      </c>
      <c r="B22" t="s">
        <v>524</v>
      </c>
      <c r="D22">
        <v>2050</v>
      </c>
      <c r="E22" t="s">
        <v>37</v>
      </c>
      <c r="F22" t="s">
        <v>146</v>
      </c>
      <c r="G22" t="s">
        <v>39</v>
      </c>
      <c r="H22" t="s">
        <v>32</v>
      </c>
      <c r="I22" t="s">
        <v>43</v>
      </c>
      <c r="J22" s="21">
        <v>20000</v>
      </c>
      <c r="K22" s="21">
        <v>2060</v>
      </c>
      <c r="L22" s="2">
        <f t="shared" si="2"/>
        <v>9.7087378640776691</v>
      </c>
      <c r="M22">
        <v>1</v>
      </c>
      <c r="N22">
        <v>70</v>
      </c>
      <c r="O22">
        <v>1</v>
      </c>
      <c r="P22" s="2">
        <f t="shared" si="0"/>
        <v>36.619999999999997</v>
      </c>
      <c r="Q22" s="2">
        <f t="shared" si="3"/>
        <v>107.62</v>
      </c>
      <c r="R22">
        <v>0.5</v>
      </c>
      <c r="S22" s="2">
        <v>28</v>
      </c>
      <c r="T22" s="1">
        <v>7.0000000000000007E-2</v>
      </c>
      <c r="U22" s="2">
        <f t="shared" si="4"/>
        <v>26.04</v>
      </c>
      <c r="V22">
        <v>0</v>
      </c>
      <c r="W22">
        <v>4.5999999999999996</v>
      </c>
      <c r="X22" s="3">
        <v>2.2999999999999998</v>
      </c>
      <c r="Y22" s="1">
        <v>0.8</v>
      </c>
      <c r="Z22" s="3">
        <f t="shared" si="5"/>
        <v>1.8399999999999999</v>
      </c>
      <c r="AA22" s="3">
        <f>X22/'energy battery'!B$6</f>
        <v>4.5999999999999996</v>
      </c>
      <c r="AB22" s="3">
        <f t="shared" si="6"/>
        <v>1.38</v>
      </c>
      <c r="AC22" s="3">
        <f t="shared" si="7"/>
        <v>5.9799999999999995</v>
      </c>
      <c r="AD22">
        <v>0</v>
      </c>
      <c r="AE22">
        <v>0</v>
      </c>
      <c r="AF22">
        <v>0</v>
      </c>
      <c r="AG22">
        <v>0</v>
      </c>
      <c r="AH22">
        <v>0</v>
      </c>
      <c r="AI22">
        <v>0.5</v>
      </c>
      <c r="AJ22">
        <v>1</v>
      </c>
      <c r="AK22">
        <f t="shared" si="12"/>
        <v>5</v>
      </c>
      <c r="AL22">
        <f t="shared" si="8"/>
        <v>5.7791940000000001E-5</v>
      </c>
      <c r="AM22">
        <v>0</v>
      </c>
      <c r="AN22" s="2">
        <f t="shared" si="9"/>
        <v>26.04</v>
      </c>
      <c r="AO22" s="2">
        <f t="shared" si="10"/>
        <v>4.5999999999999996</v>
      </c>
      <c r="AP22" s="2">
        <f t="shared" si="11"/>
        <v>5.9799999999999995</v>
      </c>
      <c r="AQ22" s="6" t="s">
        <v>86</v>
      </c>
      <c r="AR22" s="5">
        <v>3.4708323163290214E-2</v>
      </c>
      <c r="AS22" s="2">
        <f>SUM(Z22,AG22)/(SUM(AQ22:AR22)/3.6)</f>
        <v>190.84759493670884</v>
      </c>
      <c r="AT22" s="5">
        <v>0</v>
      </c>
      <c r="AU22" s="7">
        <v>0</v>
      </c>
      <c r="AV22" s="7">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f>VLOOKUP(B22,'abrasion emissions'!$A$4:$D$32,4,FALSE)</f>
        <v>3.0000000000000001E-6</v>
      </c>
      <c r="CJ22" s="7">
        <f>VLOOKUP(B22,'abrasion emissions'!$A$4:$D$32,2,FALSE)</f>
        <v>2.9189999999999999E-6</v>
      </c>
      <c r="CK22" s="7">
        <f>VLOOKUP(B22,'abrasion emissions'!$A$4:$D$32,3,FALSE)</f>
        <v>1.8370000000000002E-6</v>
      </c>
    </row>
    <row r="23" spans="1:89" x14ac:dyDescent="0.3">
      <c r="A23" t="str">
        <f t="shared" si="1"/>
        <v>Tram, electric - 2020 - CH</v>
      </c>
      <c r="B23" t="s">
        <v>519</v>
      </c>
      <c r="C23" t="s">
        <v>34</v>
      </c>
      <c r="D23">
        <v>2020</v>
      </c>
      <c r="E23" t="s">
        <v>37</v>
      </c>
      <c r="F23" t="s">
        <v>146</v>
      </c>
      <c r="G23" t="s">
        <v>40</v>
      </c>
      <c r="H23" t="s">
        <v>32</v>
      </c>
      <c r="I23" t="s">
        <v>43</v>
      </c>
      <c r="J23">
        <v>2800000</v>
      </c>
      <c r="K23">
        <v>70000</v>
      </c>
      <c r="L23" s="2">
        <f t="shared" si="2"/>
        <v>40</v>
      </c>
      <c r="M23">
        <v>38</v>
      </c>
      <c r="N23">
        <v>70</v>
      </c>
      <c r="O23">
        <v>120</v>
      </c>
      <c r="P23" s="2">
        <f t="shared" si="0"/>
        <v>54000</v>
      </c>
      <c r="Q23">
        <f t="shared" si="3"/>
        <v>56780</v>
      </c>
      <c r="R23">
        <v>660</v>
      </c>
      <c r="S23" s="2">
        <v>43200</v>
      </c>
      <c r="T23" s="1">
        <v>0</v>
      </c>
      <c r="U23" s="2">
        <f t="shared" si="4"/>
        <v>43200</v>
      </c>
      <c r="V23">
        <v>7800</v>
      </c>
      <c r="W23">
        <v>3000</v>
      </c>
      <c r="X23" s="3">
        <v>0</v>
      </c>
      <c r="Y23" s="1">
        <v>0.8</v>
      </c>
      <c r="Z23" s="3">
        <f t="shared" si="5"/>
        <v>0</v>
      </c>
      <c r="AA23" s="3">
        <f>X23/'energy battery'!B$3</f>
        <v>0</v>
      </c>
      <c r="AB23" s="3">
        <v>0</v>
      </c>
      <c r="AC23" s="3">
        <f t="shared" si="7"/>
        <v>0</v>
      </c>
      <c r="AD23" s="3">
        <v>0</v>
      </c>
      <c r="AE23">
        <v>0</v>
      </c>
      <c r="AF23">
        <v>0</v>
      </c>
      <c r="AG23">
        <v>0</v>
      </c>
      <c r="AH23">
        <v>0</v>
      </c>
      <c r="AI23">
        <v>0</v>
      </c>
      <c r="AJ23">
        <v>0</v>
      </c>
      <c r="AK23" s="6">
        <f>L23/30</f>
        <v>1.3333333333333333</v>
      </c>
      <c r="AL23">
        <f>0.00012*M23</f>
        <v>4.5599999999999998E-3</v>
      </c>
      <c r="AM23">
        <v>0</v>
      </c>
      <c r="AN23" s="2">
        <f t="shared" si="9"/>
        <v>43200</v>
      </c>
      <c r="AO23" s="2">
        <f t="shared" si="10"/>
        <v>10800</v>
      </c>
      <c r="AP23" s="2">
        <f t="shared" si="11"/>
        <v>0</v>
      </c>
      <c r="AQ23" s="6" t="s">
        <v>86</v>
      </c>
      <c r="AR23" s="6">
        <v>13.3</v>
      </c>
      <c r="AS23" s="2">
        <f>SUM(Z23,AG23)/(SUM(AQ23:AR23)/3.6)</f>
        <v>0</v>
      </c>
      <c r="AT23" s="5">
        <v>0</v>
      </c>
      <c r="AU23" s="7">
        <v>0</v>
      </c>
      <c r="AV23" s="7">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7">
        <v>0</v>
      </c>
    </row>
    <row r="24" spans="1:89" x14ac:dyDescent="0.3">
      <c r="A24" t="str">
        <f t="shared" si="1"/>
        <v>Tram, electric - 2030 - CH</v>
      </c>
      <c r="B24" t="s">
        <v>519</v>
      </c>
      <c r="C24" t="s">
        <v>34</v>
      </c>
      <c r="D24">
        <v>2030</v>
      </c>
      <c r="E24" t="s">
        <v>37</v>
      </c>
      <c r="F24" t="s">
        <v>146</v>
      </c>
      <c r="G24" t="s">
        <v>40</v>
      </c>
      <c r="H24" t="s">
        <v>32</v>
      </c>
      <c r="I24" t="s">
        <v>43</v>
      </c>
      <c r="J24">
        <v>2800000</v>
      </c>
      <c r="K24">
        <v>70000</v>
      </c>
      <c r="L24" s="2">
        <f t="shared" si="2"/>
        <v>40</v>
      </c>
      <c r="M24">
        <v>38</v>
      </c>
      <c r="N24">
        <v>70</v>
      </c>
      <c r="O24">
        <v>120</v>
      </c>
      <c r="P24" s="2">
        <f t="shared" si="0"/>
        <v>52380</v>
      </c>
      <c r="Q24">
        <f t="shared" si="3"/>
        <v>55160</v>
      </c>
      <c r="R24">
        <v>660</v>
      </c>
      <c r="S24" s="2">
        <v>43200</v>
      </c>
      <c r="T24" s="1">
        <v>0.03</v>
      </c>
      <c r="U24" s="2">
        <f t="shared" si="4"/>
        <v>41904</v>
      </c>
      <c r="V24">
        <v>7566</v>
      </c>
      <c r="W24">
        <v>2910</v>
      </c>
      <c r="X24" s="3">
        <v>0</v>
      </c>
      <c r="Y24" s="1">
        <v>0.8</v>
      </c>
      <c r="Z24" s="3">
        <f t="shared" si="5"/>
        <v>0</v>
      </c>
      <c r="AA24" s="3">
        <f>X24/'energy battery'!B$4</f>
        <v>0</v>
      </c>
      <c r="AB24" s="3">
        <v>0</v>
      </c>
      <c r="AC24" s="3">
        <f t="shared" si="7"/>
        <v>0</v>
      </c>
      <c r="AD24" s="3">
        <v>0</v>
      </c>
      <c r="AE24">
        <v>0</v>
      </c>
      <c r="AF24">
        <v>0</v>
      </c>
      <c r="AG24">
        <v>0</v>
      </c>
      <c r="AH24">
        <v>0</v>
      </c>
      <c r="AI24">
        <v>0</v>
      </c>
      <c r="AJ24">
        <v>0</v>
      </c>
      <c r="AK24" s="6">
        <f>L24/30</f>
        <v>1.3333333333333333</v>
      </c>
      <c r="AL24">
        <f>0.00012*M24</f>
        <v>4.5599999999999998E-3</v>
      </c>
      <c r="AM24">
        <v>0</v>
      </c>
      <c r="AN24" s="2">
        <f t="shared" si="9"/>
        <v>41904</v>
      </c>
      <c r="AO24" s="2">
        <f t="shared" si="10"/>
        <v>10476</v>
      </c>
      <c r="AP24" s="2">
        <f t="shared" si="11"/>
        <v>0</v>
      </c>
      <c r="AQ24" s="6" t="s">
        <v>86</v>
      </c>
      <c r="AR24" s="6">
        <v>13.3</v>
      </c>
      <c r="AS24" s="2">
        <f>SUM(Z24,AG24)/(SUM(AQ24:AR24)/3.6)</f>
        <v>0</v>
      </c>
      <c r="AT24" s="5">
        <v>0</v>
      </c>
      <c r="AU24" s="7">
        <v>0</v>
      </c>
      <c r="AV24" s="7">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7">
        <v>0</v>
      </c>
    </row>
    <row r="25" spans="1:89" x14ac:dyDescent="0.3">
      <c r="A25" t="str">
        <f t="shared" si="1"/>
        <v>Tram, electric - 2040 - CH</v>
      </c>
      <c r="B25" t="s">
        <v>519</v>
      </c>
      <c r="C25" t="s">
        <v>34</v>
      </c>
      <c r="D25">
        <v>2040</v>
      </c>
      <c r="E25" t="s">
        <v>37</v>
      </c>
      <c r="F25" t="s">
        <v>146</v>
      </c>
      <c r="G25" t="s">
        <v>40</v>
      </c>
      <c r="H25" t="s">
        <v>32</v>
      </c>
      <c r="I25" t="s">
        <v>43</v>
      </c>
      <c r="J25">
        <v>2800000</v>
      </c>
      <c r="K25">
        <v>70000</v>
      </c>
      <c r="L25" s="2">
        <f t="shared" si="2"/>
        <v>40</v>
      </c>
      <c r="M25">
        <v>38</v>
      </c>
      <c r="N25">
        <v>70</v>
      </c>
      <c r="O25">
        <v>120</v>
      </c>
      <c r="P25" s="2">
        <f t="shared" si="0"/>
        <v>51202</v>
      </c>
      <c r="Q25">
        <f t="shared" si="3"/>
        <v>53982</v>
      </c>
      <c r="R25">
        <v>660</v>
      </c>
      <c r="S25" s="2">
        <v>43200</v>
      </c>
      <c r="T25" s="1">
        <v>0.05</v>
      </c>
      <c r="U25" s="2">
        <f t="shared" si="4"/>
        <v>41040</v>
      </c>
      <c r="V25">
        <v>7340</v>
      </c>
      <c r="W25">
        <v>2822</v>
      </c>
      <c r="X25" s="3">
        <v>0</v>
      </c>
      <c r="Y25" s="1">
        <v>0.8</v>
      </c>
      <c r="Z25" s="3">
        <f t="shared" si="5"/>
        <v>0</v>
      </c>
      <c r="AA25" s="3">
        <f>X25/'energy battery'!B$5</f>
        <v>0</v>
      </c>
      <c r="AB25" s="3">
        <v>0</v>
      </c>
      <c r="AC25" s="3">
        <f t="shared" si="7"/>
        <v>0</v>
      </c>
      <c r="AD25" s="3">
        <v>0</v>
      </c>
      <c r="AE25">
        <v>0</v>
      </c>
      <c r="AF25">
        <v>0</v>
      </c>
      <c r="AG25">
        <v>0</v>
      </c>
      <c r="AH25">
        <v>0</v>
      </c>
      <c r="AI25">
        <v>0</v>
      </c>
      <c r="AJ25">
        <v>0</v>
      </c>
      <c r="AK25" s="6">
        <f>L25/30</f>
        <v>1.3333333333333333</v>
      </c>
      <c r="AL25">
        <f>0.00012*M25</f>
        <v>4.5599999999999998E-3</v>
      </c>
      <c r="AM25">
        <v>0</v>
      </c>
      <c r="AN25" s="2">
        <f t="shared" si="9"/>
        <v>41040</v>
      </c>
      <c r="AO25" s="2">
        <f t="shared" si="10"/>
        <v>10162</v>
      </c>
      <c r="AP25" s="2">
        <f t="shared" si="11"/>
        <v>0</v>
      </c>
      <c r="AQ25" s="6" t="s">
        <v>86</v>
      </c>
      <c r="AR25" s="6">
        <v>13.3</v>
      </c>
      <c r="AS25" s="2">
        <f>SUM(Z25,AG25)/(SUM(AQ25:AR25)/3.6)</f>
        <v>0</v>
      </c>
      <c r="AT25" s="5">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7">
        <v>0</v>
      </c>
    </row>
    <row r="26" spans="1:89" x14ac:dyDescent="0.3">
      <c r="A26" t="str">
        <f t="shared" si="1"/>
        <v>Tram, electric - 2050 - CH</v>
      </c>
      <c r="B26" t="s">
        <v>519</v>
      </c>
      <c r="C26" t="s">
        <v>34</v>
      </c>
      <c r="D26">
        <v>2050</v>
      </c>
      <c r="E26" t="s">
        <v>37</v>
      </c>
      <c r="F26" t="s">
        <v>146</v>
      </c>
      <c r="G26" t="s">
        <v>40</v>
      </c>
      <c r="H26" t="s">
        <v>32</v>
      </c>
      <c r="I26" t="s">
        <v>43</v>
      </c>
      <c r="J26">
        <v>2800000</v>
      </c>
      <c r="K26">
        <v>70000</v>
      </c>
      <c r="L26" s="2">
        <f t="shared" si="2"/>
        <v>40</v>
      </c>
      <c r="M26">
        <v>38</v>
      </c>
      <c r="N26">
        <v>70</v>
      </c>
      <c r="O26">
        <v>120</v>
      </c>
      <c r="P26" s="2">
        <f t="shared" si="0"/>
        <v>50033</v>
      </c>
      <c r="Q26">
        <f t="shared" si="3"/>
        <v>52813</v>
      </c>
      <c r="R26">
        <v>660</v>
      </c>
      <c r="S26" s="2">
        <v>43200</v>
      </c>
      <c r="T26" s="1">
        <v>7.0000000000000007E-2</v>
      </c>
      <c r="U26" s="2">
        <f t="shared" si="4"/>
        <v>40176</v>
      </c>
      <c r="V26">
        <v>7119</v>
      </c>
      <c r="W26">
        <v>2738</v>
      </c>
      <c r="X26" s="3">
        <v>0</v>
      </c>
      <c r="Y26" s="1">
        <v>0.8</v>
      </c>
      <c r="Z26" s="3">
        <f t="shared" si="5"/>
        <v>0</v>
      </c>
      <c r="AA26" s="3">
        <f>X26/'energy battery'!B$6</f>
        <v>0</v>
      </c>
      <c r="AB26" s="3">
        <v>0</v>
      </c>
      <c r="AC26" s="3">
        <f t="shared" si="7"/>
        <v>0</v>
      </c>
      <c r="AD26" s="3">
        <v>0</v>
      </c>
      <c r="AE26">
        <v>0</v>
      </c>
      <c r="AF26">
        <v>0</v>
      </c>
      <c r="AG26">
        <v>0</v>
      </c>
      <c r="AH26">
        <v>0</v>
      </c>
      <c r="AI26">
        <v>0</v>
      </c>
      <c r="AJ26">
        <v>0</v>
      </c>
      <c r="AK26" s="6">
        <f>L26/30</f>
        <v>1.3333333333333333</v>
      </c>
      <c r="AL26">
        <f>0.00012*M26</f>
        <v>4.5599999999999998E-3</v>
      </c>
      <c r="AM26">
        <v>0</v>
      </c>
      <c r="AN26" s="2">
        <f t="shared" si="9"/>
        <v>40176</v>
      </c>
      <c r="AO26" s="2">
        <f t="shared" si="10"/>
        <v>9857</v>
      </c>
      <c r="AP26" s="2">
        <f t="shared" si="11"/>
        <v>0</v>
      </c>
      <c r="AQ26" s="6" t="s">
        <v>86</v>
      </c>
      <c r="AR26" s="6">
        <v>13.3</v>
      </c>
      <c r="AS26" s="2">
        <f>SUM(Z26,AG26)/(SUM(AQ26:AR26)/3.6)</f>
        <v>0</v>
      </c>
      <c r="AT26" s="5">
        <v>0</v>
      </c>
      <c r="AU26" s="7">
        <v>0</v>
      </c>
      <c r="AV26" s="7">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7">
        <v>0</v>
      </c>
    </row>
    <row r="27" spans="1:89" x14ac:dyDescent="0.3">
      <c r="A27" t="str">
        <f t="shared" si="1"/>
        <v>Moped, gasoline, &lt;4kW, EURO-3 - 2006 - CH</v>
      </c>
      <c r="B27" t="s">
        <v>645</v>
      </c>
      <c r="D27">
        <v>2006</v>
      </c>
      <c r="E27" t="s">
        <v>37</v>
      </c>
      <c r="F27" t="s">
        <v>147</v>
      </c>
      <c r="G27" t="s">
        <v>39</v>
      </c>
      <c r="H27" t="s">
        <v>35</v>
      </c>
      <c r="J27">
        <v>33400</v>
      </c>
      <c r="K27">
        <v>2553</v>
      </c>
      <c r="L27" s="2">
        <f t="shared" si="2"/>
        <v>13.082647865256561</v>
      </c>
      <c r="M27">
        <v>1</v>
      </c>
      <c r="N27">
        <v>70</v>
      </c>
      <c r="O27">
        <v>2</v>
      </c>
      <c r="P27" s="2">
        <f t="shared" ref="P27:P86" si="13">SUM(U27,V27,W27,AC27,AF27,AH27)</f>
        <v>65.098124999999996</v>
      </c>
      <c r="Q27" s="2">
        <f t="shared" si="3"/>
        <v>137.09812499999998</v>
      </c>
      <c r="R27">
        <v>2.5</v>
      </c>
      <c r="S27" s="2">
        <v>41.962499999999999</v>
      </c>
      <c r="T27" s="1">
        <v>-0.05</v>
      </c>
      <c r="U27" s="2">
        <f t="shared" si="4"/>
        <v>44.060625000000002</v>
      </c>
      <c r="V27">
        <v>15</v>
      </c>
      <c r="W27">
        <v>0</v>
      </c>
      <c r="X27" s="3">
        <v>0</v>
      </c>
      <c r="Y27" s="1">
        <v>0.8</v>
      </c>
      <c r="Z27" s="3">
        <f t="shared" si="5"/>
        <v>0</v>
      </c>
      <c r="AA27" s="3">
        <v>0</v>
      </c>
      <c r="AB27" s="3">
        <v>0</v>
      </c>
      <c r="AC27" s="3">
        <f t="shared" si="7"/>
        <v>0</v>
      </c>
      <c r="AD27" s="3">
        <v>0</v>
      </c>
      <c r="AE27" s="3">
        <v>7</v>
      </c>
      <c r="AF27">
        <f>AE27*'fuels and tailpipe emissions'!$B$3</f>
        <v>5.25</v>
      </c>
      <c r="AG27" s="2">
        <f>AF27*'fuels and tailpipe emissions'!$C$3</f>
        <v>61.833333333333329</v>
      </c>
      <c r="AH27" s="3">
        <f>0.15*AF27</f>
        <v>0.78749999999999998</v>
      </c>
      <c r="AI27">
        <v>0</v>
      </c>
      <c r="AJ27">
        <v>0</v>
      </c>
      <c r="AK27">
        <f t="shared" ref="AK27:AK39" si="14">IF(J27/50000&gt;1,J27/50000,1)</f>
        <v>1</v>
      </c>
      <c r="AL27">
        <f t="shared" ref="AL27:AL86" si="15">0.000537/1000*Q27</f>
        <v>7.3621693124999987E-5</v>
      </c>
      <c r="AM27">
        <v>1.2899999999999999E-3</v>
      </c>
      <c r="AN27" s="2">
        <f t="shared" si="9"/>
        <v>44.060625000000002</v>
      </c>
      <c r="AO27" s="2">
        <f t="shared" si="10"/>
        <v>15</v>
      </c>
      <c r="AP27" s="2">
        <f t="shared" si="11"/>
        <v>0</v>
      </c>
      <c r="AQ27" s="6">
        <v>0.83950213329410028</v>
      </c>
      <c r="AR27" s="6" t="str">
        <f>IF($H27="BEV",SUMPRODUCT(#REF!,#REF!),"")</f>
        <v/>
      </c>
      <c r="AS27" s="2">
        <f>SUM(Z27,AG27)/(SUM(AQ27:AR27)/3.6)</f>
        <v>265.15715823918839</v>
      </c>
      <c r="AT27" s="5">
        <f>IF($H27="ICEV-p",$AQ27/('fuels and tailpipe emissions'!$C$3*3.6)*'fuels and tailpipe emissions'!$D$3,"")</f>
        <v>6.2962659997057524E-2</v>
      </c>
      <c r="AU27" s="7">
        <f>IF($H27="ICEV-p",$AQ27/('fuels and tailpipe emissions'!$C$3*3.6)*'fuels and tailpipe emissions'!$E$3,"")</f>
        <v>3.1679325784683032E-7</v>
      </c>
      <c r="AV27" s="7">
        <f>SUMIFS('fuels and tailpipe emissions'!$C$10:$C$126,'fuels and tailpipe emissions'!$A$10:$A$126,'vehicles specifications'!$F27,'fuels and tailpipe emissions'!$B$10:$B$126,'vehicles specifications'!AV$2)/1000*$AQ27</f>
        <v>1.0310040666120319E-4</v>
      </c>
      <c r="AW27" s="7">
        <f>SUMIFS('fuels and tailpipe emissions'!$C$10:$C$126,'fuels and tailpipe emissions'!$A$10:$A$126,'vehicles specifications'!$F27,'fuels and tailpipe emissions'!$B$10:$B$126,'vehicles specifications'!AW$2)/1000*$AQ27</f>
        <v>2.2338843798195468E-5</v>
      </c>
      <c r="AX27" s="7">
        <f>SUMIFS('fuels and tailpipe emissions'!$C$10:$C$126,'fuels and tailpipe emissions'!$A$10:$A$126,'vehicles specifications'!$F27,'fuels and tailpipe emissions'!$B$10:$B$126,'vehicles specifications'!AX$2)/1000*$AQ27</f>
        <v>3.277971259693117E-3</v>
      </c>
      <c r="AY27" s="7">
        <f>SUMIFS('fuels and tailpipe emissions'!$C$10:$C$126,'fuels and tailpipe emissions'!$A$10:$A$126,'vehicles specifications'!$F27,'fuels and tailpipe emissions'!$B$10:$B$126,'vehicles specifications'!AY$2)/1000*$AQ27</f>
        <v>1.1333761439977408E-6</v>
      </c>
      <c r="AZ27" s="7">
        <f>SUMIFS('fuels and tailpipe emissions'!$C$10:$C$126,'fuels and tailpipe emissions'!$A$10:$A$126,'vehicles specifications'!$F27,'fuels and tailpipe emissions'!$B$10:$B$126,'vehicles specifications'!AZ$2)/1000*$AQ27</f>
        <v>1.1333761439977408E-6</v>
      </c>
      <c r="BA27" s="7">
        <f>SUMIFS('fuels and tailpipe emissions'!$C$10:$C$126,'fuels and tailpipe emissions'!$A$10:$A$126,'vehicles specifications'!$F27,'fuels and tailpipe emissions'!$B$10:$B$126,'vehicles specifications'!BA$2)/1000*$AQ27</f>
        <v>3.7393687755796559E-4</v>
      </c>
      <c r="BB27" s="7">
        <f>SUMIFS('fuels and tailpipe emissions'!$C$10:$C$126,'fuels and tailpipe emissions'!$A$10:$A$126,'vehicles specifications'!$F27,'fuels and tailpipe emissions'!$B$10:$B$126,'vehicles specifications'!BB$2)/1000*$AQ27</f>
        <v>1.1713745554585587E-5</v>
      </c>
      <c r="BC27" s="7">
        <f>SUMIFS('fuels and tailpipe emissions'!$C$10:$C$126,'fuels and tailpipe emissions'!$A$10:$A$126,'vehicles specifications'!$F27,'fuels and tailpipe emissions'!$B$10:$B$126,'vehicles specifications'!BC$2)/1000*$AQ27</f>
        <v>8.3141932216628021E-4</v>
      </c>
      <c r="BD27" s="7">
        <f>SUMIFS('fuels and tailpipe emissions'!$C$10:$C$126,'fuels and tailpipe emissions'!$A$10:$A$126,'vehicles specifications'!$F27,'fuels and tailpipe emissions'!$B$10:$B$126,'vehicles specifications'!BD$2)/1000*$AQ27</f>
        <v>5.8625721434801813E-5</v>
      </c>
      <c r="BE27" s="7">
        <f>SUMIFS('fuels and tailpipe emissions'!$C$10:$C$126,'fuels and tailpipe emissions'!$A$10:$A$126,'vehicles specifications'!$F27,'fuels and tailpipe emissions'!$B$10:$B$126,'vehicles specifications'!BE$2)/1000*$AQ27</f>
        <v>1.1945679916182187E-5</v>
      </c>
      <c r="BF27" s="7">
        <f>SUMIFS('fuels and tailpipe emissions'!$C$10:$C$126,'fuels and tailpipe emissions'!$A$10:$A$126,'vehicles specifications'!$F27,'fuels and tailpipe emissions'!$B$10:$B$126,'vehicles specifications'!BF$2)/1000*$AQ27</f>
        <v>9.6300558093530248E-5</v>
      </c>
      <c r="BG27" s="7">
        <f>SUMIFS('fuels and tailpipe emissions'!$C$10:$C$126,'fuels and tailpipe emissions'!$A$10:$A$126,'vehicles specifications'!$F27,'fuels and tailpipe emissions'!$B$10:$B$126,'vehicles specifications'!BG$2)/1000*$AQ27</f>
        <v>3.9512633568910311E-5</v>
      </c>
      <c r="BH27" s="7">
        <f>SUMIFS('fuels and tailpipe emissions'!$C$10:$C$126,'fuels and tailpipe emissions'!$A$10:$A$126,'vehicles specifications'!$F27,'fuels and tailpipe emissions'!$B$10:$B$126,'vehicles specifications'!BH$2)/1000*$AQ27</f>
        <v>2.9588530253928191E-5</v>
      </c>
      <c r="BI27" s="7">
        <f>SUMIFS('fuels and tailpipe emissions'!$C$10:$C$126,'fuels and tailpipe emissions'!$A$10:$A$126,'vehicles specifications'!$F27,'fuels and tailpipe emissions'!$B$10:$B$126,'vehicles specifications'!BI$2)/1000*$AQ27</f>
        <v>2.0950884776073375E-5</v>
      </c>
      <c r="BJ27" s="7">
        <f>SUMIFS('fuels and tailpipe emissions'!$C$10:$C$126,'fuels and tailpipe emissions'!$A$10:$A$126,'vehicles specifications'!$F27,'fuels and tailpipe emissions'!$B$10:$B$126,'vehicles specifications'!BJ$2)/1000*$AQ27</f>
        <v>1.3599697135345875E-5</v>
      </c>
      <c r="BK27" s="7">
        <f>SUMIFS('fuels and tailpipe emissions'!$C$10:$C$126,'fuels and tailpipe emissions'!$A$10:$A$126,'vehicles specifications'!$F27,'fuels and tailpipe emissions'!$B$10:$B$126,'vehicles specifications'!BK$2)/1000*$AQ27</f>
        <v>1.3415917444327687E-4</v>
      </c>
      <c r="BL27" s="7">
        <f>SUMIFS('fuels and tailpipe emissions'!$C$10:$C$126,'fuels and tailpipe emissions'!$A$10:$A$126,'vehicles specifications'!$F27,'fuels and tailpipe emissions'!$B$10:$B$126,'vehicles specifications'!BL$2)/1000*$AQ27</f>
        <v>7.0203841968947625E-5</v>
      </c>
      <c r="BM27" s="7">
        <f>SUMIFS('fuels and tailpipe emissions'!$C$10:$C$126,'fuels and tailpipe emissions'!$A$10:$A$126,'vehicles specifications'!$F27,'fuels and tailpipe emissions'!$B$10:$B$126,'vehicles specifications'!BM$2)/1000*$AQ27</f>
        <v>2.0215766012000624E-6</v>
      </c>
      <c r="BN27" s="7">
        <f>SUMIFS('fuels and tailpipe emissions'!$C$10:$C$126,'fuels and tailpipe emissions'!$A$10:$A$126,'vehicles specifications'!$F27,'fuels and tailpipe emissions'!$B$10:$B$126,'vehicles specifications'!BN$2)/1000*$AQ27</f>
        <v>1.0310040666120319E-4</v>
      </c>
      <c r="BO27" s="7">
        <f>SUMIFS('fuels and tailpipe emissions'!$C$10:$C$126,'fuels and tailpipe emissions'!$A$10:$A$126,'vehicles specifications'!$F27,'fuels and tailpipe emissions'!$B$10:$B$126,'vehicles specifications'!BO$2)/1000*$AQ27</f>
        <v>2.0179010073796986E-4</v>
      </c>
      <c r="BP27" s="7">
        <f>SUMIFS('fuels and tailpipe emissions'!$C$10:$C$126,'fuels and tailpipe emissions'!$A$10:$A$126,'vehicles specifications'!$F27,'fuels and tailpipe emissions'!$B$10:$B$126,'vehicles specifications'!BP$2)/1000*$AQ27</f>
        <v>9.9792372222875822E-5</v>
      </c>
      <c r="BQ27" s="7">
        <f>SUMIFS('fuels and tailpipe emissions'!$C$10:$C$126,'fuels and tailpipe emissions'!$A$10:$A$126,'vehicles specifications'!$F27,'fuels and tailpipe emissions'!$B$10:$B$126,'vehicles specifications'!BQ$2)/1000*$AQ27</f>
        <v>4.1534210170110372E-5</v>
      </c>
      <c r="BR27" s="7">
        <f>SUMIFS('fuels and tailpipe emissions'!$C$10:$C$126,'fuels and tailpipe emissions'!$A$10:$A$126,'vehicles specifications'!$F27,'fuels and tailpipe emissions'!$B$10:$B$126,'vehicles specifications'!BR$2)/1000*$AQ27</f>
        <v>3.1242547473091882E-5</v>
      </c>
      <c r="BS27" s="7">
        <f>SUMIFS('fuels and tailpipe emissions'!$C$10:$C$126,'fuels and tailpipe emissions'!$A$10:$A$126,'vehicles specifications'!$F27,'fuels and tailpipe emissions'!$B$10:$B$126,'vehicles specifications'!BS$2)/1000*$AQ27</f>
        <v>1.3783476826364063E-5</v>
      </c>
      <c r="BT27" s="7">
        <f>SUMIFS('fuels and tailpipe emissions'!$C$10:$C$126,'fuels and tailpipe emissions'!$A$10:$A$126,'vehicles specifications'!$F27,'fuels and tailpipe emissions'!$B$10:$B$126,'vehicles specifications'!BT$2)/1000*$AQ27</f>
        <v>4.0431532024001248E-6</v>
      </c>
      <c r="BU27" s="7">
        <f>SUMIFS('fuels and tailpipe emissions'!$C$10:$C$126,'fuels and tailpipe emissions'!$A$10:$A$126,'vehicles specifications'!$F27,'fuels and tailpipe emissions'!$B$10:$B$126,'vehicles specifications'!BU$2)/1000*$AQ27</f>
        <v>1.1210561152109439E-5</v>
      </c>
      <c r="BV27" s="7">
        <f>SUMIFS('fuels and tailpipe emissions'!$C$10:$C$126,'fuels and tailpipe emissions'!$A$10:$A$126,'vehicles specifications'!$F27,'fuels and tailpipe emissions'!$B$10:$B$126,'vehicles specifications'!BV$2)/1000*$AQ27</f>
        <v>9.1889845509093757E-7</v>
      </c>
      <c r="BW27" s="7">
        <f>SUMIFS('fuels and tailpipe emissions'!$C$10:$C$126,'fuels and tailpipe emissions'!$A$10:$A$126,'vehicles specifications'!$F27,'fuels and tailpipe emissions'!$B$10:$B$126,'vehicles specifications'!BW$2)/1000*$AQ27</f>
        <v>3.4918141293455624E-6</v>
      </c>
      <c r="BX27" s="7">
        <f>SUMIFS('fuels and tailpipe emissions'!$C$10:$C$126,'fuels and tailpipe emissions'!$A$10:$A$126,'vehicles specifications'!$F27,'fuels and tailpipe emissions'!$B$10:$B$126,'vehicles specifications'!BX$2)/1000*$AQ27</f>
        <v>1.8561748792836937E-5</v>
      </c>
      <c r="BY27" s="7">
        <f>SUMIFS('fuels and tailpipe emissions'!$C$10:$C$126,'fuels and tailpipe emissions'!$A$10:$A$126,'vehicles specifications'!$F27,'fuels and tailpipe emissions'!$B$10:$B$126,'vehicles specifications'!BY$2)/1000*$AQ27</f>
        <v>2.9214674238634691E-8</v>
      </c>
      <c r="BZ27" s="7">
        <f>SUMIFS('fuels and tailpipe emissions'!$C$10:$C$126,'fuels and tailpipe emissions'!$A$10:$A$126,'vehicles specifications'!$F27,'fuels and tailpipe emissions'!$B$10:$B$126,'vehicles specifications'!BZ$2)/1000*$AQ27</f>
        <v>2.5185063998823007E-10</v>
      </c>
      <c r="CA27" s="7">
        <f>SUMIFS('fuels and tailpipe emissions'!$C$10:$C$126,'fuels and tailpipe emissions'!$A$10:$A$126,'vehicles specifications'!$F27,'fuels and tailpipe emissions'!$B$10:$B$126,'vehicles specifications'!CA$2)/1000*$AQ27</f>
        <v>1.6790042665882005E-10</v>
      </c>
      <c r="CB27" s="7">
        <f>SUMIFS('fuels and tailpipe emissions'!$C$10:$C$126,'fuels and tailpipe emissions'!$A$10:$A$126,'vehicles specifications'!$F27,'fuels and tailpipe emissions'!$B$10:$B$126,'vehicles specifications'!CB$2)/1000*$AQ27</f>
        <v>1.8133246079152567E-6</v>
      </c>
      <c r="CC27" s="7">
        <f>SUMIFS('fuels and tailpipe emissions'!$C$10:$C$126,'fuels and tailpipe emissions'!$A$10:$A$126,'vehicles specifications'!$F27,'fuels and tailpipe emissions'!$B$10:$B$126,'vehicles specifications'!CC$2)/1000*$AQ27</f>
        <v>3.525908959835221E-8</v>
      </c>
      <c r="CD27" s="7">
        <f>SUMIFS('fuels and tailpipe emissions'!$C$10:$C$126,'fuels and tailpipe emissions'!$A$10:$A$126,'vehicles specifications'!$F27,'fuels and tailpipe emissions'!$B$10:$B$126,'vehicles specifications'!CD$2)/1000*$AQ27</f>
        <v>1.0913527732823304E-8</v>
      </c>
      <c r="CE27" s="7">
        <f>SUMIFS('fuels and tailpipe emissions'!$C$10:$C$126,'fuels and tailpipe emissions'!$A$10:$A$126,'vehicles specifications'!$F27,'fuels and tailpipe emissions'!$B$10:$B$126,'vehicles specifications'!CE$2)/1000*$AQ27</f>
        <v>1.3432034132705608E-8</v>
      </c>
      <c r="CF27" s="7">
        <f>SUMIFS('fuels and tailpipe emissions'!$C$10:$C$126,'fuels and tailpipe emissions'!$A$10:$A$126,'vehicles specifications'!$F27,'fuels and tailpipe emissions'!$B$10:$B$126,'vehicles specifications'!CF$2)/1000*$AQ27</f>
        <v>2.6864068265411208E-11</v>
      </c>
      <c r="CG27" s="7">
        <f>SUMIFS('fuels and tailpipe emissions'!$C$10:$C$126,'fuels and tailpipe emissions'!$A$10:$A$126,'vehicles specifications'!$F27,'fuels and tailpipe emissions'!$B$10:$B$126,'vehicles specifications'!CG$2)/1000*$AQ27</f>
        <v>7.3036685596586727E-9</v>
      </c>
      <c r="CH27" s="7">
        <f>SUMIFS('fuels and tailpipe emissions'!$C$10:$C$126,'fuels and tailpipe emissions'!$A$10:$A$126,'vehicles specifications'!$F27,'fuels and tailpipe emissions'!$B$10:$B$126,'vehicles specifications'!CH$2)/1000*$AQ27</f>
        <v>9.0666230395762843E-9</v>
      </c>
      <c r="CI27" s="7">
        <f>VLOOKUP(B27,'abrasion emissions'!$A$4:$D$32,4,FALSE)</f>
        <v>6.0000000000000002E-6</v>
      </c>
      <c r="CJ27" s="7">
        <f>VLOOKUP(B27,'abrasion emissions'!$A$4:$D$32,2,FALSE)</f>
        <v>5.8379999999999998E-6</v>
      </c>
      <c r="CK27" s="7">
        <f>VLOOKUP(B27,'abrasion emissions'!$A$4:$D$32,3,FALSE)</f>
        <v>3.6740000000000003E-6</v>
      </c>
    </row>
    <row r="28" spans="1:89" x14ac:dyDescent="0.3">
      <c r="A28" t="str">
        <f t="shared" si="1"/>
        <v>Moped, gasoline, &lt;4kW, EURO-4 - 2016 - CH</v>
      </c>
      <c r="B28" t="s">
        <v>646</v>
      </c>
      <c r="D28">
        <v>2016</v>
      </c>
      <c r="E28" t="s">
        <v>37</v>
      </c>
      <c r="F28" t="s">
        <v>148</v>
      </c>
      <c r="G28" t="s">
        <v>39</v>
      </c>
      <c r="H28" t="s">
        <v>35</v>
      </c>
      <c r="J28" s="21">
        <v>33400</v>
      </c>
      <c r="K28" s="21">
        <v>2553</v>
      </c>
      <c r="L28" s="2">
        <f t="shared" si="2"/>
        <v>13.082647865256561</v>
      </c>
      <c r="M28">
        <v>1</v>
      </c>
      <c r="N28">
        <v>70</v>
      </c>
      <c r="O28">
        <v>2</v>
      </c>
      <c r="P28" s="2">
        <f t="shared" si="13"/>
        <v>63.83925</v>
      </c>
      <c r="Q28" s="2">
        <f t="shared" si="3"/>
        <v>135.83924999999999</v>
      </c>
      <c r="R28">
        <v>2.5</v>
      </c>
      <c r="S28" s="2">
        <v>41.962499999999999</v>
      </c>
      <c r="T28" s="1">
        <v>-0.02</v>
      </c>
      <c r="U28" s="2">
        <f t="shared" si="4"/>
        <v>42.801749999999998</v>
      </c>
      <c r="V28">
        <v>15</v>
      </c>
      <c r="W28">
        <v>0</v>
      </c>
      <c r="X28" s="3">
        <v>0</v>
      </c>
      <c r="Y28" s="1">
        <v>0.8</v>
      </c>
      <c r="Z28" s="3">
        <f t="shared" si="5"/>
        <v>0</v>
      </c>
      <c r="AA28" s="3">
        <v>0</v>
      </c>
      <c r="AB28" s="3">
        <v>0</v>
      </c>
      <c r="AC28" s="3">
        <f t="shared" si="7"/>
        <v>0</v>
      </c>
      <c r="AD28" s="3">
        <v>0</v>
      </c>
      <c r="AE28" s="3">
        <v>7</v>
      </c>
      <c r="AF28">
        <f>AE28*'fuels and tailpipe emissions'!$B$3</f>
        <v>5.25</v>
      </c>
      <c r="AG28" s="2">
        <f>AF28*'fuels and tailpipe emissions'!$C$3</f>
        <v>61.833333333333329</v>
      </c>
      <c r="AH28" s="3">
        <f t="shared" ref="AH28:AH44" si="16">0.15*AF28</f>
        <v>0.78749999999999998</v>
      </c>
      <c r="AI28">
        <v>0</v>
      </c>
      <c r="AJ28">
        <v>0</v>
      </c>
      <c r="AK28">
        <f t="shared" si="14"/>
        <v>1</v>
      </c>
      <c r="AL28">
        <f t="shared" si="15"/>
        <v>7.2945677249999991E-5</v>
      </c>
      <c r="AM28">
        <v>1.2899999999999999E-3</v>
      </c>
      <c r="AN28" s="2">
        <f t="shared" si="9"/>
        <v>42.801749999999998</v>
      </c>
      <c r="AO28" s="2">
        <f t="shared" si="10"/>
        <v>15</v>
      </c>
      <c r="AP28" s="2">
        <f t="shared" si="11"/>
        <v>0</v>
      </c>
      <c r="AQ28" s="6">
        <v>0.83119023098425771</v>
      </c>
      <c r="AR28" s="6" t="str">
        <f>IF($H28="BEV",SUMPRODUCT(#REF!,#REF!),"")</f>
        <v/>
      </c>
      <c r="AS28" s="2">
        <f>SUM(Z28,AG28)/(SUM(AQ28:AR28)/3.6)</f>
        <v>267.8087298215803</v>
      </c>
      <c r="AT28" s="5">
        <f>IF($H28="ICEV-p",$AQ28/('fuels and tailpipe emissions'!$C$3*3.6)*'fuels and tailpipe emissions'!$D$3,"")</f>
        <v>6.2339267323819329E-2</v>
      </c>
      <c r="AU28" s="7">
        <f>IF($H28="ICEV-p",$AQ28/('fuels and tailpipe emissions'!$C$3*3.6)*'fuels and tailpipe emissions'!$E$3,"")</f>
        <v>3.136566909374557E-7</v>
      </c>
      <c r="AV28" s="7">
        <f>SUMIFS('fuels and tailpipe emissions'!$C$10:$C$126,'fuels and tailpipe emissions'!$A$10:$A$126,'vehicles specifications'!$F28,'fuels and tailpipe emissions'!$B$10:$B$126,'vehicles specifications'!AV$2)/1000*$AQ28</f>
        <v>5.0538174149900782E-5</v>
      </c>
      <c r="AW28" s="7">
        <f>SUMIFS('fuels and tailpipe emissions'!$C$10:$C$126,'fuels and tailpipe emissions'!$A$10:$A$126,'vehicles specifications'!$F28,'fuels and tailpipe emissions'!$B$10:$B$126,'vehicles specifications'!AW$2)/1000*$AQ28</f>
        <v>2.2915507072459244E-5</v>
      </c>
      <c r="AX28" s="7">
        <f>SUMIFS('fuels and tailpipe emissions'!$C$10:$C$126,'fuels and tailpipe emissions'!$A$10:$A$126,'vehicles specifications'!$F28,'fuels and tailpipe emissions'!$B$10:$B$126,'vehicles specifications'!AX$2)/1000*$AQ28</f>
        <v>2.4230819782310601E-3</v>
      </c>
      <c r="AY28" s="7">
        <f>SUMIFS('fuels and tailpipe emissions'!$C$10:$C$126,'fuels and tailpipe emissions'!$A$10:$A$126,'vehicles specifications'!$F28,'fuels and tailpipe emissions'!$B$10:$B$126,'vehicles specifications'!AY$2)/1000*$AQ28</f>
        <v>1.1626335399522705E-6</v>
      </c>
      <c r="AZ28" s="7">
        <f>SUMIFS('fuels and tailpipe emissions'!$C$10:$C$126,'fuels and tailpipe emissions'!$A$10:$A$126,'vehicles specifications'!$F28,'fuels and tailpipe emissions'!$B$10:$B$126,'vehicles specifications'!AZ$2)/1000*$AQ28</f>
        <v>1.1626335399522705E-6</v>
      </c>
      <c r="BA28" s="7">
        <f>SUMIFS('fuels and tailpipe emissions'!$C$10:$C$126,'fuels and tailpipe emissions'!$A$10:$A$126,'vehicles specifications'!$F28,'fuels and tailpipe emissions'!$B$10:$B$126,'vehicles specifications'!BA$2)/1000*$AQ28</f>
        <v>8.7186713305431907E-5</v>
      </c>
      <c r="BB28" s="7">
        <f>SUMIFS('fuels and tailpipe emissions'!$C$10:$C$126,'fuels and tailpipe emissions'!$A$10:$A$126,'vehicles specifications'!$F28,'fuels and tailpipe emissions'!$B$10:$B$126,'vehicles specifications'!BB$2)/1000*$AQ28</f>
        <v>6.6770044199458891E-6</v>
      </c>
      <c r="BC28" s="7">
        <f>SUMIFS('fuels and tailpipe emissions'!$C$10:$C$126,'fuels and tailpipe emissions'!$A$10:$A$126,'vehicles specifications'!$F28,'fuels and tailpipe emissions'!$B$10:$B$126,'vehicles specifications'!BC$2)/1000*$AQ28</f>
        <v>4.0754848458850478E-4</v>
      </c>
      <c r="BD28" s="7">
        <f>SUMIFS('fuels and tailpipe emissions'!$C$10:$C$126,'fuels and tailpipe emissions'!$A$10:$A$126,'vehicles specifications'!$F28,'fuels and tailpipe emissions'!$B$10:$B$126,'vehicles specifications'!BD$2)/1000*$AQ28</f>
        <v>2.873739314406123E-5</v>
      </c>
      <c r="BE28" s="7">
        <f>SUMIFS('fuels and tailpipe emissions'!$C$10:$C$126,'fuels and tailpipe emissions'!$A$10:$A$126,'vehicles specifications'!$F28,'fuels and tailpipe emissions'!$B$10:$B$126,'vehicles specifications'!BE$2)/1000*$AQ28</f>
        <v>5.8555816751221947E-6</v>
      </c>
      <c r="BF28" s="7">
        <f>SUMIFS('fuels and tailpipe emissions'!$C$10:$C$126,'fuels and tailpipe emissions'!$A$10:$A$126,'vehicles specifications'!$F28,'fuels and tailpipe emissions'!$B$10:$B$126,'vehicles specifications'!BF$2)/1000*$AQ28</f>
        <v>4.7204996888677385E-5</v>
      </c>
      <c r="BG28" s="7">
        <f>SUMIFS('fuels and tailpipe emissions'!$C$10:$C$126,'fuels and tailpipe emissions'!$A$10:$A$126,'vehicles specifications'!$F28,'fuels and tailpipe emissions'!$B$10:$B$126,'vehicles specifications'!BG$2)/1000*$AQ28</f>
        <v>1.936846246386572E-5</v>
      </c>
      <c r="BH28" s="7">
        <f>SUMIFS('fuels and tailpipe emissions'!$C$10:$C$126,'fuels and tailpipe emissions'!$A$10:$A$126,'vehicles specifications'!$F28,'fuels and tailpipe emissions'!$B$10:$B$126,'vehicles specifications'!BH$2)/1000*$AQ28</f>
        <v>1.4503825379918051E-5</v>
      </c>
      <c r="BI28" s="7">
        <f>SUMIFS('fuels and tailpipe emissions'!$C$10:$C$126,'fuels and tailpipe emissions'!$A$10:$A$126,'vehicles specifications'!$F28,'fuels and tailpipe emissions'!$B$10:$B$126,'vehicles specifications'!BI$2)/1000*$AQ28</f>
        <v>1.0269789399445079E-5</v>
      </c>
      <c r="BJ28" s="7">
        <f>SUMIFS('fuels and tailpipe emissions'!$C$10:$C$126,'fuels and tailpipe emissions'!$A$10:$A$126,'vehicles specifications'!$F28,'fuels and tailpipe emissions'!$B$10:$B$126,'vehicles specifications'!BJ$2)/1000*$AQ28</f>
        <v>6.6663545224468059E-6</v>
      </c>
      <c r="BK28" s="7">
        <f>SUMIFS('fuels and tailpipe emissions'!$C$10:$C$126,'fuels and tailpipe emissions'!$A$10:$A$126,'vehicles specifications'!$F28,'fuels and tailpipe emissions'!$B$10:$B$126,'vehicles specifications'!BK$2)/1000*$AQ28</f>
        <v>6.5762686505218488E-5</v>
      </c>
      <c r="BL28" s="7">
        <f>SUMIFS('fuels and tailpipe emissions'!$C$10:$C$126,'fuels and tailpipe emissions'!$A$10:$A$126,'vehicles specifications'!$F28,'fuels and tailpipe emissions'!$B$10:$B$126,'vehicles specifications'!BL$2)/1000*$AQ28</f>
        <v>3.441280307533351E-5</v>
      </c>
      <c r="BM28" s="7">
        <f>SUMIFS('fuels and tailpipe emissions'!$C$10:$C$126,'fuels and tailpipe emissions'!$A$10:$A$126,'vehicles specifications'!$F28,'fuels and tailpipe emissions'!$B$10:$B$126,'vehicles specifications'!BM$2)/1000*$AQ28</f>
        <v>9.9094459117452519E-7</v>
      </c>
      <c r="BN28" s="7">
        <f>SUMIFS('fuels and tailpipe emissions'!$C$10:$C$126,'fuels and tailpipe emissions'!$A$10:$A$126,'vehicles specifications'!$F28,'fuels and tailpipe emissions'!$B$10:$B$126,'vehicles specifications'!BN$2)/1000*$AQ28</f>
        <v>5.0538174149900782E-5</v>
      </c>
      <c r="BO28" s="7">
        <f>SUMIFS('fuels and tailpipe emissions'!$C$10:$C$126,'fuels and tailpipe emissions'!$A$10:$A$126,'vehicles specifications'!$F28,'fuels and tailpipe emissions'!$B$10:$B$126,'vehicles specifications'!BO$2)/1000*$AQ28</f>
        <v>9.8914287373602611E-5</v>
      </c>
      <c r="BP28" s="7">
        <f>SUMIFS('fuels and tailpipe emissions'!$C$10:$C$126,'fuels and tailpipe emissions'!$A$10:$A$126,'vehicles specifications'!$F28,'fuels and tailpipe emissions'!$B$10:$B$126,'vehicles specifications'!BP$2)/1000*$AQ28</f>
        <v>4.8916628455251568E-5</v>
      </c>
      <c r="BQ28" s="7">
        <f>SUMIFS('fuels and tailpipe emissions'!$C$10:$C$126,'fuels and tailpipe emissions'!$A$10:$A$126,'vehicles specifications'!$F28,'fuels and tailpipe emissions'!$B$10:$B$126,'vehicles specifications'!BQ$2)/1000*$AQ28</f>
        <v>2.0359407055040244E-5</v>
      </c>
      <c r="BR28" s="7">
        <f>SUMIFS('fuels and tailpipe emissions'!$C$10:$C$126,'fuels and tailpipe emissions'!$A$10:$A$126,'vehicles specifications'!$F28,'fuels and tailpipe emissions'!$B$10:$B$126,'vehicles specifications'!BR$2)/1000*$AQ28</f>
        <v>1.5314598227242665E-5</v>
      </c>
      <c r="BS28" s="7">
        <f>SUMIFS('fuels and tailpipe emissions'!$C$10:$C$126,'fuels and tailpipe emissions'!$A$10:$A$126,'vehicles specifications'!$F28,'fuels and tailpipe emissions'!$B$10:$B$126,'vehicles specifications'!BS$2)/1000*$AQ28</f>
        <v>6.7564403943717619E-6</v>
      </c>
      <c r="BT28" s="7">
        <f>SUMIFS('fuels and tailpipe emissions'!$C$10:$C$126,'fuels and tailpipe emissions'!$A$10:$A$126,'vehicles specifications'!$F28,'fuels and tailpipe emissions'!$B$10:$B$126,'vehicles specifications'!BT$2)/1000*$AQ28</f>
        <v>1.9818891823490504E-6</v>
      </c>
      <c r="BU28" s="7">
        <f>SUMIFS('fuels and tailpipe emissions'!$C$10:$C$126,'fuels and tailpipe emissions'!$A$10:$A$126,'vehicles specifications'!$F28,'fuels and tailpipe emissions'!$B$10:$B$126,'vehicles specifications'!BU$2)/1000*$AQ28</f>
        <v>5.495238187422368E-6</v>
      </c>
      <c r="BV28" s="7">
        <f>SUMIFS('fuels and tailpipe emissions'!$C$10:$C$126,'fuels and tailpipe emissions'!$A$10:$A$126,'vehicles specifications'!$F28,'fuels and tailpipe emissions'!$B$10:$B$126,'vehicles specifications'!BV$2)/1000*$AQ28</f>
        <v>0</v>
      </c>
      <c r="BW28" s="7">
        <f>SUMIFS('fuels and tailpipe emissions'!$C$10:$C$126,'fuels and tailpipe emissions'!$A$10:$A$126,'vehicles specifications'!$F28,'fuels and tailpipe emissions'!$B$10:$B$126,'vehicles specifications'!BW$2)/1000*$AQ28</f>
        <v>1.7116315665741799E-6</v>
      </c>
      <c r="BX28" s="7">
        <f>SUMIFS('fuels and tailpipe emissions'!$C$10:$C$126,'fuels and tailpipe emissions'!$A$10:$A$126,'vehicles specifications'!$F28,'fuels and tailpipe emissions'!$B$10:$B$126,'vehicles specifications'!BX$2)/1000*$AQ28</f>
        <v>9.0986730644206395E-6</v>
      </c>
      <c r="BY28" s="7">
        <f>SUMIFS('fuels and tailpipe emissions'!$C$10:$C$126,'fuels and tailpipe emissions'!$A$10:$A$126,'vehicles specifications'!$F28,'fuels and tailpipe emissions'!$B$10:$B$126,'vehicles specifications'!BY$2)/1000*$AQ28</f>
        <v>2.8925420038252168E-8</v>
      </c>
      <c r="BZ28" s="7">
        <f>SUMIFS('fuels and tailpipe emissions'!$C$10:$C$126,'fuels and tailpipe emissions'!$A$10:$A$126,'vehicles specifications'!$F28,'fuels and tailpipe emissions'!$B$10:$B$126,'vehicles specifications'!BZ$2)/1000*$AQ28</f>
        <v>2.4935706929527731E-10</v>
      </c>
      <c r="CA28" s="7">
        <f>SUMIFS('fuels and tailpipe emissions'!$C$10:$C$126,'fuels and tailpipe emissions'!$A$10:$A$126,'vehicles specifications'!$F28,'fuels and tailpipe emissions'!$B$10:$B$126,'vehicles specifications'!CA$2)/1000*$AQ28</f>
        <v>1.6623804619685155E-10</v>
      </c>
      <c r="CB28" s="7">
        <f>SUMIFS('fuels and tailpipe emissions'!$C$10:$C$126,'fuels and tailpipe emissions'!$A$10:$A$126,'vehicles specifications'!$F28,'fuels and tailpipe emissions'!$B$10:$B$126,'vehicles specifications'!CB$2)/1000*$AQ28</f>
        <v>1.7953708989259966E-6</v>
      </c>
      <c r="CC28" s="7">
        <f>SUMIFS('fuels and tailpipe emissions'!$C$10:$C$126,'fuels and tailpipe emissions'!$A$10:$A$126,'vehicles specifications'!$F28,'fuels and tailpipe emissions'!$B$10:$B$126,'vehicles specifications'!CC$2)/1000*$AQ28</f>
        <v>3.490998970133882E-8</v>
      </c>
      <c r="CD28" s="7">
        <f>SUMIFS('fuels and tailpipe emissions'!$C$10:$C$126,'fuels and tailpipe emissions'!$A$10:$A$126,'vehicles specifications'!$F28,'fuels and tailpipe emissions'!$B$10:$B$126,'vehicles specifications'!CD$2)/1000*$AQ28</f>
        <v>1.0805473002795351E-8</v>
      </c>
      <c r="CE28" s="7">
        <f>SUMIFS('fuels and tailpipe emissions'!$C$10:$C$126,'fuels and tailpipe emissions'!$A$10:$A$126,'vehicles specifications'!$F28,'fuels and tailpipe emissions'!$B$10:$B$126,'vehicles specifications'!CE$2)/1000*$AQ28</f>
        <v>1.3299043695748127E-8</v>
      </c>
      <c r="CF28" s="7">
        <f>SUMIFS('fuels and tailpipe emissions'!$C$10:$C$126,'fuels and tailpipe emissions'!$A$10:$A$126,'vehicles specifications'!$F28,'fuels and tailpipe emissions'!$B$10:$B$126,'vehicles specifications'!CF$2)/1000*$AQ28</f>
        <v>2.6598087391496246E-11</v>
      </c>
      <c r="CG28" s="7">
        <f>SUMIFS('fuels and tailpipe emissions'!$C$10:$C$126,'fuels and tailpipe emissions'!$A$10:$A$126,'vehicles specifications'!$F28,'fuels and tailpipe emissions'!$B$10:$B$126,'vehicles specifications'!CG$2)/1000*$AQ28</f>
        <v>7.2313550095630419E-9</v>
      </c>
      <c r="CH28" s="7">
        <f>SUMIFS('fuels and tailpipe emissions'!$C$10:$C$126,'fuels and tailpipe emissions'!$A$10:$A$126,'vehicles specifications'!$F28,'fuels and tailpipe emissions'!$B$10:$B$126,'vehicles specifications'!CH$2)/1000*$AQ28</f>
        <v>8.976854494629983E-9</v>
      </c>
      <c r="CI28" s="7">
        <f>VLOOKUP(B28,'abrasion emissions'!$A$4:$D$32,4,FALSE)</f>
        <v>6.0000000000000002E-6</v>
      </c>
      <c r="CJ28" s="7">
        <f>VLOOKUP(B28,'abrasion emissions'!$A$4:$D$32,2,FALSE)</f>
        <v>5.8379999999999998E-6</v>
      </c>
      <c r="CK28" s="7">
        <f>VLOOKUP(B28,'abrasion emissions'!$A$4:$D$32,3,FALSE)</f>
        <v>3.6740000000000003E-6</v>
      </c>
    </row>
    <row r="29" spans="1:89" x14ac:dyDescent="0.3">
      <c r="A29" t="str">
        <f t="shared" si="1"/>
        <v>Moped, gasoline, &lt;4kW, EURO-5 - 2020 - CH</v>
      </c>
      <c r="B29" t="s">
        <v>647</v>
      </c>
      <c r="D29">
        <v>2020</v>
      </c>
      <c r="E29" t="s">
        <v>37</v>
      </c>
      <c r="F29" t="s">
        <v>149</v>
      </c>
      <c r="G29" t="s">
        <v>39</v>
      </c>
      <c r="H29" t="s">
        <v>35</v>
      </c>
      <c r="J29" s="21">
        <v>33400</v>
      </c>
      <c r="K29" s="21">
        <v>2553</v>
      </c>
      <c r="L29" s="2">
        <f t="shared" si="2"/>
        <v>13.082647865256561</v>
      </c>
      <c r="M29">
        <v>1</v>
      </c>
      <c r="N29">
        <v>70</v>
      </c>
      <c r="O29">
        <v>2</v>
      </c>
      <c r="P29" s="2">
        <f t="shared" si="13"/>
        <v>63</v>
      </c>
      <c r="Q29" s="2">
        <f t="shared" si="3"/>
        <v>135</v>
      </c>
      <c r="R29">
        <v>2.5</v>
      </c>
      <c r="S29" s="2">
        <v>41.962499999999999</v>
      </c>
      <c r="T29" s="1">
        <v>0</v>
      </c>
      <c r="U29" s="2">
        <f t="shared" si="4"/>
        <v>41.962499999999999</v>
      </c>
      <c r="V29">
        <v>15</v>
      </c>
      <c r="W29">
        <v>0</v>
      </c>
      <c r="X29" s="3">
        <v>0</v>
      </c>
      <c r="Y29" s="1">
        <v>0.8</v>
      </c>
      <c r="Z29" s="3">
        <f t="shared" si="5"/>
        <v>0</v>
      </c>
      <c r="AA29" s="3">
        <v>0</v>
      </c>
      <c r="AB29" s="3">
        <v>0</v>
      </c>
      <c r="AC29" s="3">
        <f t="shared" si="7"/>
        <v>0</v>
      </c>
      <c r="AD29" s="3">
        <v>0</v>
      </c>
      <c r="AE29" s="3">
        <v>7</v>
      </c>
      <c r="AF29">
        <f>AE29*'fuels and tailpipe emissions'!$B$3</f>
        <v>5.25</v>
      </c>
      <c r="AG29" s="2">
        <f>AF29*'fuels and tailpipe emissions'!$C$3</f>
        <v>61.833333333333329</v>
      </c>
      <c r="AH29" s="3">
        <f t="shared" si="16"/>
        <v>0.78749999999999998</v>
      </c>
      <c r="AI29">
        <v>0</v>
      </c>
      <c r="AJ29">
        <v>0</v>
      </c>
      <c r="AK29">
        <f t="shared" si="14"/>
        <v>1</v>
      </c>
      <c r="AL29">
        <f t="shared" si="15"/>
        <v>7.2495000000000003E-5</v>
      </c>
      <c r="AM29">
        <v>1.2899999999999999E-3</v>
      </c>
      <c r="AN29" s="2">
        <f t="shared" si="9"/>
        <v>41.962499999999999</v>
      </c>
      <c r="AO29" s="2">
        <f t="shared" si="10"/>
        <v>15</v>
      </c>
      <c r="AP29" s="2">
        <f t="shared" si="11"/>
        <v>0</v>
      </c>
      <c r="AQ29" s="6">
        <v>0.82287832867441513</v>
      </c>
      <c r="AR29" s="6" t="str">
        <f>IF($H29="BEV",SUMPRODUCT(#REF!,#REF!),"")</f>
        <v/>
      </c>
      <c r="AS29" s="2">
        <f>SUM(Z29,AG29)/(SUM(AQ29:AR29)/3.6)</f>
        <v>270.51386850664676</v>
      </c>
      <c r="AT29" s="5">
        <f>IF($H29="ICEV-p",$AQ29/('fuels and tailpipe emissions'!$C$3*3.6)*'fuels and tailpipe emissions'!$D$3,"")</f>
        <v>6.1715874650581141E-2</v>
      </c>
      <c r="AU29" s="7">
        <f>IF($H29="ICEV-p",$AQ29/('fuels and tailpipe emissions'!$C$3*3.6)*'fuels and tailpipe emissions'!$E$3,"")</f>
        <v>3.1052012402808118E-7</v>
      </c>
      <c r="AV29" s="7">
        <f>SUMIFS('fuels and tailpipe emissions'!$C$10:$C$126,'fuels and tailpipe emissions'!$A$10:$A$126,'vehicles specifications'!$F29,'fuels and tailpipe emissions'!$B$10:$B$126,'vehicles specifications'!AV$2)/1000*$AQ29</f>
        <v>5.0032792408401772E-5</v>
      </c>
      <c r="AW29" s="7">
        <f>SUMIFS('fuels and tailpipe emissions'!$C$10:$C$126,'fuels and tailpipe emissions'!$A$10:$A$126,'vehicles specifications'!$F29,'fuels and tailpipe emissions'!$B$10:$B$126,'vehicles specifications'!AW$2)/1000*$AQ29</f>
        <v>2.2686352001734651E-5</v>
      </c>
      <c r="AX29" s="7">
        <f>SUMIFS('fuels and tailpipe emissions'!$C$10:$C$126,'fuels and tailpipe emissions'!$A$10:$A$126,'vehicles specifications'!$F29,'fuels and tailpipe emissions'!$B$10:$B$126,'vehicles specifications'!AX$2)/1000*$AQ29</f>
        <v>2.3988511584487494E-3</v>
      </c>
      <c r="AY29" s="7">
        <f>SUMIFS('fuels and tailpipe emissions'!$C$10:$C$126,'fuels and tailpipe emissions'!$A$10:$A$126,'vehicles specifications'!$F29,'fuels and tailpipe emissions'!$B$10:$B$126,'vehicles specifications'!AY$2)/1000*$AQ29</f>
        <v>1.1510072045527478E-6</v>
      </c>
      <c r="AZ29" s="7">
        <f>SUMIFS('fuels and tailpipe emissions'!$C$10:$C$126,'fuels and tailpipe emissions'!$A$10:$A$126,'vehicles specifications'!$F29,'fuels and tailpipe emissions'!$B$10:$B$126,'vehicles specifications'!AZ$2)/1000*$AQ29</f>
        <v>1.1510072045527478E-6</v>
      </c>
      <c r="BA29" s="7">
        <f>SUMIFS('fuels and tailpipe emissions'!$C$10:$C$126,'fuels and tailpipe emissions'!$A$10:$A$126,'vehicles specifications'!$F29,'fuels and tailpipe emissions'!$B$10:$B$126,'vehicles specifications'!BA$2)/1000*$AQ29</f>
        <v>8.6314846172377596E-5</v>
      </c>
      <c r="BB29" s="7">
        <f>SUMIFS('fuels and tailpipe emissions'!$C$10:$C$126,'fuels and tailpipe emissions'!$A$10:$A$126,'vehicles specifications'!$F29,'fuels and tailpipe emissions'!$B$10:$B$126,'vehicles specifications'!BB$2)/1000*$AQ29</f>
        <v>6.6102343757464297E-6</v>
      </c>
      <c r="BC29" s="7">
        <f>SUMIFS('fuels and tailpipe emissions'!$C$10:$C$126,'fuels and tailpipe emissions'!$A$10:$A$126,'vehicles specifications'!$F29,'fuels and tailpipe emissions'!$B$10:$B$126,'vehicles specifications'!BC$2)/1000*$AQ29</f>
        <v>4.0347299974261968E-4</v>
      </c>
      <c r="BD29" s="7">
        <f>SUMIFS('fuels and tailpipe emissions'!$C$10:$C$126,'fuels and tailpipe emissions'!$A$10:$A$126,'vehicles specifications'!$F29,'fuels and tailpipe emissions'!$B$10:$B$126,'vehicles specifications'!BD$2)/1000*$AQ29</f>
        <v>2.8450019212620617E-5</v>
      </c>
      <c r="BE29" s="7">
        <f>SUMIFS('fuels and tailpipe emissions'!$C$10:$C$126,'fuels and tailpipe emissions'!$A$10:$A$126,'vehicles specifications'!$F29,'fuels and tailpipe emissions'!$B$10:$B$126,'vehicles specifications'!BE$2)/1000*$AQ29</f>
        <v>5.7970258583709726E-6</v>
      </c>
      <c r="BF29" s="7">
        <f>SUMIFS('fuels and tailpipe emissions'!$C$10:$C$126,'fuels and tailpipe emissions'!$A$10:$A$126,'vehicles specifications'!$F29,'fuels and tailpipe emissions'!$B$10:$B$126,'vehicles specifications'!BF$2)/1000*$AQ29</f>
        <v>4.6732946919790611E-5</v>
      </c>
      <c r="BG29" s="7">
        <f>SUMIFS('fuels and tailpipe emissions'!$C$10:$C$126,'fuels and tailpipe emissions'!$A$10:$A$126,'vehicles specifications'!$F29,'fuels and tailpipe emissions'!$B$10:$B$126,'vehicles specifications'!BG$2)/1000*$AQ29</f>
        <v>1.9174777839227063E-5</v>
      </c>
      <c r="BH29" s="7">
        <f>SUMIFS('fuels and tailpipe emissions'!$C$10:$C$126,'fuels and tailpipe emissions'!$A$10:$A$126,'vehicles specifications'!$F29,'fuels and tailpipe emissions'!$B$10:$B$126,'vehicles specifications'!BH$2)/1000*$AQ29</f>
        <v>1.4358787126118871E-5</v>
      </c>
      <c r="BI29" s="7">
        <f>SUMIFS('fuels and tailpipe emissions'!$C$10:$C$126,'fuels and tailpipe emissions'!$A$10:$A$126,'vehicles specifications'!$F29,'fuels and tailpipe emissions'!$B$10:$B$126,'vehicles specifications'!BI$2)/1000*$AQ29</f>
        <v>1.016709150545063E-5</v>
      </c>
      <c r="BJ29" s="7">
        <f>SUMIFS('fuels and tailpipe emissions'!$C$10:$C$126,'fuels and tailpipe emissions'!$A$10:$A$126,'vehicles specifications'!$F29,'fuels and tailpipe emissions'!$B$10:$B$126,'vehicles specifications'!BJ$2)/1000*$AQ29</f>
        <v>6.599690977222338E-6</v>
      </c>
      <c r="BK29" s="7">
        <f>SUMIFS('fuels and tailpipe emissions'!$C$10:$C$126,'fuels and tailpipe emissions'!$A$10:$A$126,'vehicles specifications'!$F29,'fuels and tailpipe emissions'!$B$10:$B$126,'vehicles specifications'!BK$2)/1000*$AQ29</f>
        <v>6.5105059640166308E-5</v>
      </c>
      <c r="BL29" s="7">
        <f>SUMIFS('fuels and tailpipe emissions'!$C$10:$C$126,'fuels and tailpipe emissions'!$A$10:$A$126,'vehicles specifications'!$F29,'fuels and tailpipe emissions'!$B$10:$B$126,'vehicles specifications'!BL$2)/1000*$AQ29</f>
        <v>3.406867504458017E-5</v>
      </c>
      <c r="BM29" s="7">
        <f>SUMIFS('fuels and tailpipe emissions'!$C$10:$C$126,'fuels and tailpipe emissions'!$A$10:$A$126,'vehicles specifications'!$F29,'fuels and tailpipe emissions'!$B$10:$B$126,'vehicles specifications'!BM$2)/1000*$AQ29</f>
        <v>9.8103514526278003E-7</v>
      </c>
      <c r="BN29" s="7">
        <f>SUMIFS('fuels and tailpipe emissions'!$C$10:$C$126,'fuels and tailpipe emissions'!$A$10:$A$126,'vehicles specifications'!$F29,'fuels and tailpipe emissions'!$B$10:$B$126,'vehicles specifications'!BN$2)/1000*$AQ29</f>
        <v>5.0032792408401772E-5</v>
      </c>
      <c r="BO29" s="7">
        <f>SUMIFS('fuels and tailpipe emissions'!$C$10:$C$126,'fuels and tailpipe emissions'!$A$10:$A$126,'vehicles specifications'!$F29,'fuels and tailpipe emissions'!$B$10:$B$126,'vehicles specifications'!BO$2)/1000*$AQ29</f>
        <v>9.7925144499866576E-5</v>
      </c>
      <c r="BP29" s="7">
        <f>SUMIFS('fuels and tailpipe emissions'!$C$10:$C$126,'fuels and tailpipe emissions'!$A$10:$A$126,'vehicles specifications'!$F29,'fuels and tailpipe emissions'!$B$10:$B$126,'vehicles specifications'!BP$2)/1000*$AQ29</f>
        <v>4.8427462170699053E-5</v>
      </c>
      <c r="BQ29" s="7">
        <f>SUMIFS('fuels and tailpipe emissions'!$C$10:$C$126,'fuels and tailpipe emissions'!$A$10:$A$126,'vehicles specifications'!$F29,'fuels and tailpipe emissions'!$B$10:$B$126,'vehicles specifications'!BQ$2)/1000*$AQ29</f>
        <v>2.0155812984489841E-5</v>
      </c>
      <c r="BR29" s="7">
        <f>SUMIFS('fuels and tailpipe emissions'!$C$10:$C$126,'fuels and tailpipe emissions'!$A$10:$A$126,'vehicles specifications'!$F29,'fuels and tailpipe emissions'!$B$10:$B$126,'vehicles specifications'!BR$2)/1000*$AQ29</f>
        <v>1.5161452244970237E-5</v>
      </c>
      <c r="BS29" s="7">
        <f>SUMIFS('fuels and tailpipe emissions'!$C$10:$C$126,'fuels and tailpipe emissions'!$A$10:$A$126,'vehicles specifications'!$F29,'fuels and tailpipe emissions'!$B$10:$B$126,'vehicles specifications'!BS$2)/1000*$AQ29</f>
        <v>6.6888759904280447E-6</v>
      </c>
      <c r="BT29" s="7">
        <f>SUMIFS('fuels and tailpipe emissions'!$C$10:$C$126,'fuels and tailpipe emissions'!$A$10:$A$126,'vehicles specifications'!$F29,'fuels and tailpipe emissions'!$B$10:$B$126,'vehicles specifications'!BT$2)/1000*$AQ29</f>
        <v>1.9620702905255601E-6</v>
      </c>
      <c r="BU29" s="7">
        <f>SUMIFS('fuels and tailpipe emissions'!$C$10:$C$126,'fuels and tailpipe emissions'!$A$10:$A$126,'vehicles specifications'!$F29,'fuels and tailpipe emissions'!$B$10:$B$126,'vehicles specifications'!BU$2)/1000*$AQ29</f>
        <v>5.4402858055481441E-6</v>
      </c>
      <c r="BV29" s="7">
        <f>SUMIFS('fuels and tailpipe emissions'!$C$10:$C$126,'fuels and tailpipe emissions'!$A$10:$A$126,'vehicles specifications'!$F29,'fuels and tailpipe emissions'!$B$10:$B$126,'vehicles specifications'!BV$2)/1000*$AQ29</f>
        <v>0</v>
      </c>
      <c r="BW29" s="7">
        <f>SUMIFS('fuels and tailpipe emissions'!$C$10:$C$126,'fuels and tailpipe emissions'!$A$10:$A$126,'vehicles specifications'!$F29,'fuels and tailpipe emissions'!$B$10:$B$126,'vehicles specifications'!BW$2)/1000*$AQ29</f>
        <v>1.6945152509084381E-6</v>
      </c>
      <c r="BX29" s="7">
        <f>SUMIFS('fuels and tailpipe emissions'!$C$10:$C$126,'fuels and tailpipe emissions'!$A$10:$A$126,'vehicles specifications'!$F29,'fuels and tailpipe emissions'!$B$10:$B$126,'vehicles specifications'!BX$2)/1000*$AQ29</f>
        <v>9.0076863337764332E-6</v>
      </c>
      <c r="BY29" s="7">
        <f>SUMIFS('fuels and tailpipe emissions'!$C$10:$C$126,'fuels and tailpipe emissions'!$A$10:$A$126,'vehicles specifications'!$F29,'fuels and tailpipe emissions'!$B$10:$B$126,'vehicles specifications'!BY$2)/1000*$AQ29</f>
        <v>2.8636165837869648E-8</v>
      </c>
      <c r="BZ29" s="7">
        <f>SUMIFS('fuels and tailpipe emissions'!$C$10:$C$126,'fuels and tailpipe emissions'!$A$10:$A$126,'vehicles specifications'!$F29,'fuels and tailpipe emissions'!$B$10:$B$126,'vehicles specifications'!BZ$2)/1000*$AQ29</f>
        <v>2.4686349860232454E-10</v>
      </c>
      <c r="CA29" s="7">
        <f>SUMIFS('fuels and tailpipe emissions'!$C$10:$C$126,'fuels and tailpipe emissions'!$A$10:$A$126,'vehicles specifications'!$F29,'fuels and tailpipe emissions'!$B$10:$B$126,'vehicles specifications'!CA$2)/1000*$AQ29</f>
        <v>1.6457566573488304E-10</v>
      </c>
      <c r="CB29" s="7">
        <f>SUMIFS('fuels and tailpipe emissions'!$C$10:$C$126,'fuels and tailpipe emissions'!$A$10:$A$126,'vehicles specifications'!$F29,'fuels and tailpipe emissions'!$B$10:$B$126,'vehicles specifications'!CB$2)/1000*$AQ29</f>
        <v>1.7774171899367368E-6</v>
      </c>
      <c r="CC29" s="7">
        <f>SUMIFS('fuels and tailpipe emissions'!$C$10:$C$126,'fuels and tailpipe emissions'!$A$10:$A$126,'vehicles specifications'!$F29,'fuels and tailpipe emissions'!$B$10:$B$126,'vehicles specifications'!CC$2)/1000*$AQ29</f>
        <v>3.4560889804325435E-8</v>
      </c>
      <c r="CD29" s="7">
        <f>SUMIFS('fuels and tailpipe emissions'!$C$10:$C$126,'fuels and tailpipe emissions'!$A$10:$A$126,'vehicles specifications'!$F29,'fuels and tailpipe emissions'!$B$10:$B$126,'vehicles specifications'!CD$2)/1000*$AQ29</f>
        <v>1.0697418272767397E-8</v>
      </c>
      <c r="CE29" s="7">
        <f>SUMIFS('fuels and tailpipe emissions'!$C$10:$C$126,'fuels and tailpipe emissions'!$A$10:$A$126,'vehicles specifications'!$F29,'fuels and tailpipe emissions'!$B$10:$B$126,'vehicles specifications'!CE$2)/1000*$AQ29</f>
        <v>1.3166053258790645E-8</v>
      </c>
      <c r="CF29" s="7">
        <f>SUMIFS('fuels and tailpipe emissions'!$C$10:$C$126,'fuels and tailpipe emissions'!$A$10:$A$126,'vehicles specifications'!$F29,'fuels and tailpipe emissions'!$B$10:$B$126,'vehicles specifications'!CF$2)/1000*$AQ29</f>
        <v>2.6332106517581283E-11</v>
      </c>
      <c r="CG29" s="7">
        <f>SUMIFS('fuels and tailpipe emissions'!$C$10:$C$126,'fuels and tailpipe emissions'!$A$10:$A$126,'vehicles specifications'!$F29,'fuels and tailpipe emissions'!$B$10:$B$126,'vehicles specifications'!CG$2)/1000*$AQ29</f>
        <v>7.1590414594674119E-9</v>
      </c>
      <c r="CH29" s="7">
        <f>SUMIFS('fuels and tailpipe emissions'!$C$10:$C$126,'fuels and tailpipe emissions'!$A$10:$A$126,'vehicles specifications'!$F29,'fuels and tailpipe emissions'!$B$10:$B$126,'vehicles specifications'!CH$2)/1000*$AQ29</f>
        <v>8.8870859496836834E-9</v>
      </c>
      <c r="CI29" s="7">
        <f>VLOOKUP(B29,'abrasion emissions'!$A$4:$D$32,4,FALSE)</f>
        <v>6.0000000000000002E-6</v>
      </c>
      <c r="CJ29" s="7">
        <f>VLOOKUP(B29,'abrasion emissions'!$A$4:$D$32,2,FALSE)</f>
        <v>5.8379999999999998E-6</v>
      </c>
      <c r="CK29" s="7">
        <f>VLOOKUP(B29,'abrasion emissions'!$A$4:$D$32,3,FALSE)</f>
        <v>3.6740000000000003E-6</v>
      </c>
    </row>
    <row r="30" spans="1:89" x14ac:dyDescent="0.3">
      <c r="A30" t="str">
        <f t="shared" si="1"/>
        <v>Moped, gasoline, &lt;4kW, EURO-5 - 2030 - CH</v>
      </c>
      <c r="B30" t="s">
        <v>647</v>
      </c>
      <c r="D30">
        <v>2030</v>
      </c>
      <c r="E30" t="s">
        <v>37</v>
      </c>
      <c r="F30" t="s">
        <v>149</v>
      </c>
      <c r="G30" t="s">
        <v>39</v>
      </c>
      <c r="H30" t="s">
        <v>35</v>
      </c>
      <c r="J30" s="21">
        <v>33400</v>
      </c>
      <c r="K30" s="21">
        <v>2553</v>
      </c>
      <c r="L30" s="2">
        <f t="shared" si="2"/>
        <v>13.082647865256561</v>
      </c>
      <c r="M30">
        <v>1</v>
      </c>
      <c r="N30">
        <v>70</v>
      </c>
      <c r="O30">
        <v>2</v>
      </c>
      <c r="P30" s="2">
        <f t="shared" si="13"/>
        <v>61.729124999999996</v>
      </c>
      <c r="Q30" s="2">
        <f t="shared" si="3"/>
        <v>133.72912500000001</v>
      </c>
      <c r="R30">
        <v>2.5</v>
      </c>
      <c r="S30" s="2">
        <v>42.362499999999997</v>
      </c>
      <c r="T30" s="1">
        <v>0.03</v>
      </c>
      <c r="U30" s="2">
        <f t="shared" si="4"/>
        <v>41.091624999999993</v>
      </c>
      <c r="V30">
        <v>14.6</v>
      </c>
      <c r="W30">
        <v>0</v>
      </c>
      <c r="X30" s="3">
        <v>0</v>
      </c>
      <c r="Y30" s="1">
        <v>0.8</v>
      </c>
      <c r="Z30" s="3">
        <f t="shared" si="5"/>
        <v>0</v>
      </c>
      <c r="AA30" s="3">
        <v>0</v>
      </c>
      <c r="AB30" s="3">
        <v>0</v>
      </c>
      <c r="AC30" s="3">
        <f t="shared" si="7"/>
        <v>0</v>
      </c>
      <c r="AD30" s="3">
        <v>0</v>
      </c>
      <c r="AE30" s="3">
        <v>7</v>
      </c>
      <c r="AF30">
        <f>AE30*'fuels and tailpipe emissions'!$B$3</f>
        <v>5.25</v>
      </c>
      <c r="AG30" s="2">
        <f>AF30*'fuels and tailpipe emissions'!$C$3</f>
        <v>61.833333333333329</v>
      </c>
      <c r="AH30" s="3">
        <f t="shared" si="16"/>
        <v>0.78749999999999998</v>
      </c>
      <c r="AI30">
        <v>0</v>
      </c>
      <c r="AJ30">
        <v>0</v>
      </c>
      <c r="AK30">
        <f t="shared" si="14"/>
        <v>1</v>
      </c>
      <c r="AL30">
        <f t="shared" si="15"/>
        <v>7.1812540125000006E-5</v>
      </c>
      <c r="AM30">
        <v>1.2899999999999999E-3</v>
      </c>
      <c r="AN30" s="2">
        <f t="shared" si="9"/>
        <v>41.091624999999993</v>
      </c>
      <c r="AO30" s="2">
        <f t="shared" si="10"/>
        <v>14.6</v>
      </c>
      <c r="AP30" s="2">
        <f t="shared" si="11"/>
        <v>0</v>
      </c>
      <c r="AQ30" s="6">
        <v>0.81464954538767098</v>
      </c>
      <c r="AR30" s="6" t="str">
        <f>IF($H30="BEV",SUMPRODUCT(#REF!,#REF!),"")</f>
        <v/>
      </c>
      <c r="AS30" s="2">
        <f>SUM(Z30,AG30)/(SUM(AQ30:AR30)/3.6)</f>
        <v>273.24633182489572</v>
      </c>
      <c r="AT30" s="5">
        <f>IF($H30="ICEV-p",$AQ30/('fuels and tailpipe emissions'!$C$3*3.6)*'fuels and tailpipe emissions'!$D$3,"")</f>
        <v>6.1098715904075326E-2</v>
      </c>
      <c r="AU30" s="7">
        <f>IF($H30="ICEV-p",$AQ30/('fuels and tailpipe emissions'!$C$3*3.6)*'fuels and tailpipe emissions'!$E$3,"")</f>
        <v>3.0741492278780034E-7</v>
      </c>
      <c r="AV30" s="7">
        <f>SUMIFS('fuels and tailpipe emissions'!$C$10:$C$126,'fuels and tailpipe emissions'!$A$10:$A$126,'vehicles specifications'!$F30,'fuels and tailpipe emissions'!$B$10:$B$126,'vehicles specifications'!AV$2)/1000*$AQ30</f>
        <v>4.9532464484317754E-5</v>
      </c>
      <c r="AW30" s="7">
        <f>SUMIFS('fuels and tailpipe emissions'!$C$10:$C$126,'fuels and tailpipe emissions'!$A$10:$A$126,'vehicles specifications'!$F30,'fuels and tailpipe emissions'!$B$10:$B$126,'vehicles specifications'!AW$2)/1000*$AQ30</f>
        <v>2.2459488481717305E-5</v>
      </c>
      <c r="AX30" s="7">
        <f>SUMIFS('fuels and tailpipe emissions'!$C$10:$C$126,'fuels and tailpipe emissions'!$A$10:$A$126,'vehicles specifications'!$F30,'fuels and tailpipe emissions'!$B$10:$B$126,'vehicles specifications'!AX$2)/1000*$AQ30</f>
        <v>2.374862646864262E-3</v>
      </c>
      <c r="AY30" s="7">
        <f>SUMIFS('fuels and tailpipe emissions'!$C$10:$C$126,'fuels and tailpipe emissions'!$A$10:$A$126,'vehicles specifications'!$F30,'fuels and tailpipe emissions'!$B$10:$B$126,'vehicles specifications'!AY$2)/1000*$AQ30</f>
        <v>1.1394971325072205E-6</v>
      </c>
      <c r="AZ30" s="7">
        <f>SUMIFS('fuels and tailpipe emissions'!$C$10:$C$126,'fuels and tailpipe emissions'!$A$10:$A$126,'vehicles specifications'!$F30,'fuels and tailpipe emissions'!$B$10:$B$126,'vehicles specifications'!AZ$2)/1000*$AQ30</f>
        <v>1.1394971325072205E-6</v>
      </c>
      <c r="BA30" s="7">
        <f>SUMIFS('fuels and tailpipe emissions'!$C$10:$C$126,'fuels and tailpipe emissions'!$A$10:$A$126,'vehicles specifications'!$F30,'fuels and tailpipe emissions'!$B$10:$B$126,'vehicles specifications'!BA$2)/1000*$AQ30</f>
        <v>8.5451697710653811E-5</v>
      </c>
      <c r="BB30" s="7">
        <f>SUMIFS('fuels and tailpipe emissions'!$C$10:$C$126,'fuels and tailpipe emissions'!$A$10:$A$126,'vehicles specifications'!$F30,'fuels and tailpipe emissions'!$B$10:$B$126,'vehicles specifications'!BB$2)/1000*$AQ30</f>
        <v>6.5441320319889656E-6</v>
      </c>
      <c r="BC30" s="7">
        <f>SUMIFS('fuels and tailpipe emissions'!$C$10:$C$126,'fuels and tailpipe emissions'!$A$10:$A$126,'vehicles specifications'!$F30,'fuels and tailpipe emissions'!$B$10:$B$126,'vehicles specifications'!BC$2)/1000*$AQ30</f>
        <v>3.9943826974519353E-4</v>
      </c>
      <c r="BD30" s="7">
        <f>SUMIFS('fuels and tailpipe emissions'!$C$10:$C$126,'fuels and tailpipe emissions'!$A$10:$A$126,'vehicles specifications'!$F30,'fuels and tailpipe emissions'!$B$10:$B$126,'vehicles specifications'!BD$2)/1000*$AQ30</f>
        <v>2.8165519020494411E-5</v>
      </c>
      <c r="BE30" s="7">
        <f>SUMIFS('fuels and tailpipe emissions'!$C$10:$C$126,'fuels and tailpipe emissions'!$A$10:$A$126,'vehicles specifications'!$F30,'fuels and tailpipe emissions'!$B$10:$B$126,'vehicles specifications'!BE$2)/1000*$AQ30</f>
        <v>5.7390555997872623E-6</v>
      </c>
      <c r="BF30" s="7">
        <f>SUMIFS('fuels and tailpipe emissions'!$C$10:$C$126,'fuels and tailpipe emissions'!$A$10:$A$126,'vehicles specifications'!$F30,'fuels and tailpipe emissions'!$B$10:$B$126,'vehicles specifications'!BF$2)/1000*$AQ30</f>
        <v>4.6265617450592708E-5</v>
      </c>
      <c r="BG30" s="7">
        <f>SUMIFS('fuels and tailpipe emissions'!$C$10:$C$126,'fuels and tailpipe emissions'!$A$10:$A$126,'vehicles specifications'!$F30,'fuels and tailpipe emissions'!$B$10:$B$126,'vehicles specifications'!BG$2)/1000*$AQ30</f>
        <v>1.898303006083479E-5</v>
      </c>
      <c r="BH30" s="7">
        <f>SUMIFS('fuels and tailpipe emissions'!$C$10:$C$126,'fuels and tailpipe emissions'!$A$10:$A$126,'vehicles specifications'!$F30,'fuels and tailpipe emissions'!$B$10:$B$126,'vehicles specifications'!BH$2)/1000*$AQ30</f>
        <v>1.4215199254857682E-5</v>
      </c>
      <c r="BI30" s="7">
        <f>SUMIFS('fuels and tailpipe emissions'!$C$10:$C$126,'fuels and tailpipe emissions'!$A$10:$A$126,'vehicles specifications'!$F30,'fuels and tailpipe emissions'!$B$10:$B$126,'vehicles specifications'!BI$2)/1000*$AQ30</f>
        <v>1.0065420590396123E-5</v>
      </c>
      <c r="BJ30" s="7">
        <f>SUMIFS('fuels and tailpipe emissions'!$C$10:$C$126,'fuels and tailpipe emissions'!$A$10:$A$126,'vehicles specifications'!$F30,'fuels and tailpipe emissions'!$B$10:$B$126,'vehicles specifications'!BJ$2)/1000*$AQ30</f>
        <v>6.5336940674501146E-6</v>
      </c>
      <c r="BK30" s="7">
        <f>SUMIFS('fuels and tailpipe emissions'!$C$10:$C$126,'fuels and tailpipe emissions'!$A$10:$A$126,'vehicles specifications'!$F30,'fuels and tailpipe emissions'!$B$10:$B$126,'vehicles specifications'!BK$2)/1000*$AQ30</f>
        <v>6.4454009043764642E-5</v>
      </c>
      <c r="BL30" s="7">
        <f>SUMIFS('fuels and tailpipe emissions'!$C$10:$C$126,'fuels and tailpipe emissions'!$A$10:$A$126,'vehicles specifications'!$F30,'fuels and tailpipe emissions'!$B$10:$B$126,'vehicles specifications'!BL$2)/1000*$AQ30</f>
        <v>3.3727988294134373E-5</v>
      </c>
      <c r="BM30" s="7">
        <f>SUMIFS('fuels and tailpipe emissions'!$C$10:$C$126,'fuels and tailpipe emissions'!$A$10:$A$126,'vehicles specifications'!$F30,'fuels and tailpipe emissions'!$B$10:$B$126,'vehicles specifications'!BM$2)/1000*$AQ30</f>
        <v>9.7122479381015224E-7</v>
      </c>
      <c r="BN30" s="7">
        <f>SUMIFS('fuels and tailpipe emissions'!$C$10:$C$126,'fuels and tailpipe emissions'!$A$10:$A$126,'vehicles specifications'!$F30,'fuels and tailpipe emissions'!$B$10:$B$126,'vehicles specifications'!BN$2)/1000*$AQ30</f>
        <v>4.9532464484317754E-5</v>
      </c>
      <c r="BO30" s="7">
        <f>SUMIFS('fuels and tailpipe emissions'!$C$10:$C$126,'fuels and tailpipe emissions'!$A$10:$A$126,'vehicles specifications'!$F30,'fuels and tailpipe emissions'!$B$10:$B$126,'vehicles specifications'!BO$2)/1000*$AQ30</f>
        <v>9.6945893054867918E-5</v>
      </c>
      <c r="BP30" s="7">
        <f>SUMIFS('fuels and tailpipe emissions'!$C$10:$C$126,'fuels and tailpipe emissions'!$A$10:$A$126,'vehicles specifications'!$F30,'fuels and tailpipe emissions'!$B$10:$B$126,'vehicles specifications'!BP$2)/1000*$AQ30</f>
        <v>4.7943187548992062E-5</v>
      </c>
      <c r="BQ30" s="7">
        <f>SUMIFS('fuels and tailpipe emissions'!$C$10:$C$126,'fuels and tailpipe emissions'!$A$10:$A$126,'vehicles specifications'!$F30,'fuels and tailpipe emissions'!$B$10:$B$126,'vehicles specifications'!BQ$2)/1000*$AQ30</f>
        <v>1.9954254854644945E-5</v>
      </c>
      <c r="BR30" s="7">
        <f>SUMIFS('fuels and tailpipe emissions'!$C$10:$C$126,'fuels and tailpipe emissions'!$A$10:$A$126,'vehicles specifications'!$F30,'fuels and tailpipe emissions'!$B$10:$B$126,'vehicles specifications'!BR$2)/1000*$AQ30</f>
        <v>1.5009837722520535E-5</v>
      </c>
      <c r="BS30" s="7">
        <f>SUMIFS('fuels and tailpipe emissions'!$C$10:$C$126,'fuels and tailpipe emissions'!$A$10:$A$126,'vehicles specifications'!$F30,'fuels and tailpipe emissions'!$B$10:$B$126,'vehicles specifications'!BS$2)/1000*$AQ30</f>
        <v>6.6219872305237644E-6</v>
      </c>
      <c r="BT30" s="7">
        <f>SUMIFS('fuels and tailpipe emissions'!$C$10:$C$126,'fuels and tailpipe emissions'!$A$10:$A$126,'vehicles specifications'!$F30,'fuels and tailpipe emissions'!$B$10:$B$126,'vehicles specifications'!BT$2)/1000*$AQ30</f>
        <v>1.9424495876203045E-6</v>
      </c>
      <c r="BU30" s="7">
        <f>SUMIFS('fuels and tailpipe emissions'!$C$10:$C$126,'fuels and tailpipe emissions'!$A$10:$A$126,'vehicles specifications'!$F30,'fuels and tailpipe emissions'!$B$10:$B$126,'vehicles specifications'!BU$2)/1000*$AQ30</f>
        <v>5.3858829474926628E-6</v>
      </c>
      <c r="BV30" s="7">
        <f>SUMIFS('fuels and tailpipe emissions'!$C$10:$C$126,'fuels and tailpipe emissions'!$A$10:$A$126,'vehicles specifications'!$F30,'fuels and tailpipe emissions'!$B$10:$B$126,'vehicles specifications'!BV$2)/1000*$AQ30</f>
        <v>0</v>
      </c>
      <c r="BW30" s="7">
        <f>SUMIFS('fuels and tailpipe emissions'!$C$10:$C$126,'fuels and tailpipe emissions'!$A$10:$A$126,'vehicles specifications'!$F30,'fuels and tailpipe emissions'!$B$10:$B$126,'vehicles specifications'!BW$2)/1000*$AQ30</f>
        <v>1.6775700983993538E-6</v>
      </c>
      <c r="BX30" s="7">
        <f>SUMIFS('fuels and tailpipe emissions'!$C$10:$C$126,'fuels and tailpipe emissions'!$A$10:$A$126,'vehicles specifications'!$F30,'fuels and tailpipe emissions'!$B$10:$B$126,'vehicles specifications'!BX$2)/1000*$AQ30</f>
        <v>8.9176094704386688E-6</v>
      </c>
      <c r="BY30" s="7">
        <f>SUMIFS('fuels and tailpipe emissions'!$C$10:$C$126,'fuels and tailpipe emissions'!$A$10:$A$126,'vehicles specifications'!$F30,'fuels and tailpipe emissions'!$B$10:$B$126,'vehicles specifications'!BY$2)/1000*$AQ30</f>
        <v>2.834980417949095E-8</v>
      </c>
      <c r="BZ30" s="7">
        <f>SUMIFS('fuels and tailpipe emissions'!$C$10:$C$126,'fuels and tailpipe emissions'!$A$10:$A$126,'vehicles specifications'!$F30,'fuels and tailpipe emissions'!$B$10:$B$126,'vehicles specifications'!BZ$2)/1000*$AQ30</f>
        <v>2.443948636163013E-10</v>
      </c>
      <c r="CA30" s="7">
        <f>SUMIFS('fuels and tailpipe emissions'!$C$10:$C$126,'fuels and tailpipe emissions'!$A$10:$A$126,'vehicles specifications'!$F30,'fuels and tailpipe emissions'!$B$10:$B$126,'vehicles specifications'!CA$2)/1000*$AQ30</f>
        <v>1.6292990907753419E-10</v>
      </c>
      <c r="CB30" s="7">
        <f>SUMIFS('fuels and tailpipe emissions'!$C$10:$C$126,'fuels and tailpipe emissions'!$A$10:$A$126,'vehicles specifications'!$F30,'fuels and tailpipe emissions'!$B$10:$B$126,'vehicles specifications'!CB$2)/1000*$AQ30</f>
        <v>1.7596430180373694E-6</v>
      </c>
      <c r="CC30" s="7">
        <f>SUMIFS('fuels and tailpipe emissions'!$C$10:$C$126,'fuels and tailpipe emissions'!$A$10:$A$126,'vehicles specifications'!$F30,'fuels and tailpipe emissions'!$B$10:$B$126,'vehicles specifications'!CC$2)/1000*$AQ30</f>
        <v>3.4215280906282183E-8</v>
      </c>
      <c r="CD30" s="7">
        <f>SUMIFS('fuels and tailpipe emissions'!$C$10:$C$126,'fuels and tailpipe emissions'!$A$10:$A$126,'vehicles specifications'!$F30,'fuels and tailpipe emissions'!$B$10:$B$126,'vehicles specifications'!CD$2)/1000*$AQ30</f>
        <v>1.0590444090039723E-8</v>
      </c>
      <c r="CE30" s="7">
        <f>SUMIFS('fuels and tailpipe emissions'!$C$10:$C$126,'fuels and tailpipe emissions'!$A$10:$A$126,'vehicles specifications'!$F30,'fuels and tailpipe emissions'!$B$10:$B$126,'vehicles specifications'!CE$2)/1000*$AQ30</f>
        <v>1.303439272620274E-8</v>
      </c>
      <c r="CF30" s="7">
        <f>SUMIFS('fuels and tailpipe emissions'!$C$10:$C$126,'fuels and tailpipe emissions'!$A$10:$A$126,'vehicles specifications'!$F30,'fuels and tailpipe emissions'!$B$10:$B$126,'vehicles specifications'!CF$2)/1000*$AQ30</f>
        <v>2.6068785452405472E-11</v>
      </c>
      <c r="CG30" s="7">
        <f>SUMIFS('fuels and tailpipe emissions'!$C$10:$C$126,'fuels and tailpipe emissions'!$A$10:$A$126,'vehicles specifications'!$F30,'fuels and tailpipe emissions'!$B$10:$B$126,'vehicles specifications'!CG$2)/1000*$AQ30</f>
        <v>7.0874510448727374E-9</v>
      </c>
      <c r="CH30" s="7">
        <f>SUMIFS('fuels and tailpipe emissions'!$C$10:$C$126,'fuels and tailpipe emissions'!$A$10:$A$126,'vehicles specifications'!$F30,'fuels and tailpipe emissions'!$B$10:$B$126,'vehicles specifications'!CH$2)/1000*$AQ30</f>
        <v>8.7982150901868465E-9</v>
      </c>
      <c r="CI30" s="7">
        <f>VLOOKUP(B30,'abrasion emissions'!$A$4:$D$32,4,FALSE)</f>
        <v>6.0000000000000002E-6</v>
      </c>
      <c r="CJ30" s="7">
        <f>VLOOKUP(B30,'abrasion emissions'!$A$4:$D$32,2,FALSE)</f>
        <v>5.8379999999999998E-6</v>
      </c>
      <c r="CK30" s="7">
        <f>VLOOKUP(B30,'abrasion emissions'!$A$4:$D$32,3,FALSE)</f>
        <v>3.6740000000000003E-6</v>
      </c>
    </row>
    <row r="31" spans="1:89" x14ac:dyDescent="0.3">
      <c r="A31" t="str">
        <f t="shared" si="1"/>
        <v>Moped, gasoline, &lt;4kW, EURO-5 - 2040 - CH</v>
      </c>
      <c r="B31" t="s">
        <v>647</v>
      </c>
      <c r="D31">
        <v>2040</v>
      </c>
      <c r="E31" t="s">
        <v>37</v>
      </c>
      <c r="F31" t="s">
        <v>149</v>
      </c>
      <c r="G31" t="s">
        <v>39</v>
      </c>
      <c r="H31" t="s">
        <v>35</v>
      </c>
      <c r="J31" s="21">
        <v>33400</v>
      </c>
      <c r="K31" s="21">
        <v>2553</v>
      </c>
      <c r="L31" s="2">
        <f t="shared" si="2"/>
        <v>13.082647865256561</v>
      </c>
      <c r="M31">
        <v>1</v>
      </c>
      <c r="N31">
        <v>70</v>
      </c>
      <c r="O31">
        <v>2</v>
      </c>
      <c r="P31" s="2">
        <f t="shared" si="13"/>
        <v>60.856874999999995</v>
      </c>
      <c r="Q31" s="2">
        <f t="shared" si="3"/>
        <v>132.856875</v>
      </c>
      <c r="R31">
        <v>2.5</v>
      </c>
      <c r="S31" s="2">
        <v>42.862499999999997</v>
      </c>
      <c r="T31" s="1">
        <v>0.05</v>
      </c>
      <c r="U31" s="2">
        <f t="shared" si="4"/>
        <v>40.719374999999992</v>
      </c>
      <c r="V31">
        <v>14.1</v>
      </c>
      <c r="W31">
        <v>0</v>
      </c>
      <c r="X31" s="3">
        <v>0</v>
      </c>
      <c r="Y31" s="1">
        <v>0.8</v>
      </c>
      <c r="Z31" s="3">
        <f t="shared" si="5"/>
        <v>0</v>
      </c>
      <c r="AA31" s="3">
        <v>0</v>
      </c>
      <c r="AB31" s="3">
        <v>0</v>
      </c>
      <c r="AC31" s="3">
        <f t="shared" si="7"/>
        <v>0</v>
      </c>
      <c r="AD31" s="3">
        <v>0</v>
      </c>
      <c r="AE31" s="3">
        <v>7</v>
      </c>
      <c r="AF31">
        <f>AE31*'fuels and tailpipe emissions'!$B$3</f>
        <v>5.25</v>
      </c>
      <c r="AG31" s="2">
        <f>AF31*'fuels and tailpipe emissions'!$C$3</f>
        <v>61.833333333333329</v>
      </c>
      <c r="AH31" s="3">
        <f t="shared" si="16"/>
        <v>0.78749999999999998</v>
      </c>
      <c r="AI31">
        <v>0</v>
      </c>
      <c r="AJ31">
        <v>0</v>
      </c>
      <c r="AK31">
        <f t="shared" si="14"/>
        <v>1</v>
      </c>
      <c r="AL31">
        <f t="shared" si="15"/>
        <v>7.1344141875000002E-5</v>
      </c>
      <c r="AM31">
        <v>1.2899999999999999E-3</v>
      </c>
      <c r="AN31" s="2">
        <f t="shared" si="9"/>
        <v>40.719374999999992</v>
      </c>
      <c r="AO31" s="2">
        <f t="shared" si="10"/>
        <v>14.1</v>
      </c>
      <c r="AP31" s="2">
        <f t="shared" si="11"/>
        <v>0</v>
      </c>
      <c r="AQ31" s="6">
        <v>0.80650304993379429</v>
      </c>
      <c r="AR31" s="6" t="str">
        <f>IF($H31="BEV",SUMPRODUCT(#REF!,#REF!),"")</f>
        <v/>
      </c>
      <c r="AS31" s="2">
        <f>SUM(Z31,AG31)/(SUM(AQ31:AR31)/3.6)</f>
        <v>276.0063957827229</v>
      </c>
      <c r="AT31" s="5">
        <f>IF($H31="ICEV-p",$AQ31/('fuels and tailpipe emissions'!$C$3*3.6)*'fuels and tailpipe emissions'!$D$3,"")</f>
        <v>6.048772874503458E-2</v>
      </c>
      <c r="AU31" s="7">
        <f>IF($H31="ICEV-p",$AQ31/('fuels and tailpipe emissions'!$C$3*3.6)*'fuels and tailpipe emissions'!$E$3,"")</f>
        <v>3.0434077355992238E-7</v>
      </c>
      <c r="AV31" s="7">
        <f>SUMIFS('fuels and tailpipe emissions'!$C$10:$C$126,'fuels and tailpipe emissions'!$A$10:$A$126,'vehicles specifications'!$F31,'fuels and tailpipe emissions'!$B$10:$B$126,'vehicles specifications'!AV$2)/1000*$AQ31</f>
        <v>4.9037139839474579E-5</v>
      </c>
      <c r="AW31" s="7">
        <f>SUMIFS('fuels and tailpipe emissions'!$C$10:$C$126,'fuels and tailpipe emissions'!$A$10:$A$126,'vehicles specifications'!$F31,'fuels and tailpipe emissions'!$B$10:$B$126,'vehicles specifications'!AW$2)/1000*$AQ31</f>
        <v>2.2234893596900134E-5</v>
      </c>
      <c r="AX31" s="7">
        <f>SUMIFS('fuels and tailpipe emissions'!$C$10:$C$126,'fuels and tailpipe emissions'!$A$10:$A$126,'vehicles specifications'!$F31,'fuels and tailpipe emissions'!$B$10:$B$126,'vehicles specifications'!AX$2)/1000*$AQ31</f>
        <v>2.3511140203956193E-3</v>
      </c>
      <c r="AY31" s="7">
        <f>SUMIFS('fuels and tailpipe emissions'!$C$10:$C$126,'fuels and tailpipe emissions'!$A$10:$A$126,'vehicles specifications'!$F31,'fuels and tailpipe emissions'!$B$10:$B$126,'vehicles specifications'!AY$2)/1000*$AQ31</f>
        <v>1.1281021611821482E-6</v>
      </c>
      <c r="AZ31" s="7">
        <f>SUMIFS('fuels and tailpipe emissions'!$C$10:$C$126,'fuels and tailpipe emissions'!$A$10:$A$126,'vehicles specifications'!$F31,'fuels and tailpipe emissions'!$B$10:$B$126,'vehicles specifications'!AZ$2)/1000*$AQ31</f>
        <v>1.1281021611821482E-6</v>
      </c>
      <c r="BA31" s="7">
        <f>SUMIFS('fuels and tailpipe emissions'!$C$10:$C$126,'fuels and tailpipe emissions'!$A$10:$A$126,'vehicles specifications'!$F31,'fuels and tailpipe emissions'!$B$10:$B$126,'vehicles specifications'!BA$2)/1000*$AQ31</f>
        <v>8.4597180733547286E-5</v>
      </c>
      <c r="BB31" s="7">
        <f>SUMIFS('fuels and tailpipe emissions'!$C$10:$C$126,'fuels and tailpipe emissions'!$A$10:$A$126,'vehicles specifications'!$F31,'fuels and tailpipe emissions'!$B$10:$B$126,'vehicles specifications'!BB$2)/1000*$AQ31</f>
        <v>6.4786907116690766E-6</v>
      </c>
      <c r="BC31" s="7">
        <f>SUMIFS('fuels and tailpipe emissions'!$C$10:$C$126,'fuels and tailpipe emissions'!$A$10:$A$126,'vehicles specifications'!$F31,'fuels and tailpipe emissions'!$B$10:$B$126,'vehicles specifications'!BC$2)/1000*$AQ31</f>
        <v>3.9544388704774156E-4</v>
      </c>
      <c r="BD31" s="7">
        <f>SUMIFS('fuels and tailpipe emissions'!$C$10:$C$126,'fuels and tailpipe emissions'!$A$10:$A$126,'vehicles specifications'!$F31,'fuels and tailpipe emissions'!$B$10:$B$126,'vehicles specifications'!BD$2)/1000*$AQ31</f>
        <v>2.7883863830289469E-5</v>
      </c>
      <c r="BE31" s="7">
        <f>SUMIFS('fuels and tailpipe emissions'!$C$10:$C$126,'fuels and tailpipe emissions'!$A$10:$A$126,'vehicles specifications'!$F31,'fuels and tailpipe emissions'!$B$10:$B$126,'vehicles specifications'!BE$2)/1000*$AQ31</f>
        <v>5.6816650437893903E-6</v>
      </c>
      <c r="BF31" s="7">
        <f>SUMIFS('fuels and tailpipe emissions'!$C$10:$C$126,'fuels and tailpipe emissions'!$A$10:$A$126,'vehicles specifications'!$F31,'fuels and tailpipe emissions'!$B$10:$B$126,'vehicles specifications'!BF$2)/1000*$AQ31</f>
        <v>4.5802961276086779E-5</v>
      </c>
      <c r="BG31" s="7">
        <f>SUMIFS('fuels and tailpipe emissions'!$C$10:$C$126,'fuels and tailpipe emissions'!$A$10:$A$126,'vehicles specifications'!$F31,'fuels and tailpipe emissions'!$B$10:$B$126,'vehicles specifications'!BG$2)/1000*$AQ31</f>
        <v>1.8793199760226445E-5</v>
      </c>
      <c r="BH31" s="7">
        <f>SUMIFS('fuels and tailpipe emissions'!$C$10:$C$126,'fuels and tailpipe emissions'!$A$10:$A$126,'vehicles specifications'!$F31,'fuels and tailpipe emissions'!$B$10:$B$126,'vehicles specifications'!BH$2)/1000*$AQ31</f>
        <v>1.4073047262309106E-5</v>
      </c>
      <c r="BI31" s="7">
        <f>SUMIFS('fuels and tailpipe emissions'!$C$10:$C$126,'fuels and tailpipe emissions'!$A$10:$A$126,'vehicles specifications'!$F31,'fuels and tailpipe emissions'!$B$10:$B$126,'vehicles specifications'!BI$2)/1000*$AQ31</f>
        <v>9.9647663844921616E-6</v>
      </c>
      <c r="BJ31" s="7">
        <f>SUMIFS('fuels and tailpipe emissions'!$C$10:$C$126,'fuels and tailpipe emissions'!$A$10:$A$126,'vehicles specifications'!$F31,'fuels and tailpipe emissions'!$B$10:$B$126,'vehicles specifications'!BJ$2)/1000*$AQ31</f>
        <v>6.4683571267756131E-6</v>
      </c>
      <c r="BK31" s="7">
        <f>SUMIFS('fuels and tailpipe emissions'!$C$10:$C$126,'fuels and tailpipe emissions'!$A$10:$A$126,'vehicles specifications'!$F31,'fuels and tailpipe emissions'!$B$10:$B$126,'vehicles specifications'!BK$2)/1000*$AQ31</f>
        <v>6.3809468953327002E-5</v>
      </c>
      <c r="BL31" s="7">
        <f>SUMIFS('fuels and tailpipe emissions'!$C$10:$C$126,'fuels and tailpipe emissions'!$A$10:$A$126,'vehicles specifications'!$F31,'fuels and tailpipe emissions'!$B$10:$B$126,'vehicles specifications'!BL$2)/1000*$AQ31</f>
        <v>3.3390708411193032E-5</v>
      </c>
      <c r="BM31" s="7">
        <f>SUMIFS('fuels and tailpipe emissions'!$C$10:$C$126,'fuels and tailpipe emissions'!$A$10:$A$126,'vehicles specifications'!$F31,'fuels and tailpipe emissions'!$B$10:$B$126,'vehicles specifications'!BM$2)/1000*$AQ31</f>
        <v>9.6151254587205081E-7</v>
      </c>
      <c r="BN31" s="7">
        <f>SUMIFS('fuels and tailpipe emissions'!$C$10:$C$126,'fuels and tailpipe emissions'!$A$10:$A$126,'vehicles specifications'!$F31,'fuels and tailpipe emissions'!$B$10:$B$126,'vehicles specifications'!BN$2)/1000*$AQ31</f>
        <v>4.9037139839474579E-5</v>
      </c>
      <c r="BO31" s="7">
        <f>SUMIFS('fuels and tailpipe emissions'!$C$10:$C$126,'fuels and tailpipe emissions'!$A$10:$A$126,'vehicles specifications'!$F31,'fuels and tailpipe emissions'!$B$10:$B$126,'vehicles specifications'!BO$2)/1000*$AQ31</f>
        <v>9.5976434124319234E-5</v>
      </c>
      <c r="BP31" s="7">
        <f>SUMIFS('fuels and tailpipe emissions'!$C$10:$C$126,'fuels and tailpipe emissions'!$A$10:$A$126,'vehicles specifications'!$F31,'fuels and tailpipe emissions'!$B$10:$B$126,'vehicles specifications'!BP$2)/1000*$AQ31</f>
        <v>4.7463755673502142E-5</v>
      </c>
      <c r="BQ31" s="7">
        <f>SUMIFS('fuels and tailpipe emissions'!$C$10:$C$126,'fuels and tailpipe emissions'!$A$10:$A$126,'vehicles specifications'!$F31,'fuels and tailpipe emissions'!$B$10:$B$126,'vehicles specifications'!BQ$2)/1000*$AQ31</f>
        <v>1.9754712306098495E-5</v>
      </c>
      <c r="BR31" s="7">
        <f>SUMIFS('fuels and tailpipe emissions'!$C$10:$C$126,'fuels and tailpipe emissions'!$A$10:$A$126,'vehicles specifications'!$F31,'fuels and tailpipe emissions'!$B$10:$B$126,'vehicles specifications'!BR$2)/1000*$AQ31</f>
        <v>1.485973934529533E-5</v>
      </c>
      <c r="BS31" s="7">
        <f>SUMIFS('fuels and tailpipe emissions'!$C$10:$C$126,'fuels and tailpipe emissions'!$A$10:$A$126,'vehicles specifications'!$F31,'fuels and tailpipe emissions'!$B$10:$B$126,'vehicles specifications'!BS$2)/1000*$AQ31</f>
        <v>6.5557673582185264E-6</v>
      </c>
      <c r="BT31" s="7">
        <f>SUMIFS('fuels and tailpipe emissions'!$C$10:$C$126,'fuels and tailpipe emissions'!$A$10:$A$126,'vehicles specifications'!$F31,'fuels and tailpipe emissions'!$B$10:$B$126,'vehicles specifications'!BT$2)/1000*$AQ31</f>
        <v>1.9230250917441016E-6</v>
      </c>
      <c r="BU31" s="7">
        <f>SUMIFS('fuels and tailpipe emissions'!$C$10:$C$126,'fuels and tailpipe emissions'!$A$10:$A$126,'vehicles specifications'!$F31,'fuels and tailpipe emissions'!$B$10:$B$126,'vehicles specifications'!BU$2)/1000*$AQ31</f>
        <v>5.3320241180177364E-6</v>
      </c>
      <c r="BV31" s="7">
        <f>SUMIFS('fuels and tailpipe emissions'!$C$10:$C$126,'fuels and tailpipe emissions'!$A$10:$A$126,'vehicles specifications'!$F31,'fuels and tailpipe emissions'!$B$10:$B$126,'vehicles specifications'!BV$2)/1000*$AQ31</f>
        <v>0</v>
      </c>
      <c r="BW31" s="7">
        <f>SUMIFS('fuels and tailpipe emissions'!$C$10:$C$126,'fuels and tailpipe emissions'!$A$10:$A$126,'vehicles specifications'!$F31,'fuels and tailpipe emissions'!$B$10:$B$126,'vehicles specifications'!BW$2)/1000*$AQ31</f>
        <v>1.6607943974153603E-6</v>
      </c>
      <c r="BX31" s="7">
        <f>SUMIFS('fuels and tailpipe emissions'!$C$10:$C$126,'fuels and tailpipe emissions'!$A$10:$A$126,'vehicles specifications'!$F31,'fuels and tailpipe emissions'!$B$10:$B$126,'vehicles specifications'!BX$2)/1000*$AQ31</f>
        <v>8.8284333757342832E-6</v>
      </c>
      <c r="BY31" s="7">
        <f>SUMIFS('fuels and tailpipe emissions'!$C$10:$C$126,'fuels and tailpipe emissions'!$A$10:$A$126,'vehicles specifications'!$F31,'fuels and tailpipe emissions'!$B$10:$B$126,'vehicles specifications'!BY$2)/1000*$AQ31</f>
        <v>2.8066306137696041E-8</v>
      </c>
      <c r="BZ31" s="7">
        <f>SUMIFS('fuels and tailpipe emissions'!$C$10:$C$126,'fuels and tailpipe emissions'!$A$10:$A$126,'vehicles specifications'!$F31,'fuels and tailpipe emissions'!$B$10:$B$126,'vehicles specifications'!BZ$2)/1000*$AQ31</f>
        <v>2.4195091498013828E-10</v>
      </c>
      <c r="CA31" s="7">
        <f>SUMIFS('fuels and tailpipe emissions'!$C$10:$C$126,'fuels and tailpipe emissions'!$A$10:$A$126,'vehicles specifications'!$F31,'fuels and tailpipe emissions'!$B$10:$B$126,'vehicles specifications'!CA$2)/1000*$AQ31</f>
        <v>1.6130060998675886E-10</v>
      </c>
      <c r="CB31" s="7">
        <f>SUMIFS('fuels and tailpipe emissions'!$C$10:$C$126,'fuels and tailpipe emissions'!$A$10:$A$126,'vehicles specifications'!$F31,'fuels and tailpipe emissions'!$B$10:$B$126,'vehicles specifications'!CB$2)/1000*$AQ31</f>
        <v>1.7420465878569957E-6</v>
      </c>
      <c r="CC31" s="7">
        <f>SUMIFS('fuels and tailpipe emissions'!$C$10:$C$126,'fuels and tailpipe emissions'!$A$10:$A$126,'vehicles specifications'!$F31,'fuels and tailpipe emissions'!$B$10:$B$126,'vehicles specifications'!CC$2)/1000*$AQ31</f>
        <v>3.3873128097219361E-8</v>
      </c>
      <c r="CD31" s="7">
        <f>SUMIFS('fuels and tailpipe emissions'!$C$10:$C$126,'fuels and tailpipe emissions'!$A$10:$A$126,'vehicles specifications'!$F31,'fuels and tailpipe emissions'!$B$10:$B$126,'vehicles specifications'!CD$2)/1000*$AQ31</f>
        <v>1.0484539649139326E-8</v>
      </c>
      <c r="CE31" s="7">
        <f>SUMIFS('fuels and tailpipe emissions'!$C$10:$C$126,'fuels and tailpipe emissions'!$A$10:$A$126,'vehicles specifications'!$F31,'fuels and tailpipe emissions'!$B$10:$B$126,'vehicles specifications'!CE$2)/1000*$AQ31</f>
        <v>1.2904048798940712E-8</v>
      </c>
      <c r="CF31" s="7">
        <f>SUMIFS('fuels and tailpipe emissions'!$C$10:$C$126,'fuels and tailpipe emissions'!$A$10:$A$126,'vehicles specifications'!$F31,'fuels and tailpipe emissions'!$B$10:$B$126,'vehicles specifications'!CF$2)/1000*$AQ31</f>
        <v>2.5808097597881416E-11</v>
      </c>
      <c r="CG31" s="7">
        <f>SUMIFS('fuels and tailpipe emissions'!$C$10:$C$126,'fuels and tailpipe emissions'!$A$10:$A$126,'vehicles specifications'!$F31,'fuels and tailpipe emissions'!$B$10:$B$126,'vehicles specifications'!CG$2)/1000*$AQ31</f>
        <v>7.0165765344240103E-9</v>
      </c>
      <c r="CH31" s="7">
        <f>SUMIFS('fuels and tailpipe emissions'!$C$10:$C$126,'fuels and tailpipe emissions'!$A$10:$A$126,'vehicles specifications'!$F31,'fuels and tailpipe emissions'!$B$10:$B$126,'vehicles specifications'!CH$2)/1000*$AQ31</f>
        <v>8.7102329392849792E-9</v>
      </c>
      <c r="CI31" s="7">
        <f>VLOOKUP(B31,'abrasion emissions'!$A$4:$D$32,4,FALSE)</f>
        <v>6.0000000000000002E-6</v>
      </c>
      <c r="CJ31" s="7">
        <f>VLOOKUP(B31,'abrasion emissions'!$A$4:$D$32,2,FALSE)</f>
        <v>5.8379999999999998E-6</v>
      </c>
      <c r="CK31" s="7">
        <f>VLOOKUP(B31,'abrasion emissions'!$A$4:$D$32,3,FALSE)</f>
        <v>3.6740000000000003E-6</v>
      </c>
    </row>
    <row r="32" spans="1:89" x14ac:dyDescent="0.3">
      <c r="A32" t="str">
        <f t="shared" si="1"/>
        <v>Moped, gasoline, &lt;4kW, EURO-5 - 2050 - CH</v>
      </c>
      <c r="B32" t="s">
        <v>647</v>
      </c>
      <c r="D32">
        <v>2050</v>
      </c>
      <c r="E32" t="s">
        <v>37</v>
      </c>
      <c r="F32" t="s">
        <v>149</v>
      </c>
      <c r="G32" t="s">
        <v>39</v>
      </c>
      <c r="H32" t="s">
        <v>35</v>
      </c>
      <c r="J32" s="21">
        <v>33400</v>
      </c>
      <c r="K32" s="21">
        <v>2553</v>
      </c>
      <c r="L32" s="2">
        <f t="shared" si="2"/>
        <v>13.082647865256561</v>
      </c>
      <c r="M32">
        <v>1</v>
      </c>
      <c r="N32">
        <v>70</v>
      </c>
      <c r="O32">
        <v>2</v>
      </c>
      <c r="P32" s="2">
        <f t="shared" si="13"/>
        <v>59.971624999999996</v>
      </c>
      <c r="Q32" s="2">
        <f t="shared" si="3"/>
        <v>131.97162499999999</v>
      </c>
      <c r="R32">
        <v>2.5</v>
      </c>
      <c r="S32" s="2">
        <v>43.262500000000003</v>
      </c>
      <c r="T32" s="1">
        <v>7.0000000000000007E-2</v>
      </c>
      <c r="U32" s="2">
        <f t="shared" si="4"/>
        <v>40.234124999999999</v>
      </c>
      <c r="V32">
        <v>13.7</v>
      </c>
      <c r="W32">
        <v>0</v>
      </c>
      <c r="X32" s="3">
        <v>0</v>
      </c>
      <c r="Y32" s="1">
        <v>0.8</v>
      </c>
      <c r="Z32" s="3">
        <f t="shared" si="5"/>
        <v>0</v>
      </c>
      <c r="AA32" s="3">
        <v>0</v>
      </c>
      <c r="AB32" s="3">
        <v>0</v>
      </c>
      <c r="AC32" s="3">
        <f t="shared" si="7"/>
        <v>0</v>
      </c>
      <c r="AD32" s="3">
        <v>0</v>
      </c>
      <c r="AE32" s="3">
        <v>7</v>
      </c>
      <c r="AF32">
        <f>AE32*'fuels and tailpipe emissions'!$B$3</f>
        <v>5.25</v>
      </c>
      <c r="AG32" s="2">
        <f>AF32*'fuels and tailpipe emissions'!$C$3</f>
        <v>61.833333333333329</v>
      </c>
      <c r="AH32" s="3">
        <f t="shared" si="16"/>
        <v>0.78749999999999998</v>
      </c>
      <c r="AI32">
        <v>0</v>
      </c>
      <c r="AJ32">
        <v>0</v>
      </c>
      <c r="AK32">
        <f t="shared" si="14"/>
        <v>1</v>
      </c>
      <c r="AL32">
        <f t="shared" si="15"/>
        <v>7.0868762624999988E-5</v>
      </c>
      <c r="AM32">
        <v>1.2899999999999999E-3</v>
      </c>
      <c r="AN32" s="2">
        <f t="shared" si="9"/>
        <v>40.234124999999999</v>
      </c>
      <c r="AO32" s="2">
        <f t="shared" si="10"/>
        <v>13.7</v>
      </c>
      <c r="AP32" s="2">
        <f t="shared" si="11"/>
        <v>0</v>
      </c>
      <c r="AQ32" s="6">
        <v>0.79843801943445636</v>
      </c>
      <c r="AR32" s="6" t="str">
        <f>IF($H32="BEV",SUMPRODUCT(#REF!,#REF!),"")</f>
        <v/>
      </c>
      <c r="AS32" s="2">
        <f>SUM(Z32,AG32)/(SUM(AQ32:AR32)/3.6)</f>
        <v>278.79433917446761</v>
      </c>
      <c r="AT32" s="5">
        <f>IF($H32="ICEV-p",$AQ32/('fuels and tailpipe emissions'!$C$3*3.6)*'fuels and tailpipe emissions'!$D$3,"")</f>
        <v>5.9882851457584228E-2</v>
      </c>
      <c r="AU32" s="7">
        <f>IF($H32="ICEV-p",$AQ32/('fuels and tailpipe emissions'!$C$3*3.6)*'fuels and tailpipe emissions'!$E$3,"")</f>
        <v>3.0129736582432315E-7</v>
      </c>
      <c r="AV32" s="7">
        <f>SUMIFS('fuels and tailpipe emissions'!$C$10:$C$126,'fuels and tailpipe emissions'!$A$10:$A$126,'vehicles specifications'!$F32,'fuels and tailpipe emissions'!$B$10:$B$126,'vehicles specifications'!AV$2)/1000*$AQ32</f>
        <v>4.854676844107983E-5</v>
      </c>
      <c r="AW32" s="7">
        <f>SUMIFS('fuels and tailpipe emissions'!$C$10:$C$126,'fuels and tailpipe emissions'!$A$10:$A$126,'vehicles specifications'!$F32,'fuels and tailpipe emissions'!$B$10:$B$126,'vehicles specifications'!AW$2)/1000*$AQ32</f>
        <v>2.2012544660931132E-5</v>
      </c>
      <c r="AX32" s="7">
        <f>SUMIFS('fuels and tailpipe emissions'!$C$10:$C$126,'fuels and tailpipe emissions'!$A$10:$A$126,'vehicles specifications'!$F32,'fuels and tailpipe emissions'!$B$10:$B$126,'vehicles specifications'!AX$2)/1000*$AQ32</f>
        <v>2.3276028801916633E-3</v>
      </c>
      <c r="AY32" s="7">
        <f>SUMIFS('fuels and tailpipe emissions'!$C$10:$C$126,'fuels and tailpipe emissions'!$A$10:$A$126,'vehicles specifications'!$F32,'fuels and tailpipe emissions'!$B$10:$B$126,'vehicles specifications'!AY$2)/1000*$AQ32</f>
        <v>1.1168211395703267E-6</v>
      </c>
      <c r="AZ32" s="7">
        <f>SUMIFS('fuels and tailpipe emissions'!$C$10:$C$126,'fuels and tailpipe emissions'!$A$10:$A$126,'vehicles specifications'!$F32,'fuels and tailpipe emissions'!$B$10:$B$126,'vehicles specifications'!AZ$2)/1000*$AQ32</f>
        <v>1.1168211395703267E-6</v>
      </c>
      <c r="BA32" s="7">
        <f>SUMIFS('fuels and tailpipe emissions'!$C$10:$C$126,'fuels and tailpipe emissions'!$A$10:$A$126,'vehicles specifications'!$F32,'fuels and tailpipe emissions'!$B$10:$B$126,'vehicles specifications'!BA$2)/1000*$AQ32</f>
        <v>8.3751208926211812E-5</v>
      </c>
      <c r="BB32" s="7">
        <f>SUMIFS('fuels and tailpipe emissions'!$C$10:$C$126,'fuels and tailpipe emissions'!$A$10:$A$126,'vehicles specifications'!$F32,'fuels and tailpipe emissions'!$B$10:$B$126,'vehicles specifications'!BB$2)/1000*$AQ32</f>
        <v>6.4139038045523853E-6</v>
      </c>
      <c r="BC32" s="7">
        <f>SUMIFS('fuels and tailpipe emissions'!$C$10:$C$126,'fuels and tailpipe emissions'!$A$10:$A$126,'vehicles specifications'!$F32,'fuels and tailpipe emissions'!$B$10:$B$126,'vehicles specifications'!BC$2)/1000*$AQ32</f>
        <v>3.9148944817726415E-4</v>
      </c>
      <c r="BD32" s="7">
        <f>SUMIFS('fuels and tailpipe emissions'!$C$10:$C$126,'fuels and tailpipe emissions'!$A$10:$A$126,'vehicles specifications'!$F32,'fuels and tailpipe emissions'!$B$10:$B$126,'vehicles specifications'!BD$2)/1000*$AQ32</f>
        <v>2.7605025191986573E-5</v>
      </c>
      <c r="BE32" s="7">
        <f>SUMIFS('fuels and tailpipe emissions'!$C$10:$C$126,'fuels and tailpipe emissions'!$A$10:$A$126,'vehicles specifications'!$F32,'fuels and tailpipe emissions'!$B$10:$B$126,'vehicles specifications'!BE$2)/1000*$AQ32</f>
        <v>5.6248483933514962E-6</v>
      </c>
      <c r="BF32" s="7">
        <f>SUMIFS('fuels and tailpipe emissions'!$C$10:$C$126,'fuels and tailpipe emissions'!$A$10:$A$126,'vehicles specifications'!$F32,'fuels and tailpipe emissions'!$B$10:$B$126,'vehicles specifications'!BF$2)/1000*$AQ32</f>
        <v>4.5344931663325912E-5</v>
      </c>
      <c r="BG32" s="7">
        <f>SUMIFS('fuels and tailpipe emissions'!$C$10:$C$126,'fuels and tailpipe emissions'!$A$10:$A$126,'vehicles specifications'!$F32,'fuels and tailpipe emissions'!$B$10:$B$126,'vehicles specifications'!BG$2)/1000*$AQ32</f>
        <v>1.8605267762624179E-5</v>
      </c>
      <c r="BH32" s="7">
        <f>SUMIFS('fuels and tailpipe emissions'!$C$10:$C$126,'fuels and tailpipe emissions'!$A$10:$A$126,'vehicles specifications'!$F32,'fuels and tailpipe emissions'!$B$10:$B$126,'vehicles specifications'!BH$2)/1000*$AQ32</f>
        <v>1.3932316789686016E-5</v>
      </c>
      <c r="BI32" s="7">
        <f>SUMIFS('fuels and tailpipe emissions'!$C$10:$C$126,'fuels and tailpipe emissions'!$A$10:$A$126,'vehicles specifications'!$F32,'fuels and tailpipe emissions'!$B$10:$B$126,'vehicles specifications'!BI$2)/1000*$AQ32</f>
        <v>9.8651187206472398E-6</v>
      </c>
      <c r="BJ32" s="7">
        <f>SUMIFS('fuels and tailpipe emissions'!$C$10:$C$126,'fuels and tailpipe emissions'!$A$10:$A$126,'vehicles specifications'!$F32,'fuels and tailpipe emissions'!$B$10:$B$126,'vehicles specifications'!BJ$2)/1000*$AQ32</f>
        <v>6.4036735555078573E-6</v>
      </c>
      <c r="BK32" s="7">
        <f>SUMIFS('fuels and tailpipe emissions'!$C$10:$C$126,'fuels and tailpipe emissions'!$A$10:$A$126,'vehicles specifications'!$F32,'fuels and tailpipe emissions'!$B$10:$B$126,'vehicles specifications'!BK$2)/1000*$AQ32</f>
        <v>6.3171374263793726E-5</v>
      </c>
      <c r="BL32" s="7">
        <f>SUMIFS('fuels and tailpipe emissions'!$C$10:$C$126,'fuels and tailpipe emissions'!$A$10:$A$126,'vehicles specifications'!$F32,'fuels and tailpipe emissions'!$B$10:$B$126,'vehicles specifications'!BL$2)/1000*$AQ32</f>
        <v>3.3056801327081096E-5</v>
      </c>
      <c r="BM32" s="7">
        <f>SUMIFS('fuels and tailpipe emissions'!$C$10:$C$126,'fuels and tailpipe emissions'!$A$10:$A$126,'vehicles specifications'!$F32,'fuels and tailpipe emissions'!$B$10:$B$126,'vehicles specifications'!BM$2)/1000*$AQ32</f>
        <v>9.5189742041333027E-7</v>
      </c>
      <c r="BN32" s="7">
        <f>SUMIFS('fuels and tailpipe emissions'!$C$10:$C$126,'fuels and tailpipe emissions'!$A$10:$A$126,'vehicles specifications'!$F32,'fuels and tailpipe emissions'!$B$10:$B$126,'vehicles specifications'!BN$2)/1000*$AQ32</f>
        <v>4.854676844107983E-5</v>
      </c>
      <c r="BO32" s="7">
        <f>SUMIFS('fuels and tailpipe emissions'!$C$10:$C$126,'fuels and tailpipe emissions'!$A$10:$A$126,'vehicles specifications'!$F32,'fuels and tailpipe emissions'!$B$10:$B$126,'vehicles specifications'!BO$2)/1000*$AQ32</f>
        <v>9.5016669783076047E-5</v>
      </c>
      <c r="BP32" s="7">
        <f>SUMIFS('fuels and tailpipe emissions'!$C$10:$C$126,'fuels and tailpipe emissions'!$A$10:$A$126,'vehicles specifications'!$F32,'fuels and tailpipe emissions'!$B$10:$B$126,'vehicles specifications'!BP$2)/1000*$AQ32</f>
        <v>4.698911811676712E-5</v>
      </c>
      <c r="BQ32" s="7">
        <f>SUMIFS('fuels and tailpipe emissions'!$C$10:$C$126,'fuels and tailpipe emissions'!$A$10:$A$126,'vehicles specifications'!$F32,'fuels and tailpipe emissions'!$B$10:$B$126,'vehicles specifications'!BQ$2)/1000*$AQ32</f>
        <v>1.9557165183037508E-5</v>
      </c>
      <c r="BR32" s="7">
        <f>SUMIFS('fuels and tailpipe emissions'!$C$10:$C$126,'fuels and tailpipe emissions'!$A$10:$A$126,'vehicles specifications'!$F32,'fuels and tailpipe emissions'!$B$10:$B$126,'vehicles specifications'!BR$2)/1000*$AQ32</f>
        <v>1.4711141951842378E-5</v>
      </c>
      <c r="BS32" s="7">
        <f>SUMIFS('fuels and tailpipe emissions'!$C$10:$C$126,'fuels and tailpipe emissions'!$A$10:$A$126,'vehicles specifications'!$F32,'fuels and tailpipe emissions'!$B$10:$B$126,'vehicles specifications'!BS$2)/1000*$AQ32</f>
        <v>6.4902096846363412E-6</v>
      </c>
      <c r="BT32" s="7">
        <f>SUMIFS('fuels and tailpipe emissions'!$C$10:$C$126,'fuels and tailpipe emissions'!$A$10:$A$126,'vehicles specifications'!$F32,'fuels and tailpipe emissions'!$B$10:$B$126,'vehicles specifications'!BT$2)/1000*$AQ32</f>
        <v>1.9037948408266605E-6</v>
      </c>
      <c r="BU32" s="7">
        <f>SUMIFS('fuels and tailpipe emissions'!$C$10:$C$126,'fuels and tailpipe emissions'!$A$10:$A$126,'vehicles specifications'!$F32,'fuels and tailpipe emissions'!$B$10:$B$126,'vehicles specifications'!BU$2)/1000*$AQ32</f>
        <v>5.2787038768375589E-6</v>
      </c>
      <c r="BV32" s="7">
        <f>SUMIFS('fuels and tailpipe emissions'!$C$10:$C$126,'fuels and tailpipe emissions'!$A$10:$A$126,'vehicles specifications'!$F32,'fuels and tailpipe emissions'!$B$10:$B$126,'vehicles specifications'!BV$2)/1000*$AQ32</f>
        <v>0</v>
      </c>
      <c r="BW32" s="7">
        <f>SUMIFS('fuels and tailpipe emissions'!$C$10:$C$126,'fuels and tailpipe emissions'!$A$10:$A$126,'vehicles specifications'!$F32,'fuels and tailpipe emissions'!$B$10:$B$126,'vehicles specifications'!BW$2)/1000*$AQ32</f>
        <v>1.6441864534412067E-6</v>
      </c>
      <c r="BX32" s="7">
        <f>SUMIFS('fuels and tailpipe emissions'!$C$10:$C$126,'fuels and tailpipe emissions'!$A$10:$A$126,'vehicles specifications'!$F32,'fuels and tailpipe emissions'!$B$10:$B$126,'vehicles specifications'!BX$2)/1000*$AQ32</f>
        <v>8.7401490419769389E-6</v>
      </c>
      <c r="BY32" s="7">
        <f>SUMIFS('fuels and tailpipe emissions'!$C$10:$C$126,'fuels and tailpipe emissions'!$A$10:$A$126,'vehicles specifications'!$F32,'fuels and tailpipe emissions'!$B$10:$B$126,'vehicles specifications'!BY$2)/1000*$AQ32</f>
        <v>2.7785643076319082E-8</v>
      </c>
      <c r="BZ32" s="7">
        <f>SUMIFS('fuels and tailpipe emissions'!$C$10:$C$126,'fuels and tailpipe emissions'!$A$10:$A$126,'vehicles specifications'!$F32,'fuels and tailpipe emissions'!$B$10:$B$126,'vehicles specifications'!BZ$2)/1000*$AQ32</f>
        <v>2.3953140583033693E-10</v>
      </c>
      <c r="CA32" s="7">
        <f>SUMIFS('fuels and tailpipe emissions'!$C$10:$C$126,'fuels and tailpipe emissions'!$A$10:$A$126,'vehicles specifications'!$F32,'fuels and tailpipe emissions'!$B$10:$B$126,'vehicles specifications'!CA$2)/1000*$AQ32</f>
        <v>1.5968760388689128E-10</v>
      </c>
      <c r="CB32" s="7">
        <f>SUMIFS('fuels and tailpipe emissions'!$C$10:$C$126,'fuels and tailpipe emissions'!$A$10:$A$126,'vehicles specifications'!$F32,'fuels and tailpipe emissions'!$B$10:$B$126,'vehicles specifications'!CB$2)/1000*$AQ32</f>
        <v>1.7246261219784257E-6</v>
      </c>
      <c r="CC32" s="7">
        <f>SUMIFS('fuels and tailpipe emissions'!$C$10:$C$126,'fuels and tailpipe emissions'!$A$10:$A$126,'vehicles specifications'!$F32,'fuels and tailpipe emissions'!$B$10:$B$126,'vehicles specifications'!CC$2)/1000*$AQ32</f>
        <v>3.3534396816247166E-8</v>
      </c>
      <c r="CD32" s="7">
        <f>SUMIFS('fuels and tailpipe emissions'!$C$10:$C$126,'fuels and tailpipe emissions'!$A$10:$A$126,'vehicles specifications'!$F32,'fuels and tailpipe emissions'!$B$10:$B$126,'vehicles specifications'!CD$2)/1000*$AQ32</f>
        <v>1.0379694252647933E-8</v>
      </c>
      <c r="CE32" s="7">
        <f>SUMIFS('fuels and tailpipe emissions'!$C$10:$C$126,'fuels and tailpipe emissions'!$A$10:$A$126,'vehicles specifications'!$F32,'fuels and tailpipe emissions'!$B$10:$B$126,'vehicles specifications'!CE$2)/1000*$AQ32</f>
        <v>1.2775008310951305E-8</v>
      </c>
      <c r="CF32" s="7">
        <f>SUMIFS('fuels and tailpipe emissions'!$C$10:$C$126,'fuels and tailpipe emissions'!$A$10:$A$126,'vehicles specifications'!$F32,'fuels and tailpipe emissions'!$B$10:$B$126,'vehicles specifications'!CF$2)/1000*$AQ32</f>
        <v>2.5550016621902604E-11</v>
      </c>
      <c r="CG32" s="7">
        <f>SUMIFS('fuels and tailpipe emissions'!$C$10:$C$126,'fuels and tailpipe emissions'!$A$10:$A$126,'vehicles specifications'!$F32,'fuels and tailpipe emissions'!$B$10:$B$126,'vehicles specifications'!CG$2)/1000*$AQ32</f>
        <v>6.9464107690797704E-9</v>
      </c>
      <c r="CH32" s="7">
        <f>SUMIFS('fuels and tailpipe emissions'!$C$10:$C$126,'fuels and tailpipe emissions'!$A$10:$A$126,'vehicles specifications'!$F32,'fuels and tailpipe emissions'!$B$10:$B$126,'vehicles specifications'!CH$2)/1000*$AQ32</f>
        <v>8.6231306098921297E-9</v>
      </c>
      <c r="CI32" s="7">
        <f>VLOOKUP(B32,'abrasion emissions'!$A$4:$D$32,4,FALSE)</f>
        <v>6.0000000000000002E-6</v>
      </c>
      <c r="CJ32" s="7">
        <f>VLOOKUP(B32,'abrasion emissions'!$A$4:$D$32,2,FALSE)</f>
        <v>5.8379999999999998E-6</v>
      </c>
      <c r="CK32" s="7">
        <f>VLOOKUP(B32,'abrasion emissions'!$A$4:$D$32,3,FALSE)</f>
        <v>3.6740000000000003E-6</v>
      </c>
    </row>
    <row r="33" spans="1:89" s="21" customFormat="1" x14ac:dyDescent="0.3">
      <c r="A33" s="21" t="str">
        <f t="shared" ref="A33:A38" si="17">B33&amp;" - "&amp;D33&amp;" - "&amp;E33</f>
        <v>Scooter, gasoline, &lt;4kW, EURO-3 - 2006 - CH</v>
      </c>
      <c r="B33" s="21" t="s">
        <v>675</v>
      </c>
      <c r="D33" s="21">
        <v>2006</v>
      </c>
      <c r="E33" s="21" t="s">
        <v>37</v>
      </c>
      <c r="F33" s="21" t="s">
        <v>149</v>
      </c>
      <c r="G33" s="21" t="s">
        <v>39</v>
      </c>
      <c r="H33" s="21" t="s">
        <v>35</v>
      </c>
      <c r="J33" s="21">
        <v>33400</v>
      </c>
      <c r="K33" s="21">
        <v>2553</v>
      </c>
      <c r="L33" s="2">
        <f t="shared" ref="L33:L38" si="18">J33/K33</f>
        <v>13.082647865256561</v>
      </c>
      <c r="M33" s="21">
        <v>1</v>
      </c>
      <c r="N33" s="21">
        <v>70</v>
      </c>
      <c r="O33" s="21">
        <v>4</v>
      </c>
      <c r="P33" s="2">
        <f t="shared" ref="P33:P38" si="19">SUM(U33,V33,W33,AC33,AF33,AH33)</f>
        <v>93.6875</v>
      </c>
      <c r="Q33" s="2">
        <f t="shared" ref="Q33:Q38" si="20">P33+(M33*N33)+O33</f>
        <v>167.6875</v>
      </c>
      <c r="R33" s="21">
        <v>2.8</v>
      </c>
      <c r="S33" s="2">
        <v>53</v>
      </c>
      <c r="T33" s="1">
        <v>-0.05</v>
      </c>
      <c r="U33" s="2">
        <f t="shared" ref="U33:U38" si="21">S33*(1-T33)</f>
        <v>55.650000000000006</v>
      </c>
      <c r="V33" s="21">
        <v>32</v>
      </c>
      <c r="W33" s="21">
        <v>0</v>
      </c>
      <c r="X33" s="3">
        <v>0</v>
      </c>
      <c r="Y33" s="1">
        <v>0.8</v>
      </c>
      <c r="Z33" s="3">
        <f t="shared" ref="Z33:Z38" si="22">Y33*X33</f>
        <v>0</v>
      </c>
      <c r="AA33" s="3">
        <v>0</v>
      </c>
      <c r="AB33" s="3">
        <v>0</v>
      </c>
      <c r="AC33" s="3">
        <f t="shared" ref="AC33:AC38" si="23">AB33+AA33</f>
        <v>0</v>
      </c>
      <c r="AD33" s="3">
        <v>0</v>
      </c>
      <c r="AE33" s="3">
        <v>7</v>
      </c>
      <c r="AF33" s="21">
        <f>AE33*'fuels and tailpipe emissions'!$B$3</f>
        <v>5.25</v>
      </c>
      <c r="AG33" s="2">
        <f>AF33*'fuels and tailpipe emissions'!$C$3</f>
        <v>61.833333333333329</v>
      </c>
      <c r="AH33" s="3">
        <f t="shared" ref="AH33:AH38" si="24">0.15*AF33</f>
        <v>0.78749999999999998</v>
      </c>
      <c r="AI33" s="21">
        <v>0</v>
      </c>
      <c r="AJ33" s="21">
        <v>0</v>
      </c>
      <c r="AK33" s="21">
        <f t="shared" ref="AK33:AK38" si="25">IF(J33/50000&gt;1,J33/50000,1)</f>
        <v>1</v>
      </c>
      <c r="AL33" s="21">
        <f t="shared" ref="AL33:AL38" si="26">0.000537/1000*Q33</f>
        <v>9.0048187499999999E-5</v>
      </c>
      <c r="AM33" s="21">
        <v>1.2899999999999999E-3</v>
      </c>
      <c r="AN33" s="2">
        <f t="shared" ref="AN33:AN38" si="27">U33</f>
        <v>55.650000000000006</v>
      </c>
      <c r="AO33" s="2">
        <f t="shared" ref="AO33:AO38" si="28">SUM(V33:W33)</f>
        <v>32</v>
      </c>
      <c r="AP33" s="2">
        <f t="shared" ref="AP33:AP38" si="29">AC33</f>
        <v>0</v>
      </c>
      <c r="AQ33" s="6">
        <v>1.3796363595586507</v>
      </c>
      <c r="AR33" s="6" t="str">
        <f>IF($H33="BEV",SUMPRODUCT(#REF!,#REF!),"")</f>
        <v/>
      </c>
      <c r="AS33" s="2">
        <f>SUM(Z33,AG33)/(SUM(AQ33:AR33)/3.6)</f>
        <v>161.34686394551844</v>
      </c>
      <c r="AT33" s="5">
        <f>IF($H33="ICEV-p",$AQ33/('fuels and tailpipe emissions'!$C$3*3.6)*'fuels and tailpipe emissions'!$D$3,"")</f>
        <v>0.10347272696689881</v>
      </c>
      <c r="AU33" s="7">
        <f>IF($H33="ICEV-p",$AQ33/('fuels and tailpipe emissions'!$C$3*3.6)*'fuels and tailpipe emissions'!$E$3,"")</f>
        <v>5.206174941730758E-7</v>
      </c>
      <c r="AV33" s="7">
        <f>SUMIFS('fuels and tailpipe emissions'!$C$10:$C$126,'fuels and tailpipe emissions'!$A$10:$A$126,'vehicles specifications'!$F33,'fuels and tailpipe emissions'!$B$10:$B$126,'vehicles specifications'!AV$2)/1000*$AQ33</f>
        <v>8.3884891813930333E-5</v>
      </c>
      <c r="AW33" s="7">
        <f>SUMIFS('fuels and tailpipe emissions'!$C$10:$C$126,'fuels and tailpipe emissions'!$A$10:$A$126,'vehicles specifications'!$F33,'fuels and tailpipe emissions'!$B$10:$B$126,'vehicles specifications'!AW$2)/1000*$AQ33</f>
        <v>3.8035897892412742E-5</v>
      </c>
      <c r="AX33" s="7">
        <f>SUMIFS('fuels and tailpipe emissions'!$C$10:$C$126,'fuels and tailpipe emissions'!$A$10:$A$126,'vehicles specifications'!$F33,'fuels and tailpipe emissions'!$B$10:$B$126,'vehicles specifications'!AX$2)/1000*$AQ33</f>
        <v>4.0219096360171094E-3</v>
      </c>
      <c r="AY33" s="7">
        <f>SUMIFS('fuels and tailpipe emissions'!$C$10:$C$126,'fuels and tailpipe emissions'!$A$10:$A$126,'vehicles specifications'!$F33,'fuels and tailpipe emissions'!$B$10:$B$126,'vehicles specifications'!AY$2)/1000*$AQ33</f>
        <v>1.9297766561345895E-6</v>
      </c>
      <c r="AZ33" s="7">
        <f>SUMIFS('fuels and tailpipe emissions'!$C$10:$C$126,'fuels and tailpipe emissions'!$A$10:$A$126,'vehicles specifications'!$F33,'fuels and tailpipe emissions'!$B$10:$B$126,'vehicles specifications'!AZ$2)/1000*$AQ33</f>
        <v>1.9297766561345895E-6</v>
      </c>
      <c r="BA33" s="7">
        <f>SUMIFS('fuels and tailpipe emissions'!$C$10:$C$126,'fuels and tailpipe emissions'!$A$10:$A$126,'vehicles specifications'!$F33,'fuels and tailpipe emissions'!$B$10:$B$126,'vehicles specifications'!BA$2)/1000*$AQ33</f>
        <v>1.4471531938501332E-4</v>
      </c>
      <c r="BB33" s="7">
        <f>SUMIFS('fuels and tailpipe emissions'!$C$10:$C$126,'fuels and tailpipe emissions'!$A$10:$A$126,'vehicles specifications'!$F33,'fuels and tailpipe emissions'!$B$10:$B$126,'vehicles specifications'!BB$2)/1000*$AQ33</f>
        <v>1.1082707336180945E-5</v>
      </c>
      <c r="BC33" s="7">
        <f>SUMIFS('fuels and tailpipe emissions'!$C$10:$C$126,'fuels and tailpipe emissions'!$A$10:$A$126,'vehicles specifications'!$F33,'fuels and tailpipe emissions'!$B$10:$B$126,'vehicles specifications'!BC$2)/1000*$AQ33</f>
        <v>6.764621222214276E-4</v>
      </c>
      <c r="BD33" s="7">
        <f>SUMIFS('fuels and tailpipe emissions'!$C$10:$C$126,'fuels and tailpipe emissions'!$A$10:$A$126,'vehicles specifications'!$F33,'fuels and tailpipe emissions'!$B$10:$B$126,'vehicles specifications'!BD$2)/1000*$AQ33</f>
        <v>4.7699252207921172E-5</v>
      </c>
      <c r="BE33" s="7">
        <f>SUMIFS('fuels and tailpipe emissions'!$C$10:$C$126,'fuels and tailpipe emissions'!$A$10:$A$126,'vehicles specifications'!$F33,'fuels and tailpipe emissions'!$B$10:$B$126,'vehicles specifications'!BE$2)/1000*$AQ33</f>
        <v>9.7192833652503956E-6</v>
      </c>
      <c r="BF33" s="7">
        <f>SUMIFS('fuels and tailpipe emissions'!$C$10:$C$126,'fuels and tailpipe emissions'!$A$10:$A$126,'vehicles specifications'!$F33,'fuels and tailpipe emissions'!$B$10:$B$126,'vehicles specifications'!BF$2)/1000*$AQ33</f>
        <v>7.8352376667557047E-5</v>
      </c>
      <c r="BG33" s="7">
        <f>SUMIFS('fuels and tailpipe emissions'!$C$10:$C$126,'fuels and tailpipe emissions'!$A$10:$A$126,'vehicles specifications'!$F33,'fuels and tailpipe emissions'!$B$10:$B$126,'vehicles specifications'!BG$2)/1000*$AQ33</f>
        <v>3.2148398823520539E-5</v>
      </c>
      <c r="BH33" s="7">
        <f>SUMIFS('fuels and tailpipe emissions'!$C$10:$C$126,'fuels and tailpipe emissions'!$A$10:$A$126,'vehicles specifications'!$F33,'fuels and tailpipe emissions'!$B$10:$B$126,'vehicles specifications'!BH$2)/1000*$AQ33</f>
        <v>2.4073917258543288E-5</v>
      </c>
      <c r="BI33" s="7">
        <f>SUMIFS('fuels and tailpipe emissions'!$C$10:$C$126,'fuels and tailpipe emissions'!$A$10:$A$126,'vehicles specifications'!$F33,'fuels and tailpipe emissions'!$B$10:$B$126,'vehicles specifications'!BI$2)/1000*$AQ33</f>
        <v>1.7046127748285311E-5</v>
      </c>
      <c r="BJ33" s="7">
        <f>SUMIFS('fuels and tailpipe emissions'!$C$10:$C$126,'fuels and tailpipe emissions'!$A$10:$A$126,'vehicles specifications'!$F33,'fuels and tailpipe emissions'!$B$10:$B$126,'vehicles specifications'!BJ$2)/1000*$AQ33</f>
        <v>1.1065030292746605E-5</v>
      </c>
      <c r="BK33" s="7">
        <f>SUMIFS('fuels and tailpipe emissions'!$C$10:$C$126,'fuels and tailpipe emissions'!$A$10:$A$126,'vehicles specifications'!$F33,'fuels and tailpipe emissions'!$B$10:$B$126,'vehicles specifications'!BK$2)/1000*$AQ33</f>
        <v>1.0915502856358137E-4</v>
      </c>
      <c r="BL33" s="7">
        <f>SUMIFS('fuels and tailpipe emissions'!$C$10:$C$126,'fuels and tailpipe emissions'!$A$10:$A$126,'vehicles specifications'!$F33,'fuels and tailpipe emissions'!$B$10:$B$126,'vehicles specifications'!BL$2)/1000*$AQ33</f>
        <v>5.711948070039463E-5</v>
      </c>
      <c r="BM33" s="7">
        <f>SUMIFS('fuels and tailpipe emissions'!$C$10:$C$126,'fuels and tailpipe emissions'!$A$10:$A$126,'vehicles specifications'!$F33,'fuels and tailpipe emissions'!$B$10:$B$126,'vehicles specifications'!BM$2)/1000*$AQ33</f>
        <v>1.6448018002731441E-6</v>
      </c>
      <c r="BN33" s="7">
        <f>SUMIFS('fuels and tailpipe emissions'!$C$10:$C$126,'fuels and tailpipe emissions'!$A$10:$A$126,'vehicles specifications'!$F33,'fuels and tailpipe emissions'!$B$10:$B$126,'vehicles specifications'!BN$2)/1000*$AQ33</f>
        <v>8.3884891813930333E-5</v>
      </c>
      <c r="BO33" s="7">
        <f>SUMIFS('fuels and tailpipe emissions'!$C$10:$C$126,'fuels and tailpipe emissions'!$A$10:$A$126,'vehicles specifications'!$F33,'fuels and tailpipe emissions'!$B$10:$B$126,'vehicles specifications'!BO$2)/1000*$AQ33</f>
        <v>1.6418112515453746E-4</v>
      </c>
      <c r="BP33" s="7">
        <f>SUMIFS('fuels and tailpipe emissions'!$C$10:$C$126,'fuels and tailpipe emissions'!$A$10:$A$126,'vehicles specifications'!$F33,'fuels and tailpipe emissions'!$B$10:$B$126,'vehicles specifications'!BP$2)/1000*$AQ33</f>
        <v>8.1193397958937932E-5</v>
      </c>
      <c r="BQ33" s="7">
        <f>SUMIFS('fuels and tailpipe emissions'!$C$10:$C$126,'fuels and tailpipe emissions'!$A$10:$A$126,'vehicles specifications'!$F33,'fuels and tailpipe emissions'!$B$10:$B$126,'vehicles specifications'!BQ$2)/1000*$AQ33</f>
        <v>3.3793200623793681E-5</v>
      </c>
      <c r="BR33" s="7">
        <f>SUMIFS('fuels and tailpipe emissions'!$C$10:$C$126,'fuels and tailpipe emissions'!$A$10:$A$126,'vehicles specifications'!$F33,'fuels and tailpipe emissions'!$B$10:$B$126,'vehicles specifications'!BR$2)/1000*$AQ33</f>
        <v>2.5419664186039499E-5</v>
      </c>
      <c r="BS33" s="7">
        <f>SUMIFS('fuels and tailpipe emissions'!$C$10:$C$126,'fuels and tailpipe emissions'!$A$10:$A$126,'vehicles specifications'!$F33,'fuels and tailpipe emissions'!$B$10:$B$126,'vehicles specifications'!BS$2)/1000*$AQ33</f>
        <v>1.1214557729135072E-5</v>
      </c>
      <c r="BT33" s="7">
        <f>SUMIFS('fuels and tailpipe emissions'!$C$10:$C$126,'fuels and tailpipe emissions'!$A$10:$A$126,'vehicles specifications'!$F33,'fuels and tailpipe emissions'!$B$10:$B$126,'vehicles specifications'!BT$2)/1000*$AQ33</f>
        <v>3.2896036005462881E-6</v>
      </c>
      <c r="BU33" s="7">
        <f>SUMIFS('fuels and tailpipe emissions'!$C$10:$C$126,'fuels and tailpipe emissions'!$A$10:$A$126,'vehicles specifications'!$F33,'fuels and tailpipe emissions'!$B$10:$B$126,'vehicles specifications'!BU$2)/1000*$AQ33</f>
        <v>9.1211736196965272E-6</v>
      </c>
      <c r="BV33" s="7">
        <f>SUMIFS('fuels and tailpipe emissions'!$C$10:$C$126,'fuels and tailpipe emissions'!$A$10:$A$126,'vehicles specifications'!$F33,'fuels and tailpipe emissions'!$B$10:$B$126,'vehicles specifications'!BV$2)/1000*$AQ33</f>
        <v>0</v>
      </c>
      <c r="BW33" s="7">
        <f>SUMIFS('fuels and tailpipe emissions'!$C$10:$C$126,'fuels and tailpipe emissions'!$A$10:$A$126,'vehicles specifications'!$F33,'fuels and tailpipe emissions'!$B$10:$B$126,'vehicles specifications'!BW$2)/1000*$AQ33</f>
        <v>2.8410212913808851E-6</v>
      </c>
      <c r="BX33" s="7">
        <f>SUMIFS('fuels and tailpipe emissions'!$C$10:$C$126,'fuels and tailpipe emissions'!$A$10:$A$126,'vehicles specifications'!$F33,'fuels and tailpipe emissions'!$B$10:$B$126,'vehicles specifications'!BX$2)/1000*$AQ33</f>
        <v>1.5102271075235228E-5</v>
      </c>
      <c r="BY33" s="7">
        <f>SUMIFS('fuels and tailpipe emissions'!$C$10:$C$126,'fuels and tailpipe emissions'!$A$10:$A$126,'vehicles specifications'!$F33,'fuels and tailpipe emissions'!$B$10:$B$126,'vehicles specifications'!BY$2)/1000*$AQ33</f>
        <v>4.8011345312641045E-8</v>
      </c>
      <c r="BZ33" s="7">
        <f>SUMIFS('fuels and tailpipe emissions'!$C$10:$C$126,'fuels and tailpipe emissions'!$A$10:$A$126,'vehicles specifications'!$F33,'fuels and tailpipe emissions'!$B$10:$B$126,'vehicles specifications'!BZ$2)/1000*$AQ33</f>
        <v>4.138909078675952E-10</v>
      </c>
      <c r="CA33" s="7">
        <f>SUMIFS('fuels and tailpipe emissions'!$C$10:$C$126,'fuels and tailpipe emissions'!$A$10:$A$126,'vehicles specifications'!$F33,'fuels and tailpipe emissions'!$B$10:$B$126,'vehicles specifications'!CA$2)/1000*$AQ33</f>
        <v>2.7592727191173013E-10</v>
      </c>
      <c r="CB33" s="7">
        <f>SUMIFS('fuels and tailpipe emissions'!$C$10:$C$126,'fuels and tailpipe emissions'!$A$10:$A$126,'vehicles specifications'!$F33,'fuels and tailpipe emissions'!$B$10:$B$126,'vehicles specifications'!CB$2)/1000*$AQ33</f>
        <v>2.9800145366466856E-6</v>
      </c>
      <c r="CC33" s="7">
        <f>SUMIFS('fuels and tailpipe emissions'!$C$10:$C$126,'fuels and tailpipe emissions'!$A$10:$A$126,'vehicles specifications'!$F33,'fuels and tailpipe emissions'!$B$10:$B$126,'vehicles specifications'!CC$2)/1000*$AQ33</f>
        <v>5.7944727101463327E-8</v>
      </c>
      <c r="CD33" s="7">
        <f>SUMIFS('fuels and tailpipe emissions'!$C$10:$C$126,'fuels and tailpipe emissions'!$A$10:$A$126,'vehicles specifications'!$F33,'fuels and tailpipe emissions'!$B$10:$B$126,'vehicles specifications'!CD$2)/1000*$AQ33</f>
        <v>1.7935272674262461E-8</v>
      </c>
      <c r="CE33" s="7">
        <f>SUMIFS('fuels and tailpipe emissions'!$C$10:$C$126,'fuels and tailpipe emissions'!$A$10:$A$126,'vehicles specifications'!$F33,'fuels and tailpipe emissions'!$B$10:$B$126,'vehicles specifications'!CE$2)/1000*$AQ33</f>
        <v>2.2074181752938417E-8</v>
      </c>
      <c r="CF33" s="7">
        <f>SUMIFS('fuels and tailpipe emissions'!$C$10:$C$126,'fuels and tailpipe emissions'!$A$10:$A$126,'vehicles specifications'!$F33,'fuels and tailpipe emissions'!$B$10:$B$126,'vehicles specifications'!CF$2)/1000*$AQ33</f>
        <v>4.414836350587682E-11</v>
      </c>
      <c r="CG33" s="7">
        <f>SUMIFS('fuels and tailpipe emissions'!$C$10:$C$126,'fuels and tailpipe emissions'!$A$10:$A$126,'vehicles specifications'!$F33,'fuels and tailpipe emissions'!$B$10:$B$126,'vehicles specifications'!CG$2)/1000*$AQ33</f>
        <v>1.2002836328160261E-8</v>
      </c>
      <c r="CH33" s="7">
        <f>SUMIFS('fuels and tailpipe emissions'!$C$10:$C$126,'fuels and tailpipe emissions'!$A$10:$A$126,'vehicles specifications'!$F33,'fuels and tailpipe emissions'!$B$10:$B$126,'vehicles specifications'!CH$2)/1000*$AQ33</f>
        <v>1.4900072683233429E-8</v>
      </c>
      <c r="CI33" s="7">
        <f>VLOOKUP(B33,'abrasion emissions'!$A$4:$D$32,4,FALSE)</f>
        <v>6.0000000000000002E-6</v>
      </c>
      <c r="CJ33" s="7">
        <f>VLOOKUP(B33,'abrasion emissions'!$A$4:$D$32,2,FALSE)</f>
        <v>6.3939999999999993E-6</v>
      </c>
      <c r="CK33" s="7">
        <f>VLOOKUP(B33,'abrasion emissions'!$A$4:$D$32,3,FALSE)</f>
        <v>6.1789999999999996E-6</v>
      </c>
    </row>
    <row r="34" spans="1:89" s="21" customFormat="1" x14ac:dyDescent="0.3">
      <c r="A34" s="21" t="str">
        <f t="shared" si="17"/>
        <v>Scooter, gasoline, &lt;4kW, EURO-4 - 2016 - CH</v>
      </c>
      <c r="B34" s="21" t="s">
        <v>676</v>
      </c>
      <c r="D34" s="21">
        <v>2016</v>
      </c>
      <c r="E34" s="21" t="s">
        <v>37</v>
      </c>
      <c r="F34" s="21" t="s">
        <v>148</v>
      </c>
      <c r="G34" s="21" t="s">
        <v>39</v>
      </c>
      <c r="H34" s="21" t="s">
        <v>35</v>
      </c>
      <c r="J34" s="21">
        <v>33400</v>
      </c>
      <c r="K34" s="21">
        <v>2553</v>
      </c>
      <c r="L34" s="2">
        <f t="shared" si="18"/>
        <v>13.082647865256561</v>
      </c>
      <c r="M34" s="21">
        <v>1</v>
      </c>
      <c r="N34" s="21">
        <v>70</v>
      </c>
      <c r="O34" s="21">
        <v>4</v>
      </c>
      <c r="P34" s="2">
        <f t="shared" si="19"/>
        <v>92.097499999999997</v>
      </c>
      <c r="Q34" s="2">
        <f t="shared" si="20"/>
        <v>166.0975</v>
      </c>
      <c r="R34" s="21">
        <v>2.8</v>
      </c>
      <c r="S34" s="2">
        <v>53</v>
      </c>
      <c r="T34" s="1">
        <v>-0.02</v>
      </c>
      <c r="U34" s="2">
        <f t="shared" si="21"/>
        <v>54.06</v>
      </c>
      <c r="V34" s="21">
        <v>32</v>
      </c>
      <c r="W34" s="21">
        <v>0</v>
      </c>
      <c r="X34" s="3">
        <v>0</v>
      </c>
      <c r="Y34" s="1">
        <v>0.8</v>
      </c>
      <c r="Z34" s="3">
        <f t="shared" si="22"/>
        <v>0</v>
      </c>
      <c r="AA34" s="3">
        <v>0</v>
      </c>
      <c r="AB34" s="3">
        <v>0</v>
      </c>
      <c r="AC34" s="3">
        <f t="shared" si="23"/>
        <v>0</v>
      </c>
      <c r="AD34" s="3">
        <v>0</v>
      </c>
      <c r="AE34" s="3">
        <v>7</v>
      </c>
      <c r="AF34" s="21">
        <f>AE34*'fuels and tailpipe emissions'!$B$3</f>
        <v>5.25</v>
      </c>
      <c r="AG34" s="2">
        <f>AF34*'fuels and tailpipe emissions'!$C$3</f>
        <v>61.833333333333329</v>
      </c>
      <c r="AH34" s="3">
        <f t="shared" si="24"/>
        <v>0.78749999999999998</v>
      </c>
      <c r="AI34" s="21">
        <v>0</v>
      </c>
      <c r="AJ34" s="21">
        <v>0</v>
      </c>
      <c r="AK34" s="21">
        <f t="shared" si="25"/>
        <v>1</v>
      </c>
      <c r="AL34" s="21">
        <f t="shared" si="26"/>
        <v>8.9194357499999995E-5</v>
      </c>
      <c r="AM34" s="21">
        <v>1.2899999999999999E-3</v>
      </c>
      <c r="AN34" s="2">
        <f t="shared" si="27"/>
        <v>54.06</v>
      </c>
      <c r="AO34" s="2">
        <f t="shared" si="28"/>
        <v>32</v>
      </c>
      <c r="AP34" s="2">
        <f t="shared" si="29"/>
        <v>0</v>
      </c>
      <c r="AQ34" s="6">
        <v>1.3015437354326893</v>
      </c>
      <c r="AR34" s="6" t="str">
        <f>IF($H34="BEV",SUMPRODUCT(#REF!,#REF!),"")</f>
        <v/>
      </c>
      <c r="AS34" s="2">
        <f>SUM(Z34,AG34)/(SUM(AQ34:AR34)/3.6)</f>
        <v>171.02767578224956</v>
      </c>
      <c r="AT34" s="5">
        <f>IF($H34="ICEV-p",$AQ34/('fuels and tailpipe emissions'!$C$3*3.6)*'fuels and tailpipe emissions'!$D$3,"")</f>
        <v>9.7615780157451718E-2</v>
      </c>
      <c r="AU34" s="7">
        <f>IF($H34="ICEV-p",$AQ34/('fuels and tailpipe emissions'!$C$3*3.6)*'fuels and tailpipe emissions'!$E$3,"")</f>
        <v>4.9114857940856198E-7</v>
      </c>
      <c r="AV34" s="7">
        <f>SUMIFS('fuels and tailpipe emissions'!$C$10:$C$126,'fuels and tailpipe emissions'!$A$10:$A$126,'vehicles specifications'!$F34,'fuels and tailpipe emissions'!$B$10:$B$126,'vehicles specifications'!AV$2)/1000*$AQ34</f>
        <v>7.9136690390500312E-5</v>
      </c>
      <c r="AW34" s="7">
        <f>SUMIFS('fuels and tailpipe emissions'!$C$10:$C$126,'fuels and tailpipe emissions'!$A$10:$A$126,'vehicles specifications'!$F34,'fuels and tailpipe emissions'!$B$10:$B$126,'vehicles specifications'!AW$2)/1000*$AQ34</f>
        <v>3.588292254001202E-5</v>
      </c>
      <c r="AX34" s="7">
        <f>SUMIFS('fuels and tailpipe emissions'!$C$10:$C$126,'fuels and tailpipe emissions'!$A$10:$A$126,'vehicles specifications'!$F34,'fuels and tailpipe emissions'!$B$10:$B$126,'vehicles specifications'!AX$2)/1000*$AQ34</f>
        <v>3.7942543736010467E-3</v>
      </c>
      <c r="AY34" s="7">
        <f>SUMIFS('fuels and tailpipe emissions'!$C$10:$C$126,'fuels and tailpipe emissions'!$A$10:$A$126,'vehicles specifications'!$F34,'fuels and tailpipe emissions'!$B$10:$B$126,'vehicles specifications'!AY$2)/1000*$AQ34</f>
        <v>1.8205440152213105E-6</v>
      </c>
      <c r="AZ34" s="7">
        <f>SUMIFS('fuels and tailpipe emissions'!$C$10:$C$126,'fuels and tailpipe emissions'!$A$10:$A$126,'vehicles specifications'!$F34,'fuels and tailpipe emissions'!$B$10:$B$126,'vehicles specifications'!AZ$2)/1000*$AQ34</f>
        <v>1.8205440152213105E-6</v>
      </c>
      <c r="BA34" s="7">
        <f>SUMIFS('fuels and tailpipe emissions'!$C$10:$C$126,'fuels and tailpipe emissions'!$A$10:$A$126,'vehicles specifications'!$F34,'fuels and tailpipe emissions'!$B$10:$B$126,'vehicles specifications'!BA$2)/1000*$AQ34</f>
        <v>1.3652388621227673E-4</v>
      </c>
      <c r="BB34" s="7">
        <f>SUMIFS('fuels and tailpipe emissions'!$C$10:$C$126,'fuels and tailpipe emissions'!$A$10:$A$126,'vehicles specifications'!$F34,'fuels and tailpipe emissions'!$B$10:$B$126,'vehicles specifications'!BB$2)/1000*$AQ34</f>
        <v>1.0455384279415984E-5</v>
      </c>
      <c r="BC34" s="7">
        <f>SUMIFS('fuels and tailpipe emissions'!$C$10:$C$126,'fuels and tailpipe emissions'!$A$10:$A$126,'vehicles specifications'!$F34,'fuels and tailpipe emissions'!$B$10:$B$126,'vehicles specifications'!BC$2)/1000*$AQ34</f>
        <v>6.3817181341644107E-4</v>
      </c>
      <c r="BD34" s="7">
        <f>SUMIFS('fuels and tailpipe emissions'!$C$10:$C$126,'fuels and tailpipe emissions'!$A$10:$A$126,'vehicles specifications'!$F34,'fuels and tailpipe emissions'!$B$10:$B$126,'vehicles specifications'!BD$2)/1000*$AQ34</f>
        <v>4.499929453577469E-5</v>
      </c>
      <c r="BE34" s="7">
        <f>SUMIFS('fuels and tailpipe emissions'!$C$10:$C$126,'fuels and tailpipe emissions'!$A$10:$A$126,'vehicles specifications'!$F34,'fuels and tailpipe emissions'!$B$10:$B$126,'vehicles specifications'!BE$2)/1000*$AQ34</f>
        <v>9.169135250236222E-6</v>
      </c>
      <c r="BF34" s="7">
        <f>SUMIFS('fuels and tailpipe emissions'!$C$10:$C$126,'fuels and tailpipe emissions'!$A$10:$A$126,'vehicles specifications'!$F34,'fuels and tailpipe emissions'!$B$10:$B$126,'vehicles specifications'!BF$2)/1000*$AQ34</f>
        <v>7.3917336478827389E-5</v>
      </c>
      <c r="BG34" s="7">
        <f>SUMIFS('fuels and tailpipe emissions'!$C$10:$C$126,'fuels and tailpipe emissions'!$A$10:$A$126,'vehicles specifications'!$F34,'fuels and tailpipe emissions'!$B$10:$B$126,'vehicles specifications'!BG$2)/1000*$AQ34</f>
        <v>3.0328678135396732E-5</v>
      </c>
      <c r="BH34" s="7">
        <f>SUMIFS('fuels and tailpipe emissions'!$C$10:$C$126,'fuels and tailpipe emissions'!$A$10:$A$126,'vehicles specifications'!$F34,'fuels and tailpipe emissions'!$B$10:$B$126,'vehicles specifications'!BH$2)/1000*$AQ34</f>
        <v>2.2711242696738953E-5</v>
      </c>
      <c r="BI34" s="7">
        <f>SUMIFS('fuels and tailpipe emissions'!$C$10:$C$126,'fuels and tailpipe emissions'!$A$10:$A$126,'vehicles specifications'!$F34,'fuels and tailpipe emissions'!$B$10:$B$126,'vehicles specifications'!BI$2)/1000*$AQ34</f>
        <v>1.6081252592721991E-5</v>
      </c>
      <c r="BJ34" s="7">
        <f>SUMIFS('fuels and tailpipe emissions'!$C$10:$C$126,'fuels and tailpipe emissions'!$A$10:$A$126,'vehicles specifications'!$F34,'fuels and tailpipe emissions'!$B$10:$B$126,'vehicles specifications'!BJ$2)/1000*$AQ34</f>
        <v>1.0438707823345854E-5</v>
      </c>
      <c r="BK34" s="7">
        <f>SUMIFS('fuels and tailpipe emissions'!$C$10:$C$126,'fuels and tailpipe emissions'!$A$10:$A$126,'vehicles specifications'!$F34,'fuels and tailpipe emissions'!$B$10:$B$126,'vehicles specifications'!BK$2)/1000*$AQ34</f>
        <v>1.029764420411145E-4</v>
      </c>
      <c r="BL34" s="7">
        <f>SUMIFS('fuels and tailpipe emissions'!$C$10:$C$126,'fuels and tailpipe emissions'!$A$10:$A$126,'vehicles specifications'!$F34,'fuels and tailpipe emissions'!$B$10:$B$126,'vehicles specifications'!BL$2)/1000*$AQ34</f>
        <v>5.3886302547542099E-5</v>
      </c>
      <c r="BM34" s="7">
        <f>SUMIFS('fuels and tailpipe emissions'!$C$10:$C$126,'fuels and tailpipe emissions'!$A$10:$A$126,'vehicles specifications'!$F34,'fuels and tailpipe emissions'!$B$10:$B$126,'vehicles specifications'!BM$2)/1000*$AQ34</f>
        <v>1.5516998115784377E-6</v>
      </c>
      <c r="BN34" s="7">
        <f>SUMIFS('fuels and tailpipe emissions'!$C$10:$C$126,'fuels and tailpipe emissions'!$A$10:$A$126,'vehicles specifications'!$F34,'fuels and tailpipe emissions'!$B$10:$B$126,'vehicles specifications'!BN$2)/1000*$AQ34</f>
        <v>7.9136690390500312E-5</v>
      </c>
      <c r="BO34" s="7">
        <f>SUMIFS('fuels and tailpipe emissions'!$C$10:$C$126,'fuels and tailpipe emissions'!$A$10:$A$126,'vehicles specifications'!$F34,'fuels and tailpipe emissions'!$B$10:$B$126,'vehicles specifications'!BO$2)/1000*$AQ34</f>
        <v>1.5488785391937494E-4</v>
      </c>
      <c r="BP34" s="7">
        <f>SUMIFS('fuels and tailpipe emissions'!$C$10:$C$126,'fuels and tailpipe emissions'!$A$10:$A$126,'vehicles specifications'!$F34,'fuels and tailpipe emissions'!$B$10:$B$126,'vehicles specifications'!BP$2)/1000*$AQ34</f>
        <v>7.6597545244281066E-5</v>
      </c>
      <c r="BQ34" s="7">
        <f>SUMIFS('fuels and tailpipe emissions'!$C$10:$C$126,'fuels and tailpipe emissions'!$A$10:$A$126,'vehicles specifications'!$F34,'fuels and tailpipe emissions'!$B$10:$B$126,'vehicles specifications'!BQ$2)/1000*$AQ34</f>
        <v>3.1880377946975169E-5</v>
      </c>
      <c r="BR34" s="7">
        <f>SUMIFS('fuels and tailpipe emissions'!$C$10:$C$126,'fuels and tailpipe emissions'!$A$10:$A$126,'vehicles specifications'!$F34,'fuels and tailpipe emissions'!$B$10:$B$126,'vehicles specifications'!BR$2)/1000*$AQ34</f>
        <v>2.3980815269848583E-5</v>
      </c>
      <c r="BS34" s="7">
        <f>SUMIFS('fuels and tailpipe emissions'!$C$10:$C$126,'fuels and tailpipe emissions'!$A$10:$A$126,'vehicles specifications'!$F34,'fuels and tailpipe emissions'!$B$10:$B$126,'vehicles specifications'!BS$2)/1000*$AQ34</f>
        <v>1.0579771442580255E-5</v>
      </c>
      <c r="BT34" s="7">
        <f>SUMIFS('fuels and tailpipe emissions'!$C$10:$C$126,'fuels and tailpipe emissions'!$A$10:$A$126,'vehicles specifications'!$F34,'fuels and tailpipe emissions'!$B$10:$B$126,'vehicles specifications'!BT$2)/1000*$AQ34</f>
        <v>3.1033996231568754E-6</v>
      </c>
      <c r="BU34" s="7">
        <f>SUMIFS('fuels and tailpipe emissions'!$C$10:$C$126,'fuels and tailpipe emissions'!$A$10:$A$126,'vehicles specifications'!$F34,'fuels and tailpipe emissions'!$B$10:$B$126,'vehicles specifications'!BU$2)/1000*$AQ34</f>
        <v>8.6048807732986105E-6</v>
      </c>
      <c r="BV34" s="7">
        <f>SUMIFS('fuels and tailpipe emissions'!$C$10:$C$126,'fuels and tailpipe emissions'!$A$10:$A$126,'vehicles specifications'!$F34,'fuels and tailpipe emissions'!$B$10:$B$126,'vehicles specifications'!BV$2)/1000*$AQ34</f>
        <v>0</v>
      </c>
      <c r="BW34" s="7">
        <f>SUMIFS('fuels and tailpipe emissions'!$C$10:$C$126,'fuels and tailpipe emissions'!$A$10:$A$126,'vehicles specifications'!$F34,'fuels and tailpipe emissions'!$B$10:$B$126,'vehicles specifications'!BW$2)/1000*$AQ34</f>
        <v>2.680208765453665E-6</v>
      </c>
      <c r="BX34" s="7">
        <f>SUMIFS('fuels and tailpipe emissions'!$C$10:$C$126,'fuels and tailpipe emissions'!$A$10:$A$126,'vehicles specifications'!$F34,'fuels and tailpipe emissions'!$B$10:$B$126,'vehicles specifications'!BX$2)/1000*$AQ34</f>
        <v>1.4247425542674743E-5</v>
      </c>
      <c r="BY34" s="7">
        <f>SUMIFS('fuels and tailpipe emissions'!$C$10:$C$126,'fuels and tailpipe emissions'!$A$10:$A$126,'vehicles specifications'!$F34,'fuels and tailpipe emissions'!$B$10:$B$126,'vehicles specifications'!BY$2)/1000*$AQ34</f>
        <v>4.5293721993057591E-8</v>
      </c>
      <c r="BZ34" s="7">
        <f>SUMIFS('fuels and tailpipe emissions'!$C$10:$C$126,'fuels and tailpipe emissions'!$A$10:$A$126,'vehicles specifications'!$F34,'fuels and tailpipe emissions'!$B$10:$B$126,'vehicles specifications'!BZ$2)/1000*$AQ34</f>
        <v>3.9046312062980679E-10</v>
      </c>
      <c r="CA34" s="7">
        <f>SUMIFS('fuels and tailpipe emissions'!$C$10:$C$126,'fuels and tailpipe emissions'!$A$10:$A$126,'vehicles specifications'!$F34,'fuels and tailpipe emissions'!$B$10:$B$126,'vehicles specifications'!CA$2)/1000*$AQ34</f>
        <v>2.6030874708653786E-10</v>
      </c>
      <c r="CB34" s="7">
        <f>SUMIFS('fuels and tailpipe emissions'!$C$10:$C$126,'fuels and tailpipe emissions'!$A$10:$A$126,'vehicles specifications'!$F34,'fuels and tailpipe emissions'!$B$10:$B$126,'vehicles specifications'!CB$2)/1000*$AQ34</f>
        <v>2.8113344685346088E-6</v>
      </c>
      <c r="CC34" s="7">
        <f>SUMIFS('fuels and tailpipe emissions'!$C$10:$C$126,'fuels and tailpipe emissions'!$A$10:$A$126,'vehicles specifications'!$F34,'fuels and tailpipe emissions'!$B$10:$B$126,'vehicles specifications'!CC$2)/1000*$AQ34</f>
        <v>5.4664836888172948E-8</v>
      </c>
      <c r="CD34" s="7">
        <f>SUMIFS('fuels and tailpipe emissions'!$C$10:$C$126,'fuels and tailpipe emissions'!$A$10:$A$126,'vehicles specifications'!$F34,'fuels and tailpipe emissions'!$B$10:$B$126,'vehicles specifications'!CD$2)/1000*$AQ34</f>
        <v>1.6920068560624963E-8</v>
      </c>
      <c r="CE34" s="7">
        <f>SUMIFS('fuels and tailpipe emissions'!$C$10:$C$126,'fuels and tailpipe emissions'!$A$10:$A$126,'vehicles specifications'!$F34,'fuels and tailpipe emissions'!$B$10:$B$126,'vehicles specifications'!CE$2)/1000*$AQ34</f>
        <v>2.0824699766923036E-8</v>
      </c>
      <c r="CF34" s="7">
        <f>SUMIFS('fuels and tailpipe emissions'!$C$10:$C$126,'fuels and tailpipe emissions'!$A$10:$A$126,'vehicles specifications'!$F34,'fuels and tailpipe emissions'!$B$10:$B$126,'vehicles specifications'!CF$2)/1000*$AQ34</f>
        <v>4.1649399533846058E-11</v>
      </c>
      <c r="CG34" s="7">
        <f>SUMIFS('fuels and tailpipe emissions'!$C$10:$C$126,'fuels and tailpipe emissions'!$A$10:$A$126,'vehicles specifications'!$F34,'fuels and tailpipe emissions'!$B$10:$B$126,'vehicles specifications'!CG$2)/1000*$AQ34</f>
        <v>1.1323430498264398E-8</v>
      </c>
      <c r="CH34" s="7">
        <f>SUMIFS('fuels and tailpipe emissions'!$C$10:$C$126,'fuels and tailpipe emissions'!$A$10:$A$126,'vehicles specifications'!$F34,'fuels and tailpipe emissions'!$B$10:$B$126,'vehicles specifications'!CH$2)/1000*$AQ34</f>
        <v>1.4056672342673046E-8</v>
      </c>
      <c r="CI34" s="7">
        <f>VLOOKUP(B34,'abrasion emissions'!$A$4:$D$32,4,FALSE)</f>
        <v>6.0000000000000002E-6</v>
      </c>
      <c r="CJ34" s="7">
        <f>VLOOKUP(B34,'abrasion emissions'!$A$4:$D$32,2,FALSE)</f>
        <v>6.3939999999999993E-6</v>
      </c>
      <c r="CK34" s="7">
        <f>VLOOKUP(B34,'abrasion emissions'!$A$4:$D$32,3,FALSE)</f>
        <v>6.1789999999999996E-6</v>
      </c>
    </row>
    <row r="35" spans="1:89" s="21" customFormat="1" x14ac:dyDescent="0.3">
      <c r="A35" s="21" t="str">
        <f t="shared" si="17"/>
        <v>Scooter, gasoline, &lt;4kW, EURO-5 - 2020 - CH</v>
      </c>
      <c r="B35" s="21" t="s">
        <v>677</v>
      </c>
      <c r="D35" s="21">
        <v>2020</v>
      </c>
      <c r="E35" s="21" t="s">
        <v>37</v>
      </c>
      <c r="F35" s="21" t="s">
        <v>149</v>
      </c>
      <c r="G35" s="21" t="s">
        <v>39</v>
      </c>
      <c r="H35" s="21" t="s">
        <v>35</v>
      </c>
      <c r="J35" s="21">
        <v>33400</v>
      </c>
      <c r="K35" s="21">
        <v>2553</v>
      </c>
      <c r="L35" s="2">
        <f t="shared" si="18"/>
        <v>13.082647865256561</v>
      </c>
      <c r="M35" s="21">
        <v>1</v>
      </c>
      <c r="N35" s="21">
        <v>70</v>
      </c>
      <c r="O35" s="21">
        <v>4</v>
      </c>
      <c r="P35" s="2">
        <f t="shared" si="19"/>
        <v>91.037499999999994</v>
      </c>
      <c r="Q35" s="2">
        <f t="shared" si="20"/>
        <v>165.03749999999999</v>
      </c>
      <c r="R35" s="21">
        <v>2.8</v>
      </c>
      <c r="S35" s="2">
        <v>53</v>
      </c>
      <c r="T35" s="1">
        <v>0</v>
      </c>
      <c r="U35" s="2">
        <f t="shared" si="21"/>
        <v>53</v>
      </c>
      <c r="V35" s="21">
        <v>32</v>
      </c>
      <c r="W35" s="21">
        <v>0</v>
      </c>
      <c r="X35" s="3">
        <v>0</v>
      </c>
      <c r="Y35" s="1">
        <v>0.8</v>
      </c>
      <c r="Z35" s="3">
        <f t="shared" si="22"/>
        <v>0</v>
      </c>
      <c r="AA35" s="3">
        <v>0</v>
      </c>
      <c r="AB35" s="3">
        <v>0</v>
      </c>
      <c r="AC35" s="3">
        <f t="shared" si="23"/>
        <v>0</v>
      </c>
      <c r="AD35" s="3">
        <v>0</v>
      </c>
      <c r="AE35" s="3">
        <v>7</v>
      </c>
      <c r="AF35" s="21">
        <f>AE35*'fuels and tailpipe emissions'!$B$3</f>
        <v>5.25</v>
      </c>
      <c r="AG35" s="2">
        <f>AF35*'fuels and tailpipe emissions'!$C$3</f>
        <v>61.833333333333329</v>
      </c>
      <c r="AH35" s="3">
        <f t="shared" si="24"/>
        <v>0.78749999999999998</v>
      </c>
      <c r="AI35" s="21">
        <v>0</v>
      </c>
      <c r="AJ35" s="21">
        <v>0</v>
      </c>
      <c r="AK35" s="21">
        <f t="shared" si="25"/>
        <v>1</v>
      </c>
      <c r="AL35" s="21">
        <f t="shared" si="26"/>
        <v>8.8625137499999992E-5</v>
      </c>
      <c r="AM35" s="21">
        <v>1.2899999999999999E-3</v>
      </c>
      <c r="AN35" s="2">
        <f t="shared" si="27"/>
        <v>53</v>
      </c>
      <c r="AO35" s="2">
        <f t="shared" si="28"/>
        <v>32</v>
      </c>
      <c r="AP35" s="2">
        <f t="shared" si="29"/>
        <v>0</v>
      </c>
      <c r="AQ35" s="6">
        <v>1.2885282980783623</v>
      </c>
      <c r="AR35" s="6" t="str">
        <f>IF($H35="BEV",SUMPRODUCT(#REF!,#REF!),"")</f>
        <v/>
      </c>
      <c r="AS35" s="2">
        <f>SUM(Z35,AG35)/(SUM(AQ35:AR35)/3.6)</f>
        <v>172.75522806287836</v>
      </c>
      <c r="AT35" s="5">
        <f>IF($H35="ICEV-p",$AQ35/('fuels and tailpipe emissions'!$C$3*3.6)*'fuels and tailpipe emissions'!$D$3,"")</f>
        <v>9.6639622355877183E-2</v>
      </c>
      <c r="AU35" s="7">
        <f>IF($H35="ICEV-p",$AQ35/('fuels and tailpipe emissions'!$C$3*3.6)*'fuels and tailpipe emissions'!$E$3,"")</f>
        <v>4.8623709361447633E-7</v>
      </c>
      <c r="AV35" s="7">
        <f>SUMIFS('fuels and tailpipe emissions'!$C$10:$C$126,'fuels and tailpipe emissions'!$A$10:$A$126,'vehicles specifications'!$F35,'fuels and tailpipe emissions'!$B$10:$B$126,'vehicles specifications'!AV$2)/1000*$AQ35</f>
        <v>7.8345323486595295E-5</v>
      </c>
      <c r="AW35" s="7">
        <f>SUMIFS('fuels and tailpipe emissions'!$C$10:$C$126,'fuels and tailpipe emissions'!$A$10:$A$126,'vehicles specifications'!$F35,'fuels and tailpipe emissions'!$B$10:$B$126,'vehicles specifications'!AW$2)/1000*$AQ35</f>
        <v>3.5524093314611898E-5</v>
      </c>
      <c r="AX35" s="7">
        <f>SUMIFS('fuels and tailpipe emissions'!$C$10:$C$126,'fuels and tailpipe emissions'!$A$10:$A$126,'vehicles specifications'!$F35,'fuels and tailpipe emissions'!$B$10:$B$126,'vehicles specifications'!AX$2)/1000*$AQ35</f>
        <v>3.7563118298650361E-3</v>
      </c>
      <c r="AY35" s="7">
        <f>SUMIFS('fuels and tailpipe emissions'!$C$10:$C$126,'fuels and tailpipe emissions'!$A$10:$A$126,'vehicles specifications'!$F35,'fuels and tailpipe emissions'!$B$10:$B$126,'vehicles specifications'!AY$2)/1000*$AQ35</f>
        <v>1.8023385750690973E-6</v>
      </c>
      <c r="AZ35" s="7">
        <f>SUMIFS('fuels and tailpipe emissions'!$C$10:$C$126,'fuels and tailpipe emissions'!$A$10:$A$126,'vehicles specifications'!$F35,'fuels and tailpipe emissions'!$B$10:$B$126,'vehicles specifications'!AZ$2)/1000*$AQ35</f>
        <v>1.8023385750690973E-6</v>
      </c>
      <c r="BA35" s="7">
        <f>SUMIFS('fuels and tailpipe emissions'!$C$10:$C$126,'fuels and tailpipe emissions'!$A$10:$A$126,'vehicles specifications'!$F35,'fuels and tailpipe emissions'!$B$10:$B$126,'vehicles specifications'!BA$2)/1000*$AQ35</f>
        <v>1.3515864735015395E-4</v>
      </c>
      <c r="BB35" s="7">
        <f>SUMIFS('fuels and tailpipe emissions'!$C$10:$C$126,'fuels and tailpipe emissions'!$A$10:$A$126,'vehicles specifications'!$F35,'fuels and tailpipe emissions'!$B$10:$B$126,'vehicles specifications'!BB$2)/1000*$AQ35</f>
        <v>1.0350830436621825E-5</v>
      </c>
      <c r="BC35" s="7">
        <f>SUMIFS('fuels and tailpipe emissions'!$C$10:$C$126,'fuels and tailpipe emissions'!$A$10:$A$126,'vehicles specifications'!$F35,'fuels and tailpipe emissions'!$B$10:$B$126,'vehicles specifications'!BC$2)/1000*$AQ35</f>
        <v>6.3179009528227666E-4</v>
      </c>
      <c r="BD35" s="7">
        <f>SUMIFS('fuels and tailpipe emissions'!$C$10:$C$126,'fuels and tailpipe emissions'!$A$10:$A$126,'vehicles specifications'!$F35,'fuels and tailpipe emissions'!$B$10:$B$126,'vehicles specifications'!BD$2)/1000*$AQ35</f>
        <v>4.4549301590416936E-5</v>
      </c>
      <c r="BE35" s="7">
        <f>SUMIFS('fuels and tailpipe emissions'!$C$10:$C$126,'fuels and tailpipe emissions'!$A$10:$A$126,'vehicles specifications'!$F35,'fuels and tailpipe emissions'!$B$10:$B$126,'vehicles specifications'!BE$2)/1000*$AQ35</f>
        <v>9.0774438977338592E-6</v>
      </c>
      <c r="BF35" s="7">
        <f>SUMIFS('fuels and tailpipe emissions'!$C$10:$C$126,'fuels and tailpipe emissions'!$A$10:$A$126,'vehicles specifications'!$F35,'fuels and tailpipe emissions'!$B$10:$B$126,'vehicles specifications'!BF$2)/1000*$AQ35</f>
        <v>7.3178163114039118E-5</v>
      </c>
      <c r="BG35" s="7">
        <f>SUMIFS('fuels and tailpipe emissions'!$C$10:$C$126,'fuels and tailpipe emissions'!$A$10:$A$126,'vehicles specifications'!$F35,'fuels and tailpipe emissions'!$B$10:$B$126,'vehicles specifications'!BG$2)/1000*$AQ35</f>
        <v>3.0025391354042764E-5</v>
      </c>
      <c r="BH35" s="7">
        <f>SUMIFS('fuels and tailpipe emissions'!$C$10:$C$126,'fuels and tailpipe emissions'!$A$10:$A$126,'vehicles specifications'!$F35,'fuels and tailpipe emissions'!$B$10:$B$126,'vehicles specifications'!BH$2)/1000*$AQ35</f>
        <v>2.248413026977156E-5</v>
      </c>
      <c r="BI35" s="7">
        <f>SUMIFS('fuels and tailpipe emissions'!$C$10:$C$126,'fuels and tailpipe emissions'!$A$10:$A$126,'vehicles specifications'!$F35,'fuels and tailpipe emissions'!$B$10:$B$126,'vehicles specifications'!BI$2)/1000*$AQ35</f>
        <v>1.5920440066794769E-5</v>
      </c>
      <c r="BJ35" s="7">
        <f>SUMIFS('fuels and tailpipe emissions'!$C$10:$C$126,'fuels and tailpipe emissions'!$A$10:$A$126,'vehicles specifications'!$F35,'fuels and tailpipe emissions'!$B$10:$B$126,'vehicles specifications'!BJ$2)/1000*$AQ35</f>
        <v>1.0334320745112393E-5</v>
      </c>
      <c r="BK35" s="7">
        <f>SUMIFS('fuels and tailpipe emissions'!$C$10:$C$126,'fuels and tailpipe emissions'!$A$10:$A$126,'vehicles specifications'!$F35,'fuels and tailpipe emissions'!$B$10:$B$126,'vehicles specifications'!BK$2)/1000*$AQ35</f>
        <v>1.0194667762070334E-4</v>
      </c>
      <c r="BL35" s="7">
        <f>SUMIFS('fuels and tailpipe emissions'!$C$10:$C$126,'fuels and tailpipe emissions'!$A$10:$A$126,'vehicles specifications'!$F35,'fuels and tailpipe emissions'!$B$10:$B$126,'vehicles specifications'!BL$2)/1000*$AQ35</f>
        <v>5.3347439522066674E-5</v>
      </c>
      <c r="BM35" s="7">
        <f>SUMIFS('fuels and tailpipe emissions'!$C$10:$C$126,'fuels and tailpipe emissions'!$A$10:$A$126,'vehicles specifications'!$F35,'fuels and tailpipe emissions'!$B$10:$B$126,'vehicles specifications'!BM$2)/1000*$AQ35</f>
        <v>1.5361828134626532E-6</v>
      </c>
      <c r="BN35" s="7">
        <f>SUMIFS('fuels and tailpipe emissions'!$C$10:$C$126,'fuels and tailpipe emissions'!$A$10:$A$126,'vehicles specifications'!$F35,'fuels and tailpipe emissions'!$B$10:$B$126,'vehicles specifications'!BN$2)/1000*$AQ35</f>
        <v>7.8345323486595295E-5</v>
      </c>
      <c r="BO35" s="7">
        <f>SUMIFS('fuels and tailpipe emissions'!$C$10:$C$126,'fuels and tailpipe emissions'!$A$10:$A$126,'vehicles specifications'!$F35,'fuels and tailpipe emissions'!$B$10:$B$126,'vehicles specifications'!BO$2)/1000*$AQ35</f>
        <v>1.5333897538018121E-4</v>
      </c>
      <c r="BP35" s="7">
        <f>SUMIFS('fuels and tailpipe emissions'!$C$10:$C$126,'fuels and tailpipe emissions'!$A$10:$A$126,'vehicles specifications'!$F35,'fuels and tailpipe emissions'!$B$10:$B$126,'vehicles specifications'!BP$2)/1000*$AQ35</f>
        <v>7.583156979183825E-5</v>
      </c>
      <c r="BQ35" s="7">
        <f>SUMIFS('fuels and tailpipe emissions'!$C$10:$C$126,'fuels and tailpipe emissions'!$A$10:$A$126,'vehicles specifications'!$F35,'fuels and tailpipe emissions'!$B$10:$B$126,'vehicles specifications'!BQ$2)/1000*$AQ35</f>
        <v>3.1561574167505416E-5</v>
      </c>
      <c r="BR35" s="7">
        <f>SUMIFS('fuels and tailpipe emissions'!$C$10:$C$126,'fuels and tailpipe emissions'!$A$10:$A$126,'vehicles specifications'!$F35,'fuels and tailpipe emissions'!$B$10:$B$126,'vehicles specifications'!BR$2)/1000*$AQ35</f>
        <v>2.3741007117150096E-5</v>
      </c>
      <c r="BS35" s="7">
        <f>SUMIFS('fuels and tailpipe emissions'!$C$10:$C$126,'fuels and tailpipe emissions'!$A$10:$A$126,'vehicles specifications'!$F35,'fuels and tailpipe emissions'!$B$10:$B$126,'vehicles specifications'!BS$2)/1000*$AQ35</f>
        <v>1.0473973728154453E-5</v>
      </c>
      <c r="BT35" s="7">
        <f>SUMIFS('fuels and tailpipe emissions'!$C$10:$C$126,'fuels and tailpipe emissions'!$A$10:$A$126,'vehicles specifications'!$F35,'fuels and tailpipe emissions'!$B$10:$B$126,'vehicles specifications'!BT$2)/1000*$AQ35</f>
        <v>3.0723656269253065E-6</v>
      </c>
      <c r="BU35" s="7">
        <f>SUMIFS('fuels and tailpipe emissions'!$C$10:$C$126,'fuels and tailpipe emissions'!$A$10:$A$126,'vehicles specifications'!$F35,'fuels and tailpipe emissions'!$B$10:$B$126,'vehicles specifications'!BU$2)/1000*$AQ35</f>
        <v>8.5188319655656235E-6</v>
      </c>
      <c r="BV35" s="7">
        <f>SUMIFS('fuels and tailpipe emissions'!$C$10:$C$126,'fuels and tailpipe emissions'!$A$10:$A$126,'vehicles specifications'!$F35,'fuels and tailpipe emissions'!$B$10:$B$126,'vehicles specifications'!BV$2)/1000*$AQ35</f>
        <v>0</v>
      </c>
      <c r="BW35" s="7">
        <f>SUMIFS('fuels and tailpipe emissions'!$C$10:$C$126,'fuels and tailpipe emissions'!$A$10:$A$126,'vehicles specifications'!$F35,'fuels and tailpipe emissions'!$B$10:$B$126,'vehicles specifications'!BW$2)/1000*$AQ35</f>
        <v>2.653406677799128E-6</v>
      </c>
      <c r="BX35" s="7">
        <f>SUMIFS('fuels and tailpipe emissions'!$C$10:$C$126,'fuels and tailpipe emissions'!$A$10:$A$126,'vehicles specifications'!$F35,'fuels and tailpipe emissions'!$B$10:$B$126,'vehicles specifications'!BX$2)/1000*$AQ35</f>
        <v>1.4104951287247996E-5</v>
      </c>
      <c r="BY35" s="7">
        <f>SUMIFS('fuels and tailpipe emissions'!$C$10:$C$126,'fuels and tailpipe emissions'!$A$10:$A$126,'vehicles specifications'!$F35,'fuels and tailpipe emissions'!$B$10:$B$126,'vehicles specifications'!BY$2)/1000*$AQ35</f>
        <v>4.4840784773127008E-8</v>
      </c>
      <c r="BZ35" s="7">
        <f>SUMIFS('fuels and tailpipe emissions'!$C$10:$C$126,'fuels and tailpipe emissions'!$A$10:$A$126,'vehicles specifications'!$F35,'fuels and tailpipe emissions'!$B$10:$B$126,'vehicles specifications'!BZ$2)/1000*$AQ35</f>
        <v>3.8655848942350867E-10</v>
      </c>
      <c r="CA35" s="7">
        <f>SUMIFS('fuels and tailpipe emissions'!$C$10:$C$126,'fuels and tailpipe emissions'!$A$10:$A$126,'vehicles specifications'!$F35,'fuels and tailpipe emissions'!$B$10:$B$126,'vehicles specifications'!CA$2)/1000*$AQ35</f>
        <v>2.5770565961567248E-10</v>
      </c>
      <c r="CB35" s="7">
        <f>SUMIFS('fuels and tailpipe emissions'!$C$10:$C$126,'fuels and tailpipe emissions'!$A$10:$A$126,'vehicles specifications'!$F35,'fuels and tailpipe emissions'!$B$10:$B$126,'vehicles specifications'!CB$2)/1000*$AQ35</f>
        <v>2.7832211238492627E-6</v>
      </c>
      <c r="CC35" s="7">
        <f>SUMIFS('fuels and tailpipe emissions'!$C$10:$C$126,'fuels and tailpipe emissions'!$A$10:$A$126,'vehicles specifications'!$F35,'fuels and tailpipe emissions'!$B$10:$B$126,'vehicles specifications'!CC$2)/1000*$AQ35</f>
        <v>5.4118188519291219E-8</v>
      </c>
      <c r="CD35" s="7">
        <f>SUMIFS('fuels and tailpipe emissions'!$C$10:$C$126,'fuels and tailpipe emissions'!$A$10:$A$126,'vehicles specifications'!$F35,'fuels and tailpipe emissions'!$B$10:$B$126,'vehicles specifications'!CD$2)/1000*$AQ35</f>
        <v>1.675086787501871E-8</v>
      </c>
      <c r="CE35" s="7">
        <f>SUMIFS('fuels and tailpipe emissions'!$C$10:$C$126,'fuels and tailpipe emissions'!$A$10:$A$126,'vehicles specifications'!$F35,'fuels and tailpipe emissions'!$B$10:$B$126,'vehicles specifications'!CE$2)/1000*$AQ35</f>
        <v>2.0616452769253802E-8</v>
      </c>
      <c r="CF35" s="7">
        <f>SUMIFS('fuels and tailpipe emissions'!$C$10:$C$126,'fuels and tailpipe emissions'!$A$10:$A$126,'vehicles specifications'!$F35,'fuels and tailpipe emissions'!$B$10:$B$126,'vehicles specifications'!CF$2)/1000*$AQ35</f>
        <v>4.1232905538507593E-11</v>
      </c>
      <c r="CG35" s="7">
        <f>SUMIFS('fuels and tailpipe emissions'!$C$10:$C$126,'fuels and tailpipe emissions'!$A$10:$A$126,'vehicles specifications'!$F35,'fuels and tailpipe emissions'!$B$10:$B$126,'vehicles specifications'!CG$2)/1000*$AQ35</f>
        <v>1.1210196193281752E-8</v>
      </c>
      <c r="CH35" s="7">
        <f>SUMIFS('fuels and tailpipe emissions'!$C$10:$C$126,'fuels and tailpipe emissions'!$A$10:$A$126,'vehicles specifications'!$F35,'fuels and tailpipe emissions'!$B$10:$B$126,'vehicles specifications'!CH$2)/1000*$AQ35</f>
        <v>1.3916105619246315E-8</v>
      </c>
      <c r="CI35" s="7">
        <f>VLOOKUP(B35,'abrasion emissions'!$A$4:$D$32,4,FALSE)</f>
        <v>6.0000000000000002E-6</v>
      </c>
      <c r="CJ35" s="7">
        <f>VLOOKUP(B35,'abrasion emissions'!$A$4:$D$32,2,FALSE)</f>
        <v>6.3939999999999993E-6</v>
      </c>
      <c r="CK35" s="7">
        <f>VLOOKUP(B35,'abrasion emissions'!$A$4:$D$32,3,FALSE)</f>
        <v>6.1789999999999996E-6</v>
      </c>
    </row>
    <row r="36" spans="1:89" s="21" customFormat="1" x14ac:dyDescent="0.3">
      <c r="A36" s="21" t="str">
        <f t="shared" si="17"/>
        <v>Scooter, gasoline, &lt;4kW, EURO-5 - 2030 - CH</v>
      </c>
      <c r="B36" s="21" t="s">
        <v>677</v>
      </c>
      <c r="D36" s="21">
        <v>2030</v>
      </c>
      <c r="E36" s="21" t="s">
        <v>37</v>
      </c>
      <c r="F36" s="21" t="s">
        <v>149</v>
      </c>
      <c r="G36" s="21" t="s">
        <v>39</v>
      </c>
      <c r="H36" s="21" t="s">
        <v>35</v>
      </c>
      <c r="J36" s="21">
        <v>33400</v>
      </c>
      <c r="K36" s="21">
        <v>2553</v>
      </c>
      <c r="L36" s="2">
        <f t="shared" si="18"/>
        <v>13.082647865256561</v>
      </c>
      <c r="M36" s="21">
        <v>1</v>
      </c>
      <c r="N36" s="21">
        <v>70</v>
      </c>
      <c r="O36" s="21">
        <v>4</v>
      </c>
      <c r="P36" s="2">
        <f t="shared" si="19"/>
        <v>88.447499999999991</v>
      </c>
      <c r="Q36" s="2">
        <f t="shared" si="20"/>
        <v>162.44749999999999</v>
      </c>
      <c r="R36" s="21">
        <v>2.8</v>
      </c>
      <c r="S36" s="2">
        <v>53</v>
      </c>
      <c r="T36" s="1">
        <v>0.03</v>
      </c>
      <c r="U36" s="2">
        <f t="shared" si="21"/>
        <v>51.41</v>
      </c>
      <c r="V36" s="21">
        <v>31</v>
      </c>
      <c r="W36" s="21">
        <v>0</v>
      </c>
      <c r="X36" s="3">
        <v>0</v>
      </c>
      <c r="Y36" s="1">
        <v>0.8</v>
      </c>
      <c r="Z36" s="3">
        <f t="shared" si="22"/>
        <v>0</v>
      </c>
      <c r="AA36" s="3">
        <v>0</v>
      </c>
      <c r="AB36" s="3">
        <v>0</v>
      </c>
      <c r="AC36" s="3">
        <f t="shared" si="23"/>
        <v>0</v>
      </c>
      <c r="AD36" s="3">
        <v>0</v>
      </c>
      <c r="AE36" s="3">
        <v>7</v>
      </c>
      <c r="AF36" s="21">
        <f>AE36*'fuels and tailpipe emissions'!$B$3</f>
        <v>5.25</v>
      </c>
      <c r="AG36" s="2">
        <f>AF36*'fuels and tailpipe emissions'!$C$3</f>
        <v>61.833333333333329</v>
      </c>
      <c r="AH36" s="3">
        <f t="shared" si="24"/>
        <v>0.78749999999999998</v>
      </c>
      <c r="AI36" s="21">
        <v>0</v>
      </c>
      <c r="AJ36" s="21">
        <v>0</v>
      </c>
      <c r="AK36" s="21">
        <f t="shared" si="25"/>
        <v>1</v>
      </c>
      <c r="AL36" s="21">
        <f t="shared" si="26"/>
        <v>8.723430749999999E-5</v>
      </c>
      <c r="AM36" s="21">
        <v>1.2899999999999999E-3</v>
      </c>
      <c r="AN36" s="2">
        <f t="shared" si="27"/>
        <v>51.41</v>
      </c>
      <c r="AO36" s="2">
        <f t="shared" si="28"/>
        <v>31</v>
      </c>
      <c r="AP36" s="2">
        <f t="shared" si="29"/>
        <v>0</v>
      </c>
      <c r="AQ36" s="6">
        <v>1.2756430150975786</v>
      </c>
      <c r="AR36" s="6" t="str">
        <f>IF($H36="BEV",SUMPRODUCT(#REF!,#REF!),"")</f>
        <v/>
      </c>
      <c r="AS36" s="2">
        <f>SUM(Z36,AG36)/(SUM(AQ36:AR36)/3.6)</f>
        <v>174.5002303665438</v>
      </c>
      <c r="AT36" s="5">
        <f>IF($H36="ICEV-p",$AQ36/('fuels and tailpipe emissions'!$C$3*3.6)*'fuels and tailpipe emissions'!$D$3,"")</f>
        <v>9.5673226132318406E-2</v>
      </c>
      <c r="AU36" s="7">
        <f>IF($H36="ICEV-p",$AQ36/('fuels and tailpipe emissions'!$C$3*3.6)*'fuels and tailpipe emissions'!$E$3,"")</f>
        <v>4.8137472267833157E-7</v>
      </c>
      <c r="AV36" s="7">
        <f>SUMIFS('fuels and tailpipe emissions'!$C$10:$C$126,'fuels and tailpipe emissions'!$A$10:$A$126,'vehicles specifications'!$F36,'fuels and tailpipe emissions'!$B$10:$B$126,'vehicles specifications'!AV$2)/1000*$AQ36</f>
        <v>7.7561870251729333E-5</v>
      </c>
      <c r="AW36" s="7">
        <f>SUMIFS('fuels and tailpipe emissions'!$C$10:$C$126,'fuels and tailpipe emissions'!$A$10:$A$126,'vehicles specifications'!$F36,'fuels and tailpipe emissions'!$B$10:$B$126,'vehicles specifications'!AW$2)/1000*$AQ36</f>
        <v>3.516885238146577E-5</v>
      </c>
      <c r="AX36" s="7">
        <f>SUMIFS('fuels and tailpipe emissions'!$C$10:$C$126,'fuels and tailpipe emissions'!$A$10:$A$126,'vehicles specifications'!$F36,'fuels and tailpipe emissions'!$B$10:$B$126,'vehicles specifications'!AX$2)/1000*$AQ36</f>
        <v>3.7187487115663853E-3</v>
      </c>
      <c r="AY36" s="7">
        <f>SUMIFS('fuels and tailpipe emissions'!$C$10:$C$126,'fuels and tailpipe emissions'!$A$10:$A$126,'vehicles specifications'!$F36,'fuels and tailpipe emissions'!$B$10:$B$126,'vehicles specifications'!AY$2)/1000*$AQ36</f>
        <v>1.7843151893184062E-6</v>
      </c>
      <c r="AZ36" s="7">
        <f>SUMIFS('fuels and tailpipe emissions'!$C$10:$C$126,'fuels and tailpipe emissions'!$A$10:$A$126,'vehicles specifications'!$F36,'fuels and tailpipe emissions'!$B$10:$B$126,'vehicles specifications'!AZ$2)/1000*$AQ36</f>
        <v>1.7843151893184062E-6</v>
      </c>
      <c r="BA36" s="7">
        <f>SUMIFS('fuels and tailpipe emissions'!$C$10:$C$126,'fuels and tailpipe emissions'!$A$10:$A$126,'vehicles specifications'!$F36,'fuels and tailpipe emissions'!$B$10:$B$126,'vehicles specifications'!BA$2)/1000*$AQ36</f>
        <v>1.3380706087665241E-4</v>
      </c>
      <c r="BB36" s="7">
        <f>SUMIFS('fuels and tailpipe emissions'!$C$10:$C$126,'fuels and tailpipe emissions'!$A$10:$A$126,'vehicles specifications'!$F36,'fuels and tailpipe emissions'!$B$10:$B$126,'vehicles specifications'!BB$2)/1000*$AQ36</f>
        <v>1.0247322132255605E-5</v>
      </c>
      <c r="BC36" s="7">
        <f>SUMIFS('fuels and tailpipe emissions'!$C$10:$C$126,'fuels and tailpipe emissions'!$A$10:$A$126,'vehicles specifications'!$F36,'fuels and tailpipe emissions'!$B$10:$B$126,'vehicles specifications'!BC$2)/1000*$AQ36</f>
        <v>6.2547219432945386E-4</v>
      </c>
      <c r="BD36" s="7">
        <f>SUMIFS('fuels and tailpipe emissions'!$C$10:$C$126,'fuels and tailpipe emissions'!$A$10:$A$126,'vehicles specifications'!$F36,'fuels and tailpipe emissions'!$B$10:$B$126,'vehicles specifications'!BD$2)/1000*$AQ36</f>
        <v>4.4103808574512766E-5</v>
      </c>
      <c r="BE36" s="7">
        <f>SUMIFS('fuels and tailpipe emissions'!$C$10:$C$126,'fuels and tailpipe emissions'!$A$10:$A$126,'vehicles specifications'!$F36,'fuels and tailpipe emissions'!$B$10:$B$126,'vehicles specifications'!BE$2)/1000*$AQ36</f>
        <v>8.9866694587565205E-6</v>
      </c>
      <c r="BF36" s="7">
        <f>SUMIFS('fuels and tailpipe emissions'!$C$10:$C$126,'fuels and tailpipe emissions'!$A$10:$A$126,'vehicles specifications'!$F36,'fuels and tailpipe emissions'!$B$10:$B$126,'vehicles specifications'!BF$2)/1000*$AQ36</f>
        <v>7.2446381482898714E-5</v>
      </c>
      <c r="BG36" s="7">
        <f>SUMIFS('fuels and tailpipe emissions'!$C$10:$C$126,'fuels and tailpipe emissions'!$A$10:$A$126,'vehicles specifications'!$F36,'fuels and tailpipe emissions'!$B$10:$B$126,'vehicles specifications'!BG$2)/1000*$AQ36</f>
        <v>2.9725137440502336E-5</v>
      </c>
      <c r="BH36" s="7">
        <f>SUMIFS('fuels and tailpipe emissions'!$C$10:$C$126,'fuels and tailpipe emissions'!$A$10:$A$126,'vehicles specifications'!$F36,'fuels and tailpipe emissions'!$B$10:$B$126,'vehicles specifications'!BH$2)/1000*$AQ36</f>
        <v>2.2259288967073843E-5</v>
      </c>
      <c r="BI36" s="7">
        <f>SUMIFS('fuels and tailpipe emissions'!$C$10:$C$126,'fuels and tailpipe emissions'!$A$10:$A$126,'vehicles specifications'!$F36,'fuels and tailpipe emissions'!$B$10:$B$126,'vehicles specifications'!BI$2)/1000*$AQ36</f>
        <v>1.5761235666126822E-5</v>
      </c>
      <c r="BJ36" s="7">
        <f>SUMIFS('fuels and tailpipe emissions'!$C$10:$C$126,'fuels and tailpipe emissions'!$A$10:$A$126,'vehicles specifications'!$F36,'fuels and tailpipe emissions'!$B$10:$B$126,'vehicles specifications'!BJ$2)/1000*$AQ36</f>
        <v>1.0230977537661269E-5</v>
      </c>
      <c r="BK36" s="7">
        <f>SUMIFS('fuels and tailpipe emissions'!$C$10:$C$126,'fuels and tailpipe emissions'!$A$10:$A$126,'vehicles specifications'!$F36,'fuels and tailpipe emissions'!$B$10:$B$126,'vehicles specifications'!BK$2)/1000*$AQ36</f>
        <v>1.009272108444963E-4</v>
      </c>
      <c r="BL36" s="7">
        <f>SUMIFS('fuels and tailpipe emissions'!$C$10:$C$126,'fuels and tailpipe emissions'!$A$10:$A$126,'vehicles specifications'!$F36,'fuels and tailpipe emissions'!$B$10:$B$126,'vehicles specifications'!BL$2)/1000*$AQ36</f>
        <v>5.2813965126846007E-5</v>
      </c>
      <c r="BM36" s="7">
        <f>SUMIFS('fuels and tailpipe emissions'!$C$10:$C$126,'fuels and tailpipe emissions'!$A$10:$A$126,'vehicles specifications'!$F36,'fuels and tailpipe emissions'!$B$10:$B$126,'vehicles specifications'!BM$2)/1000*$AQ36</f>
        <v>1.5208209853280265E-6</v>
      </c>
      <c r="BN36" s="7">
        <f>SUMIFS('fuels and tailpipe emissions'!$C$10:$C$126,'fuels and tailpipe emissions'!$A$10:$A$126,'vehicles specifications'!$F36,'fuels and tailpipe emissions'!$B$10:$B$126,'vehicles specifications'!BN$2)/1000*$AQ36</f>
        <v>7.7561870251729333E-5</v>
      </c>
      <c r="BO36" s="7">
        <f>SUMIFS('fuels and tailpipe emissions'!$C$10:$C$126,'fuels and tailpipe emissions'!$A$10:$A$126,'vehicles specifications'!$F36,'fuels and tailpipe emissions'!$B$10:$B$126,'vehicles specifications'!BO$2)/1000*$AQ36</f>
        <v>1.5180558562637937E-4</v>
      </c>
      <c r="BP36" s="7">
        <f>SUMIFS('fuels and tailpipe emissions'!$C$10:$C$126,'fuels and tailpipe emissions'!$A$10:$A$126,'vehicles specifications'!$F36,'fuels and tailpipe emissions'!$B$10:$B$126,'vehicles specifications'!BP$2)/1000*$AQ36</f>
        <v>7.5073254093919859E-5</v>
      </c>
      <c r="BQ36" s="7">
        <f>SUMIFS('fuels and tailpipe emissions'!$C$10:$C$126,'fuels and tailpipe emissions'!$A$10:$A$126,'vehicles specifications'!$F36,'fuels and tailpipe emissions'!$B$10:$B$126,'vehicles specifications'!BQ$2)/1000*$AQ36</f>
        <v>3.1245958425830361E-5</v>
      </c>
      <c r="BR36" s="7">
        <f>SUMIFS('fuels and tailpipe emissions'!$C$10:$C$126,'fuels and tailpipe emissions'!$A$10:$A$126,'vehicles specifications'!$F36,'fuels and tailpipe emissions'!$B$10:$B$126,'vehicles specifications'!BR$2)/1000*$AQ36</f>
        <v>2.3503597045978593E-5</v>
      </c>
      <c r="BS36" s="7">
        <f>SUMIFS('fuels and tailpipe emissions'!$C$10:$C$126,'fuels and tailpipe emissions'!$A$10:$A$126,'vehicles specifications'!$F36,'fuels and tailpipe emissions'!$B$10:$B$126,'vehicles specifications'!BS$2)/1000*$AQ36</f>
        <v>1.0369233990872907E-5</v>
      </c>
      <c r="BT36" s="7">
        <f>SUMIFS('fuels and tailpipe emissions'!$C$10:$C$126,'fuels and tailpipe emissions'!$A$10:$A$126,'vehicles specifications'!$F36,'fuels and tailpipe emissions'!$B$10:$B$126,'vehicles specifications'!BT$2)/1000*$AQ36</f>
        <v>3.0416419706560531E-6</v>
      </c>
      <c r="BU36" s="7">
        <f>SUMIFS('fuels and tailpipe emissions'!$C$10:$C$126,'fuels and tailpipe emissions'!$A$10:$A$126,'vehicles specifications'!$F36,'fuels and tailpipe emissions'!$B$10:$B$126,'vehicles specifications'!BU$2)/1000*$AQ36</f>
        <v>8.4336436459099656E-6</v>
      </c>
      <c r="BV36" s="7">
        <f>SUMIFS('fuels and tailpipe emissions'!$C$10:$C$126,'fuels and tailpipe emissions'!$A$10:$A$126,'vehicles specifications'!$F36,'fuels and tailpipe emissions'!$B$10:$B$126,'vehicles specifications'!BV$2)/1000*$AQ36</f>
        <v>0</v>
      </c>
      <c r="BW36" s="7">
        <f>SUMIFS('fuels and tailpipe emissions'!$C$10:$C$126,'fuels and tailpipe emissions'!$A$10:$A$126,'vehicles specifications'!$F36,'fuels and tailpipe emissions'!$B$10:$B$126,'vehicles specifications'!BW$2)/1000*$AQ36</f>
        <v>2.6268726110211365E-6</v>
      </c>
      <c r="BX36" s="7">
        <f>SUMIFS('fuels and tailpipe emissions'!$C$10:$C$126,'fuels and tailpipe emissions'!$A$10:$A$126,'vehicles specifications'!$F36,'fuels and tailpipe emissions'!$B$10:$B$126,'vehicles specifications'!BX$2)/1000*$AQ36</f>
        <v>1.3963901774375514E-5</v>
      </c>
      <c r="BY36" s="7">
        <f>SUMIFS('fuels and tailpipe emissions'!$C$10:$C$126,'fuels and tailpipe emissions'!$A$10:$A$126,'vehicles specifications'!$F36,'fuels and tailpipe emissions'!$B$10:$B$126,'vehicles specifications'!BY$2)/1000*$AQ36</f>
        <v>4.4392376925395736E-8</v>
      </c>
      <c r="BZ36" s="7">
        <f>SUMIFS('fuels and tailpipe emissions'!$C$10:$C$126,'fuels and tailpipe emissions'!$A$10:$A$126,'vehicles specifications'!$F36,'fuels and tailpipe emissions'!$B$10:$B$126,'vehicles specifications'!BZ$2)/1000*$AQ36</f>
        <v>3.826929045292736E-10</v>
      </c>
      <c r="CA36" s="7">
        <f>SUMIFS('fuels and tailpipe emissions'!$C$10:$C$126,'fuels and tailpipe emissions'!$A$10:$A$126,'vehicles specifications'!$F36,'fuels and tailpipe emissions'!$B$10:$B$126,'vehicles specifications'!CA$2)/1000*$AQ36</f>
        <v>2.5512860301951575E-10</v>
      </c>
      <c r="CB36" s="7">
        <f>SUMIFS('fuels and tailpipe emissions'!$C$10:$C$126,'fuels and tailpipe emissions'!$A$10:$A$126,'vehicles specifications'!$F36,'fuels and tailpipe emissions'!$B$10:$B$126,'vehicles specifications'!CB$2)/1000*$AQ36</f>
        <v>2.75538891261077E-6</v>
      </c>
      <c r="CC36" s="7">
        <f>SUMIFS('fuels and tailpipe emissions'!$C$10:$C$126,'fuels and tailpipe emissions'!$A$10:$A$126,'vehicles specifications'!$F36,'fuels and tailpipe emissions'!$B$10:$B$126,'vehicles specifications'!CC$2)/1000*$AQ36</f>
        <v>5.35770066340983E-8</v>
      </c>
      <c r="CD36" s="7">
        <f>SUMIFS('fuels and tailpipe emissions'!$C$10:$C$126,'fuels and tailpipe emissions'!$A$10:$A$126,'vehicles specifications'!$F36,'fuels and tailpipe emissions'!$B$10:$B$126,'vehicles specifications'!CD$2)/1000*$AQ36</f>
        <v>1.6583359196268521E-8</v>
      </c>
      <c r="CE36" s="7">
        <f>SUMIFS('fuels and tailpipe emissions'!$C$10:$C$126,'fuels and tailpipe emissions'!$A$10:$A$126,'vehicles specifications'!$F36,'fuels and tailpipe emissions'!$B$10:$B$126,'vehicles specifications'!CE$2)/1000*$AQ36</f>
        <v>2.0410288241561264E-8</v>
      </c>
      <c r="CF36" s="7">
        <f>SUMIFS('fuels and tailpipe emissions'!$C$10:$C$126,'fuels and tailpipe emissions'!$A$10:$A$126,'vehicles specifications'!$F36,'fuels and tailpipe emissions'!$B$10:$B$126,'vehicles specifications'!CF$2)/1000*$AQ36</f>
        <v>4.0820576483122511E-11</v>
      </c>
      <c r="CG36" s="7">
        <f>SUMIFS('fuels and tailpipe emissions'!$C$10:$C$126,'fuels and tailpipe emissions'!$A$10:$A$126,'vehicles specifications'!$F36,'fuels and tailpipe emissions'!$B$10:$B$126,'vehicles specifications'!CG$2)/1000*$AQ36</f>
        <v>1.1098094231348934E-8</v>
      </c>
      <c r="CH36" s="7">
        <f>SUMIFS('fuels and tailpipe emissions'!$C$10:$C$126,'fuels and tailpipe emissions'!$A$10:$A$126,'vehicles specifications'!$F36,'fuels and tailpipe emissions'!$B$10:$B$126,'vehicles specifications'!CH$2)/1000*$AQ36</f>
        <v>1.3776944563053849E-8</v>
      </c>
      <c r="CI36" s="7">
        <f>VLOOKUP(B36,'abrasion emissions'!$A$4:$D$32,4,FALSE)</f>
        <v>6.0000000000000002E-6</v>
      </c>
      <c r="CJ36" s="7">
        <f>VLOOKUP(B36,'abrasion emissions'!$A$4:$D$32,2,FALSE)</f>
        <v>6.3939999999999993E-6</v>
      </c>
      <c r="CK36" s="7">
        <f>VLOOKUP(B36,'abrasion emissions'!$A$4:$D$32,3,FALSE)</f>
        <v>6.1789999999999996E-6</v>
      </c>
    </row>
    <row r="37" spans="1:89" s="21" customFormat="1" x14ac:dyDescent="0.3">
      <c r="A37" s="21" t="str">
        <f t="shared" si="17"/>
        <v>Scooter, gasoline, &lt;4kW, EURO-5 - 2040 - CH</v>
      </c>
      <c r="B37" s="21" t="s">
        <v>677</v>
      </c>
      <c r="D37" s="21">
        <v>2040</v>
      </c>
      <c r="E37" s="21" t="s">
        <v>37</v>
      </c>
      <c r="F37" s="21" t="s">
        <v>149</v>
      </c>
      <c r="G37" s="21" t="s">
        <v>39</v>
      </c>
      <c r="H37" s="21" t="s">
        <v>35</v>
      </c>
      <c r="J37" s="21">
        <v>33400</v>
      </c>
      <c r="K37" s="21">
        <v>2553</v>
      </c>
      <c r="L37" s="2">
        <f t="shared" si="18"/>
        <v>13.082647865256561</v>
      </c>
      <c r="M37" s="21">
        <v>1</v>
      </c>
      <c r="N37" s="21">
        <v>70</v>
      </c>
      <c r="O37" s="21">
        <v>4</v>
      </c>
      <c r="P37" s="2">
        <f t="shared" si="19"/>
        <v>86.487499999999983</v>
      </c>
      <c r="Q37" s="2">
        <f t="shared" si="20"/>
        <v>160.48749999999998</v>
      </c>
      <c r="R37" s="21">
        <v>2.8</v>
      </c>
      <c r="S37" s="2">
        <v>53</v>
      </c>
      <c r="T37" s="1">
        <v>0.05</v>
      </c>
      <c r="U37" s="2">
        <f t="shared" si="21"/>
        <v>50.349999999999994</v>
      </c>
      <c r="V37" s="21">
        <v>30.1</v>
      </c>
      <c r="W37" s="21">
        <v>0</v>
      </c>
      <c r="X37" s="3">
        <v>0</v>
      </c>
      <c r="Y37" s="1">
        <v>0.8</v>
      </c>
      <c r="Z37" s="3">
        <f t="shared" si="22"/>
        <v>0</v>
      </c>
      <c r="AA37" s="3">
        <v>0</v>
      </c>
      <c r="AB37" s="3">
        <v>0</v>
      </c>
      <c r="AC37" s="3">
        <f t="shared" si="23"/>
        <v>0</v>
      </c>
      <c r="AD37" s="3">
        <v>0</v>
      </c>
      <c r="AE37" s="3">
        <v>7</v>
      </c>
      <c r="AF37" s="21">
        <f>AE37*'fuels and tailpipe emissions'!$B$3</f>
        <v>5.25</v>
      </c>
      <c r="AG37" s="2">
        <f>AF37*'fuels and tailpipe emissions'!$C$3</f>
        <v>61.833333333333329</v>
      </c>
      <c r="AH37" s="3">
        <f t="shared" si="24"/>
        <v>0.78749999999999998</v>
      </c>
      <c r="AI37" s="21">
        <v>0</v>
      </c>
      <c r="AJ37" s="21">
        <v>0</v>
      </c>
      <c r="AK37" s="21">
        <f t="shared" si="25"/>
        <v>1</v>
      </c>
      <c r="AL37" s="21">
        <f t="shared" si="26"/>
        <v>8.6181787499999991E-5</v>
      </c>
      <c r="AM37" s="21">
        <v>1.2899999999999999E-3</v>
      </c>
      <c r="AN37" s="2">
        <f t="shared" si="27"/>
        <v>50.349999999999994</v>
      </c>
      <c r="AO37" s="2">
        <f t="shared" si="28"/>
        <v>30.1</v>
      </c>
      <c r="AP37" s="2">
        <f t="shared" si="29"/>
        <v>0</v>
      </c>
      <c r="AQ37" s="6">
        <v>1.2628865849466029</v>
      </c>
      <c r="AR37" s="6" t="str">
        <f>IF($H37="BEV",SUMPRODUCT(#REF!,#REF!),"")</f>
        <v/>
      </c>
      <c r="AS37" s="2">
        <f>SUM(Z37,AG37)/(SUM(AQ37:AR37)/3.6)</f>
        <v>176.26285895610485</v>
      </c>
      <c r="AT37" s="5">
        <f>IF($H37="ICEV-p",$AQ37/('fuels and tailpipe emissions'!$C$3*3.6)*'fuels and tailpipe emissions'!$D$3,"")</f>
        <v>9.4716493870995233E-2</v>
      </c>
      <c r="AU37" s="7">
        <f>IF($H37="ICEV-p",$AQ37/('fuels and tailpipe emissions'!$C$3*3.6)*'fuels and tailpipe emissions'!$E$3,"")</f>
        <v>4.7656097545154825E-7</v>
      </c>
      <c r="AV37" s="7">
        <f>SUMIFS('fuels and tailpipe emissions'!$C$10:$C$126,'fuels and tailpipe emissions'!$A$10:$A$126,'vehicles specifications'!$F37,'fuels and tailpipe emissions'!$B$10:$B$126,'vehicles specifications'!AV$2)/1000*$AQ37</f>
        <v>7.6786251549212049E-5</v>
      </c>
      <c r="AW37" s="7">
        <f>SUMIFS('fuels and tailpipe emissions'!$C$10:$C$126,'fuels and tailpipe emissions'!$A$10:$A$126,'vehicles specifications'!$F37,'fuels and tailpipe emissions'!$B$10:$B$126,'vehicles specifications'!AW$2)/1000*$AQ37</f>
        <v>3.4817163857651117E-5</v>
      </c>
      <c r="AX37" s="7">
        <f>SUMIFS('fuels and tailpipe emissions'!$C$10:$C$126,'fuels and tailpipe emissions'!$A$10:$A$126,'vehicles specifications'!$F37,'fuels and tailpipe emissions'!$B$10:$B$126,'vehicles specifications'!AX$2)/1000*$AQ37</f>
        <v>3.6815612244507218E-3</v>
      </c>
      <c r="AY37" s="7">
        <f>SUMIFS('fuels and tailpipe emissions'!$C$10:$C$126,'fuels and tailpipe emissions'!$A$10:$A$126,'vehicles specifications'!$F37,'fuels and tailpipe emissions'!$B$10:$B$126,'vehicles specifications'!AY$2)/1000*$AQ37</f>
        <v>1.7664720374252222E-6</v>
      </c>
      <c r="AZ37" s="7">
        <f>SUMIFS('fuels and tailpipe emissions'!$C$10:$C$126,'fuels and tailpipe emissions'!$A$10:$A$126,'vehicles specifications'!$F37,'fuels and tailpipe emissions'!$B$10:$B$126,'vehicles specifications'!AZ$2)/1000*$AQ37</f>
        <v>1.7664720374252222E-6</v>
      </c>
      <c r="BA37" s="7">
        <f>SUMIFS('fuels and tailpipe emissions'!$C$10:$C$126,'fuels and tailpipe emissions'!$A$10:$A$126,'vehicles specifications'!$F37,'fuels and tailpipe emissions'!$B$10:$B$126,'vehicles specifications'!BA$2)/1000*$AQ37</f>
        <v>1.3246899026788587E-4</v>
      </c>
      <c r="BB37" s="7">
        <f>SUMIFS('fuels and tailpipe emissions'!$C$10:$C$126,'fuels and tailpipe emissions'!$A$10:$A$126,'vehicles specifications'!$F37,'fuels and tailpipe emissions'!$B$10:$B$126,'vehicles specifications'!BB$2)/1000*$AQ37</f>
        <v>1.014484891093305E-5</v>
      </c>
      <c r="BC37" s="7">
        <f>SUMIFS('fuels and tailpipe emissions'!$C$10:$C$126,'fuels and tailpipe emissions'!$A$10:$A$126,'vehicles specifications'!$F37,'fuels and tailpipe emissions'!$B$10:$B$126,'vehicles specifications'!BC$2)/1000*$AQ37</f>
        <v>6.192174723861593E-4</v>
      </c>
      <c r="BD37" s="7">
        <f>SUMIFS('fuels and tailpipe emissions'!$C$10:$C$126,'fuels and tailpipe emissions'!$A$10:$A$126,'vehicles specifications'!$F37,'fuels and tailpipe emissions'!$B$10:$B$126,'vehicles specifications'!BD$2)/1000*$AQ37</f>
        <v>4.3662770488767639E-5</v>
      </c>
      <c r="BE37" s="7">
        <f>SUMIFS('fuels and tailpipe emissions'!$C$10:$C$126,'fuels and tailpipe emissions'!$A$10:$A$126,'vehicles specifications'!$F37,'fuels and tailpipe emissions'!$B$10:$B$126,'vehicles specifications'!BE$2)/1000*$AQ37</f>
        <v>8.8968027641689555E-6</v>
      </c>
      <c r="BF37" s="7">
        <f>SUMIFS('fuels and tailpipe emissions'!$C$10:$C$126,'fuels and tailpipe emissions'!$A$10:$A$126,'vehicles specifications'!$F37,'fuels and tailpipe emissions'!$B$10:$B$126,'vehicles specifications'!BF$2)/1000*$AQ37</f>
        <v>7.1721917668069734E-5</v>
      </c>
      <c r="BG37" s="7">
        <f>SUMIFS('fuels and tailpipe emissions'!$C$10:$C$126,'fuels and tailpipe emissions'!$A$10:$A$126,'vehicles specifications'!$F37,'fuels and tailpipe emissions'!$B$10:$B$126,'vehicles specifications'!BG$2)/1000*$AQ37</f>
        <v>2.9427886066097313E-5</v>
      </c>
      <c r="BH37" s="7">
        <f>SUMIFS('fuels and tailpipe emissions'!$C$10:$C$126,'fuels and tailpipe emissions'!$A$10:$A$126,'vehicles specifications'!$F37,'fuels and tailpipe emissions'!$B$10:$B$126,'vehicles specifications'!BH$2)/1000*$AQ37</f>
        <v>2.2036696077403105E-5</v>
      </c>
      <c r="BI37" s="7">
        <f>SUMIFS('fuels and tailpipe emissions'!$C$10:$C$126,'fuels and tailpipe emissions'!$A$10:$A$126,'vehicles specifications'!$F37,'fuels and tailpipe emissions'!$B$10:$B$126,'vehicles specifications'!BI$2)/1000*$AQ37</f>
        <v>1.5603623309465551E-5</v>
      </c>
      <c r="BJ37" s="7">
        <f>SUMIFS('fuels and tailpipe emissions'!$C$10:$C$126,'fuels and tailpipe emissions'!$A$10:$A$126,'vehicles specifications'!$F37,'fuels and tailpipe emissions'!$B$10:$B$126,'vehicles specifications'!BJ$2)/1000*$AQ37</f>
        <v>1.0128667762284656E-5</v>
      </c>
      <c r="BK37" s="7">
        <f>SUMIFS('fuels and tailpipe emissions'!$C$10:$C$126,'fuels and tailpipe emissions'!$A$10:$A$126,'vehicles specifications'!$F37,'fuels and tailpipe emissions'!$B$10:$B$126,'vehicles specifications'!BK$2)/1000*$AQ37</f>
        <v>9.9917938736051348E-5</v>
      </c>
      <c r="BL37" s="7">
        <f>SUMIFS('fuels and tailpipe emissions'!$C$10:$C$126,'fuels and tailpipe emissions'!$A$10:$A$126,'vehicles specifications'!$F37,'fuels and tailpipe emissions'!$B$10:$B$126,'vehicles specifications'!BL$2)/1000*$AQ37</f>
        <v>5.2285825475577546E-5</v>
      </c>
      <c r="BM37" s="7">
        <f>SUMIFS('fuels and tailpipe emissions'!$C$10:$C$126,'fuels and tailpipe emissions'!$A$10:$A$126,'vehicles specifications'!$F37,'fuels and tailpipe emissions'!$B$10:$B$126,'vehicles specifications'!BM$2)/1000*$AQ37</f>
        <v>1.5056127754747464E-6</v>
      </c>
      <c r="BN37" s="7">
        <f>SUMIFS('fuels and tailpipe emissions'!$C$10:$C$126,'fuels and tailpipe emissions'!$A$10:$A$126,'vehicles specifications'!$F37,'fuels and tailpipe emissions'!$B$10:$B$126,'vehicles specifications'!BN$2)/1000*$AQ37</f>
        <v>7.6786251549212049E-5</v>
      </c>
      <c r="BO37" s="7">
        <f>SUMIFS('fuels and tailpipe emissions'!$C$10:$C$126,'fuels and tailpipe emissions'!$A$10:$A$126,'vehicles specifications'!$F37,'fuels and tailpipe emissions'!$B$10:$B$126,'vehicles specifications'!BO$2)/1000*$AQ37</f>
        <v>1.5028752977011559E-4</v>
      </c>
      <c r="BP37" s="7">
        <f>SUMIFS('fuels and tailpipe emissions'!$C$10:$C$126,'fuels and tailpipe emissions'!$A$10:$A$126,'vehicles specifications'!$F37,'fuels and tailpipe emissions'!$B$10:$B$126,'vehicles specifications'!BP$2)/1000*$AQ37</f>
        <v>7.4322521552980665E-5</v>
      </c>
      <c r="BQ37" s="7">
        <f>SUMIFS('fuels and tailpipe emissions'!$C$10:$C$126,'fuels and tailpipe emissions'!$A$10:$A$126,'vehicles specifications'!$F37,'fuels and tailpipe emissions'!$B$10:$B$126,'vehicles specifications'!BQ$2)/1000*$AQ37</f>
        <v>3.0933498841572057E-5</v>
      </c>
      <c r="BR37" s="7">
        <f>SUMIFS('fuels and tailpipe emissions'!$C$10:$C$126,'fuels and tailpipe emissions'!$A$10:$A$126,'vehicles specifications'!$F37,'fuels and tailpipe emissions'!$B$10:$B$126,'vehicles specifications'!BR$2)/1000*$AQ37</f>
        <v>2.3268561075518807E-5</v>
      </c>
      <c r="BS37" s="7">
        <f>SUMIFS('fuels and tailpipe emissions'!$C$10:$C$126,'fuels and tailpipe emissions'!$A$10:$A$126,'vehicles specifications'!$F37,'fuels and tailpipe emissions'!$B$10:$B$126,'vehicles specifications'!BS$2)/1000*$AQ37</f>
        <v>1.0265541650964179E-5</v>
      </c>
      <c r="BT37" s="7">
        <f>SUMIFS('fuels and tailpipe emissions'!$C$10:$C$126,'fuels and tailpipe emissions'!$A$10:$A$126,'vehicles specifications'!$F37,'fuels and tailpipe emissions'!$B$10:$B$126,'vehicles specifications'!BT$2)/1000*$AQ37</f>
        <v>3.0112255509494928E-6</v>
      </c>
      <c r="BU37" s="7">
        <f>SUMIFS('fuels and tailpipe emissions'!$C$10:$C$126,'fuels and tailpipe emissions'!$A$10:$A$126,'vehicles specifications'!$F37,'fuels and tailpipe emissions'!$B$10:$B$126,'vehicles specifications'!BU$2)/1000*$AQ37</f>
        <v>8.3493072094508672E-6</v>
      </c>
      <c r="BV37" s="7">
        <f>SUMIFS('fuels and tailpipe emissions'!$C$10:$C$126,'fuels and tailpipe emissions'!$A$10:$A$126,'vehicles specifications'!$F37,'fuels and tailpipe emissions'!$B$10:$B$126,'vehicles specifications'!BV$2)/1000*$AQ37</f>
        <v>0</v>
      </c>
      <c r="BW37" s="7">
        <f>SUMIFS('fuels and tailpipe emissions'!$C$10:$C$126,'fuels and tailpipe emissions'!$A$10:$A$126,'vehicles specifications'!$F37,'fuels and tailpipe emissions'!$B$10:$B$126,'vehicles specifications'!BW$2)/1000*$AQ37</f>
        <v>2.6006038849109253E-6</v>
      </c>
      <c r="BX37" s="7">
        <f>SUMIFS('fuels and tailpipe emissions'!$C$10:$C$126,'fuels and tailpipe emissions'!$A$10:$A$126,'vehicles specifications'!$F37,'fuels and tailpipe emissions'!$B$10:$B$126,'vehicles specifications'!BX$2)/1000*$AQ37</f>
        <v>1.382426275663176E-5</v>
      </c>
      <c r="BY37" s="7">
        <f>SUMIFS('fuels and tailpipe emissions'!$C$10:$C$126,'fuels and tailpipe emissions'!$A$10:$A$126,'vehicles specifications'!$F37,'fuels and tailpipe emissions'!$B$10:$B$126,'vehicles specifications'!BY$2)/1000*$AQ37</f>
        <v>4.3948453156141782E-8</v>
      </c>
      <c r="BZ37" s="7">
        <f>SUMIFS('fuels and tailpipe emissions'!$C$10:$C$126,'fuels and tailpipe emissions'!$A$10:$A$126,'vehicles specifications'!$F37,'fuels and tailpipe emissions'!$B$10:$B$126,'vehicles specifications'!BZ$2)/1000*$AQ37</f>
        <v>3.7886597548398086E-10</v>
      </c>
      <c r="CA37" s="7">
        <f>SUMIFS('fuels and tailpipe emissions'!$C$10:$C$126,'fuels and tailpipe emissions'!$A$10:$A$126,'vehicles specifications'!$F37,'fuels and tailpipe emissions'!$B$10:$B$126,'vehicles specifications'!CA$2)/1000*$AQ37</f>
        <v>2.5257731698932057E-10</v>
      </c>
      <c r="CB37" s="7">
        <f>SUMIFS('fuels and tailpipe emissions'!$C$10:$C$126,'fuels and tailpipe emissions'!$A$10:$A$126,'vehicles specifications'!$F37,'fuels and tailpipe emissions'!$B$10:$B$126,'vehicles specifications'!CB$2)/1000*$AQ37</f>
        <v>2.7278350234846621E-6</v>
      </c>
      <c r="CC37" s="7">
        <f>SUMIFS('fuels and tailpipe emissions'!$C$10:$C$126,'fuels and tailpipe emissions'!$A$10:$A$126,'vehicles specifications'!$F37,'fuels and tailpipe emissions'!$B$10:$B$126,'vehicles specifications'!CC$2)/1000*$AQ37</f>
        <v>5.3041236567757318E-8</v>
      </c>
      <c r="CD37" s="7">
        <f>SUMIFS('fuels and tailpipe emissions'!$C$10:$C$126,'fuels and tailpipe emissions'!$A$10:$A$126,'vehicles specifications'!$F37,'fuels and tailpipe emissions'!$B$10:$B$126,'vehicles specifications'!CD$2)/1000*$AQ37</f>
        <v>1.6417525604305839E-8</v>
      </c>
      <c r="CE37" s="7">
        <f>SUMIFS('fuels and tailpipe emissions'!$C$10:$C$126,'fuels and tailpipe emissions'!$A$10:$A$126,'vehicles specifications'!$F37,'fuels and tailpipe emissions'!$B$10:$B$126,'vehicles specifications'!CE$2)/1000*$AQ37</f>
        <v>2.0206185359145651E-8</v>
      </c>
      <c r="CF37" s="7">
        <f>SUMIFS('fuels and tailpipe emissions'!$C$10:$C$126,'fuels and tailpipe emissions'!$A$10:$A$126,'vehicles specifications'!$F37,'fuels and tailpipe emissions'!$B$10:$B$126,'vehicles specifications'!CF$2)/1000*$AQ37</f>
        <v>4.0412370718291291E-11</v>
      </c>
      <c r="CG37" s="7">
        <f>SUMIFS('fuels and tailpipe emissions'!$C$10:$C$126,'fuels and tailpipe emissions'!$A$10:$A$126,'vehicles specifications'!$F37,'fuels and tailpipe emissions'!$B$10:$B$126,'vehicles specifications'!CG$2)/1000*$AQ37</f>
        <v>1.0987113289035445E-8</v>
      </c>
      <c r="CH37" s="7">
        <f>SUMIFS('fuels and tailpipe emissions'!$C$10:$C$126,'fuels and tailpipe emissions'!$A$10:$A$126,'vehicles specifications'!$F37,'fuels and tailpipe emissions'!$B$10:$B$126,'vehicles specifications'!CH$2)/1000*$AQ37</f>
        <v>1.3639175117423312E-8</v>
      </c>
      <c r="CI37" s="7">
        <f>VLOOKUP(B37,'abrasion emissions'!$A$4:$D$32,4,FALSE)</f>
        <v>6.0000000000000002E-6</v>
      </c>
      <c r="CJ37" s="7">
        <f>VLOOKUP(B37,'abrasion emissions'!$A$4:$D$32,2,FALSE)</f>
        <v>6.3939999999999993E-6</v>
      </c>
      <c r="CK37" s="7">
        <f>VLOOKUP(B37,'abrasion emissions'!$A$4:$D$32,3,FALSE)</f>
        <v>6.1789999999999996E-6</v>
      </c>
    </row>
    <row r="38" spans="1:89" s="21" customFormat="1" x14ac:dyDescent="0.3">
      <c r="A38" s="21" t="str">
        <f t="shared" si="17"/>
        <v>Scooter, gasoline, &lt;4kW, EURO-5 - 2050 - CH</v>
      </c>
      <c r="B38" s="21" t="s">
        <v>677</v>
      </c>
      <c r="D38" s="21">
        <v>2050</v>
      </c>
      <c r="E38" s="21" t="s">
        <v>37</v>
      </c>
      <c r="F38" s="21" t="s">
        <v>149</v>
      </c>
      <c r="G38" s="21" t="s">
        <v>39</v>
      </c>
      <c r="H38" s="21" t="s">
        <v>35</v>
      </c>
      <c r="J38" s="21">
        <v>33400</v>
      </c>
      <c r="K38" s="21">
        <v>2553</v>
      </c>
      <c r="L38" s="2">
        <f t="shared" si="18"/>
        <v>13.082647865256561</v>
      </c>
      <c r="M38" s="21">
        <v>1</v>
      </c>
      <c r="N38" s="21">
        <v>70</v>
      </c>
      <c r="O38" s="21">
        <v>4</v>
      </c>
      <c r="P38" s="2">
        <f t="shared" si="19"/>
        <v>84.527499999999989</v>
      </c>
      <c r="Q38" s="2">
        <f t="shared" si="20"/>
        <v>158.52749999999997</v>
      </c>
      <c r="R38" s="21">
        <v>2.8</v>
      </c>
      <c r="S38" s="2">
        <v>53</v>
      </c>
      <c r="T38" s="1">
        <v>7.0000000000000007E-2</v>
      </c>
      <c r="U38" s="2">
        <f t="shared" si="21"/>
        <v>49.29</v>
      </c>
      <c r="V38" s="21">
        <v>29.2</v>
      </c>
      <c r="W38" s="21">
        <v>0</v>
      </c>
      <c r="X38" s="3">
        <v>0</v>
      </c>
      <c r="Y38" s="1">
        <v>0.8</v>
      </c>
      <c r="Z38" s="3">
        <f t="shared" si="22"/>
        <v>0</v>
      </c>
      <c r="AA38" s="3">
        <v>0</v>
      </c>
      <c r="AB38" s="3">
        <v>0</v>
      </c>
      <c r="AC38" s="3">
        <f t="shared" si="23"/>
        <v>0</v>
      </c>
      <c r="AD38" s="3">
        <v>0</v>
      </c>
      <c r="AE38" s="3">
        <v>7</v>
      </c>
      <c r="AF38" s="21">
        <f>AE38*'fuels and tailpipe emissions'!$B$3</f>
        <v>5.25</v>
      </c>
      <c r="AG38" s="2">
        <f>AF38*'fuels and tailpipe emissions'!$C$3</f>
        <v>61.833333333333329</v>
      </c>
      <c r="AH38" s="3">
        <f t="shared" si="24"/>
        <v>0.78749999999999998</v>
      </c>
      <c r="AI38" s="21">
        <v>0</v>
      </c>
      <c r="AJ38" s="21">
        <v>0</v>
      </c>
      <c r="AK38" s="21">
        <f t="shared" si="25"/>
        <v>1</v>
      </c>
      <c r="AL38" s="21">
        <f t="shared" si="26"/>
        <v>8.5129267499999993E-5</v>
      </c>
      <c r="AM38" s="21">
        <v>1.2899999999999999E-3</v>
      </c>
      <c r="AN38" s="2">
        <f t="shared" si="27"/>
        <v>49.29</v>
      </c>
      <c r="AO38" s="2">
        <f t="shared" si="28"/>
        <v>29.2</v>
      </c>
      <c r="AP38" s="2">
        <f t="shared" si="29"/>
        <v>0</v>
      </c>
      <c r="AQ38" s="6">
        <v>1.2502577190971369</v>
      </c>
      <c r="AR38" s="6" t="str">
        <f>IF($H38="BEV",SUMPRODUCT(#REF!,#REF!),"")</f>
        <v/>
      </c>
      <c r="AS38" s="2">
        <f>SUM(Z38,AG38)/(SUM(AQ38:AR38)/3.6)</f>
        <v>178.04329187485337</v>
      </c>
      <c r="AT38" s="5">
        <f>IF($H38="ICEV-p",$AQ38/('fuels and tailpipe emissions'!$C$3*3.6)*'fuels and tailpipe emissions'!$D$3,"")</f>
        <v>9.3769328932285276E-2</v>
      </c>
      <c r="AU38" s="7">
        <f>IF($H38="ICEV-p",$AQ38/('fuels and tailpipe emissions'!$C$3*3.6)*'fuels and tailpipe emissions'!$E$3,"")</f>
        <v>4.7179536569703278E-7</v>
      </c>
      <c r="AV38" s="7">
        <f>SUMIFS('fuels and tailpipe emissions'!$C$10:$C$126,'fuels and tailpipe emissions'!$A$10:$A$126,'vehicles specifications'!$F38,'fuels and tailpipe emissions'!$B$10:$B$126,'vehicles specifications'!AV$2)/1000*$AQ38</f>
        <v>7.6018389033719928E-5</v>
      </c>
      <c r="AW38" s="7">
        <f>SUMIFS('fuels and tailpipe emissions'!$C$10:$C$126,'fuels and tailpipe emissions'!$A$10:$A$126,'vehicles specifications'!$F38,'fuels and tailpipe emissions'!$B$10:$B$126,'vehicles specifications'!AW$2)/1000*$AQ38</f>
        <v>3.4468992219074605E-5</v>
      </c>
      <c r="AX38" s="7">
        <f>SUMIFS('fuels and tailpipe emissions'!$C$10:$C$126,'fuels and tailpipe emissions'!$A$10:$A$126,'vehicles specifications'!$F38,'fuels and tailpipe emissions'!$B$10:$B$126,'vehicles specifications'!AX$2)/1000*$AQ38</f>
        <v>3.6447456122062146E-3</v>
      </c>
      <c r="AY38" s="7">
        <f>SUMIFS('fuels and tailpipe emissions'!$C$10:$C$126,'fuels and tailpipe emissions'!$A$10:$A$126,'vehicles specifications'!$F38,'fuels and tailpipe emissions'!$B$10:$B$126,'vehicles specifications'!AY$2)/1000*$AQ38</f>
        <v>1.7488073170509701E-6</v>
      </c>
      <c r="AZ38" s="7">
        <f>SUMIFS('fuels and tailpipe emissions'!$C$10:$C$126,'fuels and tailpipe emissions'!$A$10:$A$126,'vehicles specifications'!$F38,'fuels and tailpipe emissions'!$B$10:$B$126,'vehicles specifications'!AZ$2)/1000*$AQ38</f>
        <v>1.7488073170509701E-6</v>
      </c>
      <c r="BA38" s="7">
        <f>SUMIFS('fuels and tailpipe emissions'!$C$10:$C$126,'fuels and tailpipe emissions'!$A$10:$A$126,'vehicles specifications'!$F38,'fuels and tailpipe emissions'!$B$10:$B$126,'vehicles specifications'!BA$2)/1000*$AQ38</f>
        <v>1.3114430036520702E-4</v>
      </c>
      <c r="BB38" s="7">
        <f>SUMIFS('fuels and tailpipe emissions'!$C$10:$C$126,'fuels and tailpipe emissions'!$A$10:$A$126,'vehicles specifications'!$F38,'fuels and tailpipe emissions'!$B$10:$B$126,'vehicles specifications'!BB$2)/1000*$AQ38</f>
        <v>1.004340042182372E-5</v>
      </c>
      <c r="BC38" s="7">
        <f>SUMIFS('fuels and tailpipe emissions'!$C$10:$C$126,'fuels and tailpipe emissions'!$A$10:$A$126,'vehicles specifications'!$F38,'fuels and tailpipe emissions'!$B$10:$B$126,'vehicles specifications'!BC$2)/1000*$AQ38</f>
        <v>6.130252976622977E-4</v>
      </c>
      <c r="BD38" s="7">
        <f>SUMIFS('fuels and tailpipe emissions'!$C$10:$C$126,'fuels and tailpipe emissions'!$A$10:$A$126,'vehicles specifications'!$F38,'fuels and tailpipe emissions'!$B$10:$B$126,'vehicles specifications'!BD$2)/1000*$AQ38</f>
        <v>4.3226142783879964E-5</v>
      </c>
      <c r="BE38" s="7">
        <f>SUMIFS('fuels and tailpipe emissions'!$C$10:$C$126,'fuels and tailpipe emissions'!$A$10:$A$126,'vehicles specifications'!$F38,'fuels and tailpipe emissions'!$B$10:$B$126,'vehicles specifications'!BE$2)/1000*$AQ38</f>
        <v>8.8078347365272657E-6</v>
      </c>
      <c r="BF38" s="7">
        <f>SUMIFS('fuels and tailpipe emissions'!$C$10:$C$126,'fuels and tailpipe emissions'!$A$10:$A$126,'vehicles specifications'!$F38,'fuels and tailpipe emissions'!$B$10:$B$126,'vehicles specifications'!BF$2)/1000*$AQ38</f>
        <v>7.1004698491389037E-5</v>
      </c>
      <c r="BG38" s="7">
        <f>SUMIFS('fuels and tailpipe emissions'!$C$10:$C$126,'fuels and tailpipe emissions'!$A$10:$A$126,'vehicles specifications'!$F38,'fuels and tailpipe emissions'!$B$10:$B$126,'vehicles specifications'!BG$2)/1000*$AQ38</f>
        <v>2.913360720543634E-5</v>
      </c>
      <c r="BH38" s="7">
        <f>SUMIFS('fuels and tailpipe emissions'!$C$10:$C$126,'fuels and tailpipe emissions'!$A$10:$A$126,'vehicles specifications'!$F38,'fuels and tailpipe emissions'!$B$10:$B$126,'vehicles specifications'!BH$2)/1000*$AQ38</f>
        <v>2.1816329116629077E-5</v>
      </c>
      <c r="BI38" s="7">
        <f>SUMIFS('fuels and tailpipe emissions'!$C$10:$C$126,'fuels and tailpipe emissions'!$A$10:$A$126,'vehicles specifications'!$F38,'fuels and tailpipe emissions'!$B$10:$B$126,'vehicles specifications'!BI$2)/1000*$AQ38</f>
        <v>1.5447587076370898E-5</v>
      </c>
      <c r="BJ38" s="7">
        <f>SUMIFS('fuels and tailpipe emissions'!$C$10:$C$126,'fuels and tailpipe emissions'!$A$10:$A$126,'vehicles specifications'!$F38,'fuels and tailpipe emissions'!$B$10:$B$126,'vehicles specifications'!BJ$2)/1000*$AQ38</f>
        <v>1.002738108466181E-5</v>
      </c>
      <c r="BK38" s="7">
        <f>SUMIFS('fuels and tailpipe emissions'!$C$10:$C$126,'fuels and tailpipe emissions'!$A$10:$A$126,'vehicles specifications'!$F38,'fuels and tailpipe emissions'!$B$10:$B$126,'vehicles specifications'!BK$2)/1000*$AQ38</f>
        <v>9.8918759348690837E-5</v>
      </c>
      <c r="BL38" s="7">
        <f>SUMIFS('fuels and tailpipe emissions'!$C$10:$C$126,'fuels and tailpipe emissions'!$A$10:$A$126,'vehicles specifications'!$F38,'fuels and tailpipe emissions'!$B$10:$B$126,'vehicles specifications'!BL$2)/1000*$AQ38</f>
        <v>5.1762967220821776E-5</v>
      </c>
      <c r="BM38" s="7">
        <f>SUMIFS('fuels and tailpipe emissions'!$C$10:$C$126,'fuels and tailpipe emissions'!$A$10:$A$126,'vehicles specifications'!$F38,'fuels and tailpipe emissions'!$B$10:$B$126,'vehicles specifications'!BM$2)/1000*$AQ38</f>
        <v>1.4905566477199989E-6</v>
      </c>
      <c r="BN38" s="7">
        <f>SUMIFS('fuels and tailpipe emissions'!$C$10:$C$126,'fuels and tailpipe emissions'!$A$10:$A$126,'vehicles specifications'!$F38,'fuels and tailpipe emissions'!$B$10:$B$126,'vehicles specifications'!BN$2)/1000*$AQ38</f>
        <v>7.6018389033719928E-5</v>
      </c>
      <c r="BO38" s="7">
        <f>SUMIFS('fuels and tailpipe emissions'!$C$10:$C$126,'fuels and tailpipe emissions'!$A$10:$A$126,'vehicles specifications'!$F38,'fuels and tailpipe emissions'!$B$10:$B$126,'vehicles specifications'!BO$2)/1000*$AQ38</f>
        <v>1.4878465447241445E-4</v>
      </c>
      <c r="BP38" s="7">
        <f>SUMIFS('fuels and tailpipe emissions'!$C$10:$C$126,'fuels and tailpipe emissions'!$A$10:$A$126,'vehicles specifications'!$F38,'fuels and tailpipe emissions'!$B$10:$B$126,'vehicles specifications'!BP$2)/1000*$AQ38</f>
        <v>7.3579296337450856E-5</v>
      </c>
      <c r="BQ38" s="7">
        <f>SUMIFS('fuels and tailpipe emissions'!$C$10:$C$126,'fuels and tailpipe emissions'!$A$10:$A$126,'vehicles specifications'!$F38,'fuels and tailpipe emissions'!$B$10:$B$126,'vehicles specifications'!BQ$2)/1000*$AQ38</f>
        <v>3.0624163853156341E-5</v>
      </c>
      <c r="BR38" s="7">
        <f>SUMIFS('fuels and tailpipe emissions'!$C$10:$C$126,'fuels and tailpipe emissions'!$A$10:$A$126,'vehicles specifications'!$F38,'fuels and tailpipe emissions'!$B$10:$B$126,'vehicles specifications'!BR$2)/1000*$AQ38</f>
        <v>2.3035875464763623E-5</v>
      </c>
      <c r="BS38" s="7">
        <f>SUMIFS('fuels and tailpipe emissions'!$C$10:$C$126,'fuels and tailpipe emissions'!$A$10:$A$126,'vehicles specifications'!$F38,'fuels and tailpipe emissions'!$B$10:$B$126,'vehicles specifications'!BS$2)/1000*$AQ38</f>
        <v>1.0162886234454536E-5</v>
      </c>
      <c r="BT38" s="7">
        <f>SUMIFS('fuels and tailpipe emissions'!$C$10:$C$126,'fuels and tailpipe emissions'!$A$10:$A$126,'vehicles specifications'!$F38,'fuels and tailpipe emissions'!$B$10:$B$126,'vehicles specifications'!BT$2)/1000*$AQ38</f>
        <v>2.9811132954399978E-6</v>
      </c>
      <c r="BU38" s="7">
        <f>SUMIFS('fuels and tailpipe emissions'!$C$10:$C$126,'fuels and tailpipe emissions'!$A$10:$A$126,'vehicles specifications'!$F38,'fuels and tailpipe emissions'!$B$10:$B$126,'vehicles specifications'!BU$2)/1000*$AQ38</f>
        <v>8.2658141373563583E-6</v>
      </c>
      <c r="BV38" s="7">
        <f>SUMIFS('fuels and tailpipe emissions'!$C$10:$C$126,'fuels and tailpipe emissions'!$A$10:$A$126,'vehicles specifications'!$F38,'fuels and tailpipe emissions'!$B$10:$B$126,'vehicles specifications'!BV$2)/1000*$AQ38</f>
        <v>0</v>
      </c>
      <c r="BW38" s="7">
        <f>SUMIFS('fuels and tailpipe emissions'!$C$10:$C$126,'fuels and tailpipe emissions'!$A$10:$A$126,'vehicles specifications'!$F38,'fuels and tailpipe emissions'!$B$10:$B$126,'vehicles specifications'!BW$2)/1000*$AQ38</f>
        <v>2.5745978460618164E-6</v>
      </c>
      <c r="BX38" s="7">
        <f>SUMIFS('fuels and tailpipe emissions'!$C$10:$C$126,'fuels and tailpipe emissions'!$A$10:$A$126,'vehicles specifications'!$F38,'fuels and tailpipe emissions'!$B$10:$B$126,'vehicles specifications'!BX$2)/1000*$AQ38</f>
        <v>1.3686020129065443E-5</v>
      </c>
      <c r="BY38" s="7">
        <f>SUMIFS('fuels and tailpipe emissions'!$C$10:$C$126,'fuels and tailpipe emissions'!$A$10:$A$126,'vehicles specifications'!$F38,'fuels and tailpipe emissions'!$B$10:$B$126,'vehicles specifications'!BY$2)/1000*$AQ38</f>
        <v>4.3508968624580363E-8</v>
      </c>
      <c r="BZ38" s="7">
        <f>SUMIFS('fuels and tailpipe emissions'!$C$10:$C$126,'fuels and tailpipe emissions'!$A$10:$A$126,'vehicles specifications'!$F38,'fuels and tailpipe emissions'!$B$10:$B$126,'vehicles specifications'!BZ$2)/1000*$AQ38</f>
        <v>3.7507731572914109E-10</v>
      </c>
      <c r="CA38" s="7">
        <f>SUMIFS('fuels and tailpipe emissions'!$C$10:$C$126,'fuels and tailpipe emissions'!$A$10:$A$126,'vehicles specifications'!$F38,'fuels and tailpipe emissions'!$B$10:$B$126,'vehicles specifications'!CA$2)/1000*$AQ38</f>
        <v>2.5005154381942739E-10</v>
      </c>
      <c r="CB38" s="7">
        <f>SUMIFS('fuels and tailpipe emissions'!$C$10:$C$126,'fuels and tailpipe emissions'!$A$10:$A$126,'vehicles specifications'!$F38,'fuels and tailpipe emissions'!$B$10:$B$126,'vehicles specifications'!CB$2)/1000*$AQ38</f>
        <v>2.7005566732498157E-6</v>
      </c>
      <c r="CC38" s="7">
        <f>SUMIFS('fuels and tailpipe emissions'!$C$10:$C$126,'fuels and tailpipe emissions'!$A$10:$A$126,'vehicles specifications'!$F38,'fuels and tailpipe emissions'!$B$10:$B$126,'vehicles specifications'!CC$2)/1000*$AQ38</f>
        <v>5.251082420207975E-8</v>
      </c>
      <c r="CD38" s="7">
        <f>SUMIFS('fuels and tailpipe emissions'!$C$10:$C$126,'fuels and tailpipe emissions'!$A$10:$A$126,'vehicles specifications'!$F38,'fuels and tailpipe emissions'!$B$10:$B$126,'vehicles specifications'!CD$2)/1000*$AQ38</f>
        <v>1.625335034826278E-8</v>
      </c>
      <c r="CE38" s="7">
        <f>SUMIFS('fuels and tailpipe emissions'!$C$10:$C$126,'fuels and tailpipe emissions'!$A$10:$A$126,'vehicles specifications'!$F38,'fuels and tailpipe emissions'!$B$10:$B$126,'vehicles specifications'!CE$2)/1000*$AQ38</f>
        <v>2.0004123505554197E-8</v>
      </c>
      <c r="CF38" s="7">
        <f>SUMIFS('fuels and tailpipe emissions'!$C$10:$C$126,'fuels and tailpipe emissions'!$A$10:$A$126,'vehicles specifications'!$F38,'fuels and tailpipe emissions'!$B$10:$B$126,'vehicles specifications'!CF$2)/1000*$AQ38</f>
        <v>4.0008247011108378E-11</v>
      </c>
      <c r="CG38" s="7">
        <f>SUMIFS('fuels and tailpipe emissions'!$C$10:$C$126,'fuels and tailpipe emissions'!$A$10:$A$126,'vehicles specifications'!$F38,'fuels and tailpipe emissions'!$B$10:$B$126,'vehicles specifications'!CG$2)/1000*$AQ38</f>
        <v>1.0877242156145091E-8</v>
      </c>
      <c r="CH38" s="7">
        <f>SUMIFS('fuels and tailpipe emissions'!$C$10:$C$126,'fuels and tailpipe emissions'!$A$10:$A$126,'vehicles specifications'!$F38,'fuels and tailpipe emissions'!$B$10:$B$126,'vehicles specifications'!CH$2)/1000*$AQ38</f>
        <v>1.350278336624908E-8</v>
      </c>
      <c r="CI38" s="7">
        <f>VLOOKUP(B38,'abrasion emissions'!$A$4:$D$32,4,FALSE)</f>
        <v>6.0000000000000002E-6</v>
      </c>
      <c r="CJ38" s="7">
        <f>VLOOKUP(B38,'abrasion emissions'!$A$4:$D$32,2,FALSE)</f>
        <v>6.3939999999999993E-6</v>
      </c>
      <c r="CK38" s="7">
        <f>VLOOKUP(B38,'abrasion emissions'!$A$4:$D$32,3,FALSE)</f>
        <v>6.1789999999999996E-6</v>
      </c>
    </row>
    <row r="39" spans="1:89" x14ac:dyDescent="0.3">
      <c r="A39" t="str">
        <f t="shared" si="1"/>
        <v>Scooter, gasoline, 4-11kW, EURO-3 - 2006 - CH</v>
      </c>
      <c r="B39" t="s">
        <v>636</v>
      </c>
      <c r="D39">
        <v>2006</v>
      </c>
      <c r="E39" t="s">
        <v>37</v>
      </c>
      <c r="F39" t="s">
        <v>149</v>
      </c>
      <c r="G39" t="s">
        <v>39</v>
      </c>
      <c r="H39" t="s">
        <v>35</v>
      </c>
      <c r="J39" s="21">
        <v>39800</v>
      </c>
      <c r="K39">
        <v>2731</v>
      </c>
      <c r="L39" s="2">
        <f t="shared" si="2"/>
        <v>14.573416331014281</v>
      </c>
      <c r="M39">
        <v>1</v>
      </c>
      <c r="N39">
        <v>70</v>
      </c>
      <c r="O39">
        <v>4</v>
      </c>
      <c r="P39" s="2">
        <f t="shared" si="13"/>
        <v>132.53749999999999</v>
      </c>
      <c r="Q39" s="2">
        <f t="shared" si="3"/>
        <v>206.53749999999999</v>
      </c>
      <c r="R39">
        <v>8.8000000000000007</v>
      </c>
      <c r="S39" s="2">
        <v>90</v>
      </c>
      <c r="T39" s="1">
        <v>-0.05</v>
      </c>
      <c r="U39" s="2">
        <f t="shared" si="4"/>
        <v>94.5</v>
      </c>
      <c r="V39">
        <v>32</v>
      </c>
      <c r="W39">
        <v>0</v>
      </c>
      <c r="X39" s="3">
        <v>0</v>
      </c>
      <c r="Y39" s="1">
        <v>0.8</v>
      </c>
      <c r="Z39" s="3">
        <f t="shared" si="5"/>
        <v>0</v>
      </c>
      <c r="AA39" s="3">
        <v>0</v>
      </c>
      <c r="AB39" s="3">
        <v>0</v>
      </c>
      <c r="AC39" s="3">
        <f t="shared" si="7"/>
        <v>0</v>
      </c>
      <c r="AD39" s="3">
        <v>0</v>
      </c>
      <c r="AE39" s="3">
        <v>7</v>
      </c>
      <c r="AF39">
        <f>AE39*'fuels and tailpipe emissions'!$B$3</f>
        <v>5.25</v>
      </c>
      <c r="AG39" s="2">
        <f>AF39*'fuels and tailpipe emissions'!$C$3</f>
        <v>61.833333333333329</v>
      </c>
      <c r="AH39" s="3">
        <f t="shared" si="16"/>
        <v>0.78749999999999998</v>
      </c>
      <c r="AI39">
        <v>0</v>
      </c>
      <c r="AJ39">
        <v>0</v>
      </c>
      <c r="AK39">
        <f t="shared" si="14"/>
        <v>1</v>
      </c>
      <c r="AL39">
        <f t="shared" si="15"/>
        <v>1.1091063749999999E-4</v>
      </c>
      <c r="AM39">
        <v>1.2899999999999999E-3</v>
      </c>
      <c r="AN39" s="2">
        <f t="shared" si="9"/>
        <v>94.5</v>
      </c>
      <c r="AO39" s="2">
        <f t="shared" si="10"/>
        <v>32</v>
      </c>
      <c r="AP39" s="2">
        <f t="shared" si="11"/>
        <v>0</v>
      </c>
      <c r="AQ39" s="6">
        <v>1.0581604158713176</v>
      </c>
      <c r="AR39" s="6" t="str">
        <f>IF($H39="BEV",SUMPRODUCT(#REF!,#REF!),"")</f>
        <v/>
      </c>
      <c r="AS39" s="2">
        <f>SUM(Z39,AG39)/(SUM(AQ39:AR39)/3.6)</f>
        <v>210.36507949194564</v>
      </c>
      <c r="AT39" s="5">
        <f>IF($H39="ICEV-p",$AQ39/('fuels and tailpipe emissions'!$C$3*3.6)*'fuels and tailpipe emissions'!$D$3,"")</f>
        <v>7.9362031190348833E-2</v>
      </c>
      <c r="AU39" s="7">
        <f>IF($H39="ICEV-p",$AQ39/('fuels and tailpipe emissions'!$C$3*3.6)*'fuels and tailpipe emissions'!$E$3,"")</f>
        <v>3.9930581730993117E-7</v>
      </c>
      <c r="AV39" s="7">
        <f>SUMIFS('fuels and tailpipe emissions'!$C$10:$C$126,'fuels and tailpipe emissions'!$A$10:$A$126,'vehicles specifications'!$F39,'fuels and tailpipe emissions'!$B$10:$B$126,'vehicles specifications'!AV$2)/1000*$AQ39</f>
        <v>6.4338455124178328E-5</v>
      </c>
      <c r="AW39" s="7">
        <f>SUMIFS('fuels and tailpipe emissions'!$C$10:$C$126,'fuels and tailpipe emissions'!$A$10:$A$126,'vehicles specifications'!$F39,'fuels and tailpipe emissions'!$B$10:$B$126,'vehicles specifications'!AW$2)/1000*$AQ39</f>
        <v>2.9172963769054263E-5</v>
      </c>
      <c r="AX39" s="7">
        <f>SUMIFS('fuels and tailpipe emissions'!$C$10:$C$126,'fuels and tailpipe emissions'!$A$10:$A$126,'vehicles specifications'!$F39,'fuels and tailpipe emissions'!$B$10:$B$126,'vehicles specifications'!AX$2)/1000*$AQ39</f>
        <v>3.0847444281666904E-3</v>
      </c>
      <c r="AY39" s="7">
        <f>SUMIFS('fuels and tailpipe emissions'!$C$10:$C$126,'fuels and tailpipe emissions'!$A$10:$A$126,'vehicles specifications'!$F39,'fuels and tailpipe emissions'!$B$10:$B$126,'vehicles specifications'!AY$2)/1000*$AQ39</f>
        <v>1.4801097802665792E-6</v>
      </c>
      <c r="AZ39" s="7">
        <f>SUMIFS('fuels and tailpipe emissions'!$C$10:$C$126,'fuels and tailpipe emissions'!$A$10:$A$126,'vehicles specifications'!$F39,'fuels and tailpipe emissions'!$B$10:$B$126,'vehicles specifications'!AZ$2)/1000*$AQ39</f>
        <v>1.4801097802665792E-6</v>
      </c>
      <c r="BA39" s="7">
        <f>SUMIFS('fuels and tailpipe emissions'!$C$10:$C$126,'fuels and tailpipe emissions'!$A$10:$A$126,'vehicles specifications'!$F39,'fuels and tailpipe emissions'!$B$10:$B$126,'vehicles specifications'!BA$2)/1000*$AQ39</f>
        <v>1.1099448161280961E-4</v>
      </c>
      <c r="BB39" s="7">
        <f>SUMIFS('fuels and tailpipe emissions'!$C$10:$C$126,'fuels and tailpipe emissions'!$A$10:$A$126,'vehicles specifications'!$F39,'fuels and tailpipe emissions'!$B$10:$B$126,'vehicles specifications'!BB$2)/1000*$AQ39</f>
        <v>8.5002704680709625E-6</v>
      </c>
      <c r="BC39" s="7">
        <f>SUMIFS('fuels and tailpipe emissions'!$C$10:$C$126,'fuels and tailpipe emissions'!$A$10:$A$126,'vehicles specifications'!$F39,'fuels and tailpipe emissions'!$B$10:$B$126,'vehicles specifications'!BC$2)/1000*$AQ39</f>
        <v>5.1883631191048621E-4</v>
      </c>
      <c r="BD39" s="7">
        <f>SUMIFS('fuels and tailpipe emissions'!$C$10:$C$126,'fuels and tailpipe emissions'!$A$10:$A$126,'vehicles specifications'!$F39,'fuels and tailpipe emissions'!$B$10:$B$126,'vehicles specifications'!BD$2)/1000*$AQ39</f>
        <v>3.6584611737277873E-5</v>
      </c>
      <c r="BE39" s="7">
        <f>SUMIFS('fuels and tailpipe emissions'!$C$10:$C$126,'fuels and tailpipe emissions'!$A$10:$A$126,'vehicles specifications'!$F39,'fuels and tailpipe emissions'!$B$10:$B$126,'vehicles specifications'!BE$2)/1000*$AQ39</f>
        <v>7.454544711357561E-6</v>
      </c>
      <c r="BF39" s="7">
        <f>SUMIFS('fuels and tailpipe emissions'!$C$10:$C$126,'fuels and tailpipe emissions'!$A$10:$A$126,'vehicles specifications'!$F39,'fuels and tailpipe emissions'!$B$10:$B$126,'vehicles specifications'!BF$2)/1000*$AQ39</f>
        <v>6.0095098903867111E-5</v>
      </c>
      <c r="BG39" s="7">
        <f>SUMIFS('fuels and tailpipe emissions'!$C$10:$C$126,'fuels and tailpipe emissions'!$A$10:$A$126,'vehicles specifications'!$F39,'fuels and tailpipe emissions'!$B$10:$B$126,'vehicles specifications'!BG$2)/1000*$AQ39</f>
        <v>2.4657340199105778E-5</v>
      </c>
      <c r="BH39" s="7">
        <f>SUMIFS('fuels and tailpipe emissions'!$C$10:$C$126,'fuels and tailpipe emissions'!$A$10:$A$126,'vehicles specifications'!$F39,'fuels and tailpipe emissions'!$B$10:$B$126,'vehicles specifications'!BH$2)/1000*$AQ39</f>
        <v>1.8464333823516422E-5</v>
      </c>
      <c r="BI39" s="7">
        <f>SUMIFS('fuels and tailpipe emissions'!$C$10:$C$126,'fuels and tailpipe emissions'!$A$10:$A$126,'vehicles specifications'!$F39,'fuels and tailpipe emissions'!$B$10:$B$126,'vehicles specifications'!BI$2)/1000*$AQ39</f>
        <v>1.3074124570688646E-5</v>
      </c>
      <c r="BJ39" s="7">
        <f>SUMIFS('fuels and tailpipe emissions'!$C$10:$C$126,'fuels and tailpipe emissions'!$A$10:$A$126,'vehicles specifications'!$F39,'fuels and tailpipe emissions'!$B$10:$B$126,'vehicles specifications'!BJ$2)/1000*$AQ39</f>
        <v>8.4867124406224538E-6</v>
      </c>
      <c r="BK39" s="7">
        <f>SUMIFS('fuels and tailpipe emissions'!$C$10:$C$126,'fuels and tailpipe emissions'!$A$10:$A$126,'vehicles specifications'!$F39,'fuels and tailpipe emissions'!$B$10:$B$126,'vehicles specifications'!BK$2)/1000*$AQ39</f>
        <v>8.3720271373707988E-5</v>
      </c>
      <c r="BL39" s="7">
        <f>SUMIFS('fuels and tailpipe emissions'!$C$10:$C$126,'fuels and tailpipe emissions'!$A$10:$A$126,'vehicles specifications'!$F39,'fuels and tailpipe emissions'!$B$10:$B$126,'vehicles specifications'!BL$2)/1000*$AQ39</f>
        <v>4.3809785842132124E-5</v>
      </c>
      <c r="BM39" s="7">
        <f>SUMIFS('fuels and tailpipe emissions'!$C$10:$C$126,'fuels and tailpipe emissions'!$A$10:$A$126,'vehicles specifications'!$F39,'fuels and tailpipe emissions'!$B$10:$B$126,'vehicles specifications'!BM$2)/1000*$AQ39</f>
        <v>1.2615383357682027E-6</v>
      </c>
      <c r="BN39" s="7">
        <f>SUMIFS('fuels and tailpipe emissions'!$C$10:$C$126,'fuels and tailpipe emissions'!$A$10:$A$126,'vehicles specifications'!$F39,'fuels and tailpipe emissions'!$B$10:$B$126,'vehicles specifications'!BN$2)/1000*$AQ39</f>
        <v>6.4338455124178328E-5</v>
      </c>
      <c r="BO39" s="7">
        <f>SUMIFS('fuels and tailpipe emissions'!$C$10:$C$126,'fuels and tailpipe emissions'!$A$10:$A$126,'vehicles specifications'!$F39,'fuels and tailpipe emissions'!$B$10:$B$126,'vehicles specifications'!BO$2)/1000*$AQ39</f>
        <v>1.2592446297031695E-4</v>
      </c>
      <c r="BP39" s="7">
        <f>SUMIFS('fuels and tailpipe emissions'!$C$10:$C$126,'fuels and tailpipe emissions'!$A$10:$A$126,'vehicles specifications'!$F39,'fuels and tailpipe emissions'!$B$10:$B$126,'vehicles specifications'!BP$2)/1000*$AQ39</f>
        <v>6.2274119665648545E-5</v>
      </c>
      <c r="BQ39" s="7">
        <f>SUMIFS('fuels and tailpipe emissions'!$C$10:$C$126,'fuels and tailpipe emissions'!$A$10:$A$126,'vehicles specifications'!$F39,'fuels and tailpipe emissions'!$B$10:$B$126,'vehicles specifications'!BQ$2)/1000*$AQ39</f>
        <v>2.5918878534873981E-5</v>
      </c>
      <c r="BR39" s="7">
        <f>SUMIFS('fuels and tailpipe emissions'!$C$10:$C$126,'fuels and tailpipe emissions'!$A$10:$A$126,'vehicles specifications'!$F39,'fuels and tailpipe emissions'!$B$10:$B$126,'vehicles specifications'!BR$2)/1000*$AQ39</f>
        <v>1.9496501552781316E-5</v>
      </c>
      <c r="BS39" s="7">
        <f>SUMIFS('fuels and tailpipe emissions'!$C$10:$C$126,'fuels and tailpipe emissions'!$A$10:$A$126,'vehicles specifications'!$F39,'fuels and tailpipe emissions'!$B$10:$B$126,'vehicles specifications'!BS$2)/1000*$AQ39</f>
        <v>8.6013977438741078E-6</v>
      </c>
      <c r="BT39" s="7">
        <f>SUMIFS('fuels and tailpipe emissions'!$C$10:$C$126,'fuels and tailpipe emissions'!$A$10:$A$126,'vehicles specifications'!$F39,'fuels and tailpipe emissions'!$B$10:$B$126,'vehicles specifications'!BT$2)/1000*$AQ39</f>
        <v>2.5230766715364054E-6</v>
      </c>
      <c r="BU39" s="7">
        <f>SUMIFS('fuels and tailpipe emissions'!$C$10:$C$126,'fuels and tailpipe emissions'!$A$10:$A$126,'vehicles specifications'!$F39,'fuels and tailpipe emissions'!$B$10:$B$126,'vehicles specifications'!BU$2)/1000*$AQ39</f>
        <v>6.9958034983509425E-6</v>
      </c>
      <c r="BV39" s="7">
        <f>SUMIFS('fuels and tailpipe emissions'!$C$10:$C$126,'fuels and tailpipe emissions'!$A$10:$A$126,'vehicles specifications'!$F39,'fuels and tailpipe emissions'!$B$10:$B$126,'vehicles specifications'!BV$2)/1000*$AQ39</f>
        <v>0</v>
      </c>
      <c r="BW39" s="7">
        <f>SUMIFS('fuels and tailpipe emissions'!$C$10:$C$126,'fuels and tailpipe emissions'!$A$10:$A$126,'vehicles specifications'!$F39,'fuels and tailpipe emissions'!$B$10:$B$126,'vehicles specifications'!BW$2)/1000*$AQ39</f>
        <v>2.1790207617814409E-6</v>
      </c>
      <c r="BX39" s="7">
        <f>SUMIFS('fuels and tailpipe emissions'!$C$10:$C$126,'fuels and tailpipe emissions'!$A$10:$A$126,'vehicles specifications'!$F39,'fuels and tailpipe emissions'!$B$10:$B$126,'vehicles specifications'!BX$2)/1000*$AQ39</f>
        <v>1.1583215628417132E-5</v>
      </c>
      <c r="BY39" s="7">
        <f>SUMIFS('fuels and tailpipe emissions'!$C$10:$C$126,'fuels and tailpipe emissions'!$A$10:$A$126,'vehicles specifications'!$F39,'fuels and tailpipe emissions'!$B$10:$B$126,'vehicles specifications'!BY$2)/1000*$AQ39</f>
        <v>3.6823982472321851E-8</v>
      </c>
      <c r="BZ39" s="7">
        <f>SUMIFS('fuels and tailpipe emissions'!$C$10:$C$126,'fuels and tailpipe emissions'!$A$10:$A$126,'vehicles specifications'!$F39,'fuels and tailpipe emissions'!$B$10:$B$126,'vehicles specifications'!BZ$2)/1000*$AQ39</f>
        <v>3.1744812476139525E-10</v>
      </c>
      <c r="CA39" s="7">
        <f>SUMIFS('fuels and tailpipe emissions'!$C$10:$C$126,'fuels and tailpipe emissions'!$A$10:$A$126,'vehicles specifications'!$F39,'fuels and tailpipe emissions'!$B$10:$B$126,'vehicles specifications'!CA$2)/1000*$AQ39</f>
        <v>2.1163208317426353E-10</v>
      </c>
      <c r="CB39" s="7">
        <f>SUMIFS('fuels and tailpipe emissions'!$C$10:$C$126,'fuels and tailpipe emissions'!$A$10:$A$126,'vehicles specifications'!$F39,'fuels and tailpipe emissions'!$B$10:$B$126,'vehicles specifications'!CB$2)/1000*$AQ39</f>
        <v>2.2856264982820463E-6</v>
      </c>
      <c r="CC39" s="7">
        <f>SUMIFS('fuels and tailpipe emissions'!$C$10:$C$126,'fuels and tailpipe emissions'!$A$10:$A$126,'vehicles specifications'!$F39,'fuels and tailpipe emissions'!$B$10:$B$126,'vehicles specifications'!CC$2)/1000*$AQ39</f>
        <v>4.444273746659534E-8</v>
      </c>
      <c r="CD39" s="7">
        <f>SUMIFS('fuels and tailpipe emissions'!$C$10:$C$126,'fuels and tailpipe emissions'!$A$10:$A$126,'vehicles specifications'!$F39,'fuels and tailpipe emissions'!$B$10:$B$126,'vehicles specifications'!CD$2)/1000*$AQ39</f>
        <v>1.3756085406327129E-8</v>
      </c>
      <c r="CE39" s="7">
        <f>SUMIFS('fuels and tailpipe emissions'!$C$10:$C$126,'fuels and tailpipe emissions'!$A$10:$A$126,'vehicles specifications'!$F39,'fuels and tailpipe emissions'!$B$10:$B$126,'vehicles specifications'!CE$2)/1000*$AQ39</f>
        <v>1.6930566653941085E-8</v>
      </c>
      <c r="CF39" s="7">
        <f>SUMIFS('fuels and tailpipe emissions'!$C$10:$C$126,'fuels and tailpipe emissions'!$A$10:$A$126,'vehicles specifications'!$F39,'fuels and tailpipe emissions'!$B$10:$B$126,'vehicles specifications'!CF$2)/1000*$AQ39</f>
        <v>3.3861133307882163E-11</v>
      </c>
      <c r="CG39" s="7">
        <f>SUMIFS('fuels and tailpipe emissions'!$C$10:$C$126,'fuels and tailpipe emissions'!$A$10:$A$126,'vehicles specifications'!$F39,'fuels and tailpipe emissions'!$B$10:$B$126,'vehicles specifications'!CG$2)/1000*$AQ39</f>
        <v>9.2059956180804626E-9</v>
      </c>
      <c r="CH39" s="7">
        <f>SUMIFS('fuels and tailpipe emissions'!$C$10:$C$126,'fuels and tailpipe emissions'!$A$10:$A$126,'vehicles specifications'!$F39,'fuels and tailpipe emissions'!$B$10:$B$126,'vehicles specifications'!CH$2)/1000*$AQ39</f>
        <v>1.1428132491410231E-8</v>
      </c>
      <c r="CI39" s="7">
        <f>VLOOKUP(B39,'abrasion emissions'!$A$4:$D$32,4,FALSE)</f>
        <v>6.0000000000000002E-6</v>
      </c>
      <c r="CJ39" s="7">
        <f>VLOOKUP(B39,'abrasion emissions'!$A$4:$D$32,2,FALSE)</f>
        <v>6.3939999999999993E-6</v>
      </c>
      <c r="CK39" s="7">
        <f>VLOOKUP(B39,'abrasion emissions'!$A$4:$D$32,3,FALSE)</f>
        <v>6.1789999999999996E-6</v>
      </c>
    </row>
    <row r="40" spans="1:89" x14ac:dyDescent="0.3">
      <c r="A40" t="str">
        <f t="shared" si="1"/>
        <v>Scooter, gasoline, 4-11kW, EURO-4 - 2016 - CH</v>
      </c>
      <c r="B40" t="s">
        <v>637</v>
      </c>
      <c r="D40">
        <v>2016</v>
      </c>
      <c r="E40" t="s">
        <v>37</v>
      </c>
      <c r="F40" t="s">
        <v>148</v>
      </c>
      <c r="G40" t="s">
        <v>39</v>
      </c>
      <c r="H40" t="s">
        <v>35</v>
      </c>
      <c r="J40" s="21">
        <v>39800</v>
      </c>
      <c r="K40" s="21">
        <v>2731</v>
      </c>
      <c r="L40" s="2">
        <f t="shared" si="2"/>
        <v>14.573416331014281</v>
      </c>
      <c r="M40">
        <v>1</v>
      </c>
      <c r="N40">
        <v>70</v>
      </c>
      <c r="O40">
        <v>4</v>
      </c>
      <c r="P40" s="2">
        <f t="shared" si="13"/>
        <v>129.83750000000001</v>
      </c>
      <c r="Q40" s="2">
        <f t="shared" si="3"/>
        <v>203.83750000000001</v>
      </c>
      <c r="R40" s="21">
        <v>8.8000000000000007</v>
      </c>
      <c r="S40" s="2">
        <v>90</v>
      </c>
      <c r="T40" s="1">
        <v>-0.02</v>
      </c>
      <c r="U40" s="2">
        <f t="shared" si="4"/>
        <v>91.8</v>
      </c>
      <c r="V40">
        <v>32</v>
      </c>
      <c r="W40">
        <v>0</v>
      </c>
      <c r="X40" s="3">
        <v>0</v>
      </c>
      <c r="Y40" s="1">
        <v>0.8</v>
      </c>
      <c r="Z40" s="3">
        <f t="shared" si="5"/>
        <v>0</v>
      </c>
      <c r="AA40" s="3">
        <v>0</v>
      </c>
      <c r="AB40" s="3">
        <v>0</v>
      </c>
      <c r="AC40" s="3">
        <f t="shared" si="7"/>
        <v>0</v>
      </c>
      <c r="AD40" s="3">
        <v>0</v>
      </c>
      <c r="AE40" s="3">
        <v>7</v>
      </c>
      <c r="AF40">
        <f>AE40*'fuels and tailpipe emissions'!$B$3</f>
        <v>5.25</v>
      </c>
      <c r="AG40" s="2">
        <f>AF40*'fuels and tailpipe emissions'!$C$3</f>
        <v>61.833333333333329</v>
      </c>
      <c r="AH40" s="3">
        <f t="shared" si="16"/>
        <v>0.78749999999999998</v>
      </c>
      <c r="AI40">
        <v>0</v>
      </c>
      <c r="AJ40">
        <v>0</v>
      </c>
      <c r="AK40">
        <f t="shared" ref="AK40:AK70" si="30">IF(J40/50000&gt;1,J40/50000,1)</f>
        <v>1</v>
      </c>
      <c r="AL40">
        <f t="shared" si="15"/>
        <v>1.0946073750000001E-4</v>
      </c>
      <c r="AM40">
        <v>1.2899999999999999E-3</v>
      </c>
      <c r="AN40" s="2">
        <f t="shared" si="9"/>
        <v>91.8</v>
      </c>
      <c r="AO40" s="2">
        <f t="shared" si="10"/>
        <v>32</v>
      </c>
      <c r="AP40" s="2">
        <f t="shared" si="11"/>
        <v>0</v>
      </c>
      <c r="AQ40" s="6">
        <v>1.0476835800706115</v>
      </c>
      <c r="AR40" s="6" t="str">
        <f>IF($H40="BEV",SUMPRODUCT(#REF!,#REF!),"")</f>
        <v/>
      </c>
      <c r="AS40" s="2">
        <f>SUM(Z40,AG40)/(SUM(AQ40:AR40)/3.6)</f>
        <v>212.46873028686511</v>
      </c>
      <c r="AT40" s="5">
        <f>IF($H40="ICEV-p",$AQ40/('fuels and tailpipe emissions'!$C$3*3.6)*'fuels and tailpipe emissions'!$D$3,"")</f>
        <v>7.8576268505295865E-2</v>
      </c>
      <c r="AU40" s="7">
        <f>IF($H40="ICEV-p",$AQ40/('fuels and tailpipe emissions'!$C$3*3.6)*'fuels and tailpipe emissions'!$E$3,"")</f>
        <v>3.9535229436626849E-7</v>
      </c>
      <c r="AV40" s="7">
        <f>SUMIFS('fuels and tailpipe emissions'!$C$10:$C$126,'fuels and tailpipe emissions'!$A$10:$A$126,'vehicles specifications'!$F40,'fuels and tailpipe emissions'!$B$10:$B$126,'vehicles specifications'!AV$2)/1000*$AQ40</f>
        <v>6.3701440717008236E-5</v>
      </c>
      <c r="AW40" s="7">
        <f>SUMIFS('fuels and tailpipe emissions'!$C$10:$C$126,'fuels and tailpipe emissions'!$A$10:$A$126,'vehicles specifications'!$F40,'fuels and tailpipe emissions'!$B$10:$B$126,'vehicles specifications'!AW$2)/1000*$AQ40</f>
        <v>2.8884122543618082E-5</v>
      </c>
      <c r="AX40" s="7">
        <f>SUMIFS('fuels and tailpipe emissions'!$C$10:$C$126,'fuels and tailpipe emissions'!$A$10:$A$126,'vehicles specifications'!$F40,'fuels and tailpipe emissions'!$B$10:$B$126,'vehicles specifications'!AX$2)/1000*$AQ40</f>
        <v>3.054202404125436E-3</v>
      </c>
      <c r="AY40" s="7">
        <f>SUMIFS('fuels and tailpipe emissions'!$C$10:$C$126,'fuels and tailpipe emissions'!$A$10:$A$126,'vehicles specifications'!$F40,'fuels and tailpipe emissions'!$B$10:$B$126,'vehicles specifications'!AY$2)/1000*$AQ40</f>
        <v>1.465455227986712E-6</v>
      </c>
      <c r="AZ40" s="7">
        <f>SUMIFS('fuels and tailpipe emissions'!$C$10:$C$126,'fuels and tailpipe emissions'!$A$10:$A$126,'vehicles specifications'!$F40,'fuels and tailpipe emissions'!$B$10:$B$126,'vehicles specifications'!AZ$2)/1000*$AQ40</f>
        <v>1.465455227986712E-6</v>
      </c>
      <c r="BA40" s="7">
        <f>SUMIFS('fuels and tailpipe emissions'!$C$10:$C$126,'fuels and tailpipe emissions'!$A$10:$A$126,'vehicles specifications'!$F40,'fuels and tailpipe emissions'!$B$10:$B$126,'vehicles specifications'!BA$2)/1000*$AQ40</f>
        <v>1.0989552634931646E-4</v>
      </c>
      <c r="BB40" s="7">
        <f>SUMIFS('fuels and tailpipe emissions'!$C$10:$C$126,'fuels and tailpipe emissions'!$A$10:$A$126,'vehicles specifications'!$F40,'fuels and tailpipe emissions'!$B$10:$B$126,'vehicles specifications'!BB$2)/1000*$AQ40</f>
        <v>8.416109374327685E-6</v>
      </c>
      <c r="BC40" s="7">
        <f>SUMIFS('fuels and tailpipe emissions'!$C$10:$C$126,'fuels and tailpipe emissions'!$A$10:$A$126,'vehicles specifications'!$F40,'fuels and tailpipe emissions'!$B$10:$B$126,'vehicles specifications'!BC$2)/1000*$AQ40</f>
        <v>5.1369931872325368E-4</v>
      </c>
      <c r="BD40" s="7">
        <f>SUMIFS('fuels and tailpipe emissions'!$C$10:$C$126,'fuels and tailpipe emissions'!$A$10:$A$126,'vehicles specifications'!$F40,'fuels and tailpipe emissions'!$B$10:$B$126,'vehicles specifications'!BD$2)/1000*$AQ40</f>
        <v>3.6222387858690965E-5</v>
      </c>
      <c r="BE40" s="7">
        <f>SUMIFS('fuels and tailpipe emissions'!$C$10:$C$126,'fuels and tailpipe emissions'!$A$10:$A$126,'vehicles specifications'!$F40,'fuels and tailpipe emissions'!$B$10:$B$126,'vehicles specifications'!BE$2)/1000*$AQ40</f>
        <v>7.3807373379777832E-6</v>
      </c>
      <c r="BF40" s="7">
        <f>SUMIFS('fuels and tailpipe emissions'!$C$10:$C$126,'fuels and tailpipe emissions'!$A$10:$A$126,'vehicles specifications'!$F40,'fuels and tailpipe emissions'!$B$10:$B$126,'vehicles specifications'!BF$2)/1000*$AQ40</f>
        <v>5.9500097924620903E-5</v>
      </c>
      <c r="BG40" s="7">
        <f>SUMIFS('fuels and tailpipe emissions'!$C$10:$C$126,'fuels and tailpipe emissions'!$A$10:$A$126,'vehicles specifications'!$F40,'fuels and tailpipe emissions'!$B$10:$B$126,'vehicles specifications'!BG$2)/1000*$AQ40</f>
        <v>2.4413208117926513E-5</v>
      </c>
      <c r="BH40" s="7">
        <f>SUMIFS('fuels and tailpipe emissions'!$C$10:$C$126,'fuels and tailpipe emissions'!$A$10:$A$126,'vehicles specifications'!$F40,'fuels and tailpipe emissions'!$B$10:$B$126,'vehicles specifications'!BH$2)/1000*$AQ40</f>
        <v>1.8281518637144973E-5</v>
      </c>
      <c r="BI40" s="7">
        <f>SUMIFS('fuels and tailpipe emissions'!$C$10:$C$126,'fuels and tailpipe emissions'!$A$10:$A$126,'vehicles specifications'!$F40,'fuels and tailpipe emissions'!$B$10:$B$126,'vehicles specifications'!BI$2)/1000*$AQ40</f>
        <v>1.2944677792761034E-5</v>
      </c>
      <c r="BJ40" s="7">
        <f>SUMIFS('fuels and tailpipe emissions'!$C$10:$C$126,'fuels and tailpipe emissions'!$A$10:$A$126,'vehicles specifications'!$F40,'fuels and tailpipe emissions'!$B$10:$B$126,'vehicles specifications'!BJ$2)/1000*$AQ40</f>
        <v>8.4026855847747068E-6</v>
      </c>
      <c r="BK40" s="7">
        <f>SUMIFS('fuels and tailpipe emissions'!$C$10:$C$126,'fuels and tailpipe emissions'!$A$10:$A$126,'vehicles specifications'!$F40,'fuels and tailpipe emissions'!$B$10:$B$126,'vehicles specifications'!BK$2)/1000*$AQ40</f>
        <v>8.2891357795750482E-5</v>
      </c>
      <c r="BL40" s="7">
        <f>SUMIFS('fuels and tailpipe emissions'!$C$10:$C$126,'fuels and tailpipe emissions'!$A$10:$A$126,'vehicles specifications'!$F40,'fuels and tailpipe emissions'!$B$10:$B$126,'vehicles specifications'!BL$2)/1000*$AQ40</f>
        <v>4.3376025586269431E-5</v>
      </c>
      <c r="BM40" s="7">
        <f>SUMIFS('fuels and tailpipe emissions'!$C$10:$C$126,'fuels and tailpipe emissions'!$A$10:$A$126,'vehicles specifications'!$F40,'fuels and tailpipe emissions'!$B$10:$B$126,'vehicles specifications'!BM$2)/1000*$AQ40</f>
        <v>1.2490478571962403E-6</v>
      </c>
      <c r="BN40" s="7">
        <f>SUMIFS('fuels and tailpipe emissions'!$C$10:$C$126,'fuels and tailpipe emissions'!$A$10:$A$126,'vehicles specifications'!$F40,'fuels and tailpipe emissions'!$B$10:$B$126,'vehicles specifications'!BN$2)/1000*$AQ40</f>
        <v>6.3701440717008236E-5</v>
      </c>
      <c r="BO40" s="7">
        <f>SUMIFS('fuels and tailpipe emissions'!$C$10:$C$126,'fuels and tailpipe emissions'!$A$10:$A$126,'vehicles specifications'!$F40,'fuels and tailpipe emissions'!$B$10:$B$126,'vehicles specifications'!BO$2)/1000*$AQ40</f>
        <v>1.246776861092247E-4</v>
      </c>
      <c r="BP40" s="7">
        <f>SUMIFS('fuels and tailpipe emissions'!$C$10:$C$126,'fuels and tailpipe emissions'!$A$10:$A$126,'vehicles specifications'!$F40,'fuels and tailpipe emissions'!$B$10:$B$126,'vehicles specifications'!BP$2)/1000*$AQ40</f>
        <v>6.1657544223414404E-5</v>
      </c>
      <c r="BQ40" s="7">
        <f>SUMIFS('fuels and tailpipe emissions'!$C$10:$C$126,'fuels and tailpipe emissions'!$A$10:$A$126,'vehicles specifications'!$F40,'fuels and tailpipe emissions'!$B$10:$B$126,'vehicles specifications'!BQ$2)/1000*$AQ40</f>
        <v>2.566225597512275E-5</v>
      </c>
      <c r="BR40" s="7">
        <f>SUMIFS('fuels and tailpipe emissions'!$C$10:$C$126,'fuels and tailpipe emissions'!$A$10:$A$126,'vehicles specifications'!$F40,'fuels and tailpipe emissions'!$B$10:$B$126,'vehicles specifications'!BR$2)/1000*$AQ40</f>
        <v>1.9303466883941896E-5</v>
      </c>
      <c r="BS40" s="7">
        <f>SUMIFS('fuels and tailpipe emissions'!$C$10:$C$126,'fuels and tailpipe emissions'!$A$10:$A$126,'vehicles specifications'!$F40,'fuels and tailpipe emissions'!$B$10:$B$126,'vehicles specifications'!BS$2)/1000*$AQ40</f>
        <v>8.5162353899743643E-6</v>
      </c>
      <c r="BT40" s="7">
        <f>SUMIFS('fuels and tailpipe emissions'!$C$10:$C$126,'fuels and tailpipe emissions'!$A$10:$A$126,'vehicles specifications'!$F40,'fuels and tailpipe emissions'!$B$10:$B$126,'vehicles specifications'!BT$2)/1000*$AQ40</f>
        <v>2.4980957143924805E-6</v>
      </c>
      <c r="BU40" s="7">
        <f>SUMIFS('fuels and tailpipe emissions'!$C$10:$C$126,'fuels and tailpipe emissions'!$A$10:$A$126,'vehicles specifications'!$F40,'fuels and tailpipe emissions'!$B$10:$B$126,'vehicles specifications'!BU$2)/1000*$AQ40</f>
        <v>6.9265381171791515E-6</v>
      </c>
      <c r="BV40" s="7">
        <f>SUMIFS('fuels and tailpipe emissions'!$C$10:$C$126,'fuels and tailpipe emissions'!$A$10:$A$126,'vehicles specifications'!$F40,'fuels and tailpipe emissions'!$B$10:$B$126,'vehicles specifications'!BV$2)/1000*$AQ40</f>
        <v>0</v>
      </c>
      <c r="BW40" s="7">
        <f>SUMIFS('fuels and tailpipe emissions'!$C$10:$C$126,'fuels and tailpipe emissions'!$A$10:$A$126,'vehicles specifications'!$F40,'fuels and tailpipe emissions'!$B$10:$B$126,'vehicles specifications'!BW$2)/1000*$AQ40</f>
        <v>2.1574462987935059E-6</v>
      </c>
      <c r="BX40" s="7">
        <f>SUMIFS('fuels and tailpipe emissions'!$C$10:$C$126,'fuels and tailpipe emissions'!$A$10:$A$126,'vehicles specifications'!$F40,'fuels and tailpipe emissions'!$B$10:$B$126,'vehicles specifications'!BX$2)/1000*$AQ40</f>
        <v>1.1468530325165477E-5</v>
      </c>
      <c r="BY40" s="7">
        <f>SUMIFS('fuels and tailpipe emissions'!$C$10:$C$126,'fuels and tailpipe emissions'!$A$10:$A$126,'vehicles specifications'!$F40,'fuels and tailpipe emissions'!$B$10:$B$126,'vehicles specifications'!BY$2)/1000*$AQ40</f>
        <v>3.6459388586457277E-8</v>
      </c>
      <c r="BZ40" s="7">
        <f>SUMIFS('fuels and tailpipe emissions'!$C$10:$C$126,'fuels and tailpipe emissions'!$A$10:$A$126,'vehicles specifications'!$F40,'fuels and tailpipe emissions'!$B$10:$B$126,'vehicles specifications'!BZ$2)/1000*$AQ40</f>
        <v>3.1430507402118343E-10</v>
      </c>
      <c r="CA40" s="7">
        <f>SUMIFS('fuels and tailpipe emissions'!$C$10:$C$126,'fuels and tailpipe emissions'!$A$10:$A$126,'vehicles specifications'!$F40,'fuels and tailpipe emissions'!$B$10:$B$126,'vehicles specifications'!CA$2)/1000*$AQ40</f>
        <v>2.095367160141223E-10</v>
      </c>
      <c r="CB40" s="7">
        <f>SUMIFS('fuels and tailpipe emissions'!$C$10:$C$126,'fuels and tailpipe emissions'!$A$10:$A$126,'vehicles specifications'!$F40,'fuels and tailpipe emissions'!$B$10:$B$126,'vehicles specifications'!CB$2)/1000*$AQ40</f>
        <v>2.262996532952521E-6</v>
      </c>
      <c r="CC40" s="7">
        <f>SUMIFS('fuels and tailpipe emissions'!$C$10:$C$126,'fuels and tailpipe emissions'!$A$10:$A$126,'vehicles specifications'!$F40,'fuels and tailpipe emissions'!$B$10:$B$126,'vehicles specifications'!CC$2)/1000*$AQ40</f>
        <v>4.4002710362965682E-8</v>
      </c>
      <c r="CD40" s="7">
        <f>SUMIFS('fuels and tailpipe emissions'!$C$10:$C$126,'fuels and tailpipe emissions'!$A$10:$A$126,'vehicles specifications'!$F40,'fuels and tailpipe emissions'!$B$10:$B$126,'vehicles specifications'!CD$2)/1000*$AQ40</f>
        <v>1.3619886540917949E-8</v>
      </c>
      <c r="CE40" s="7">
        <f>SUMIFS('fuels and tailpipe emissions'!$C$10:$C$126,'fuels and tailpipe emissions'!$A$10:$A$126,'vehicles specifications'!$F40,'fuels and tailpipe emissions'!$B$10:$B$126,'vehicles specifications'!CE$2)/1000*$AQ40</f>
        <v>1.6762937281129788E-8</v>
      </c>
      <c r="CF40" s="7">
        <f>SUMIFS('fuels and tailpipe emissions'!$C$10:$C$126,'fuels and tailpipe emissions'!$A$10:$A$126,'vehicles specifications'!$F40,'fuels and tailpipe emissions'!$B$10:$B$126,'vehicles specifications'!CF$2)/1000*$AQ40</f>
        <v>3.3525874562259564E-11</v>
      </c>
      <c r="CG40" s="7">
        <f>SUMIFS('fuels and tailpipe emissions'!$C$10:$C$126,'fuels and tailpipe emissions'!$A$10:$A$126,'vehicles specifications'!$F40,'fuels and tailpipe emissions'!$B$10:$B$126,'vehicles specifications'!CG$2)/1000*$AQ40</f>
        <v>9.1148471466143193E-9</v>
      </c>
      <c r="CH40" s="7">
        <f>SUMIFS('fuels and tailpipe emissions'!$C$10:$C$126,'fuels and tailpipe emissions'!$A$10:$A$126,'vehicles specifications'!$F40,'fuels and tailpipe emissions'!$B$10:$B$126,'vehicles specifications'!CH$2)/1000*$AQ40</f>
        <v>1.1314982664762604E-8</v>
      </c>
      <c r="CI40" s="7">
        <f>VLOOKUP(B40,'abrasion emissions'!$A$4:$D$32,4,FALSE)</f>
        <v>6.0000000000000002E-6</v>
      </c>
      <c r="CJ40" s="7">
        <f>VLOOKUP(B40,'abrasion emissions'!$A$4:$D$32,2,FALSE)</f>
        <v>6.3939999999999993E-6</v>
      </c>
      <c r="CK40" s="7">
        <f>VLOOKUP(B40,'abrasion emissions'!$A$4:$D$32,3,FALSE)</f>
        <v>6.1789999999999996E-6</v>
      </c>
    </row>
    <row r="41" spans="1:89" x14ac:dyDescent="0.3">
      <c r="A41" t="str">
        <f t="shared" si="1"/>
        <v>Scooter, gasoline, 4-11kW, EURO-5 - 2020 - CH</v>
      </c>
      <c r="B41" t="s">
        <v>638</v>
      </c>
      <c r="D41">
        <v>2020</v>
      </c>
      <c r="E41" t="s">
        <v>37</v>
      </c>
      <c r="F41" t="s">
        <v>149</v>
      </c>
      <c r="G41" t="s">
        <v>39</v>
      </c>
      <c r="H41" t="s">
        <v>35</v>
      </c>
      <c r="J41" s="21">
        <v>39800</v>
      </c>
      <c r="K41" s="21">
        <v>2731</v>
      </c>
      <c r="L41" s="2">
        <f t="shared" si="2"/>
        <v>14.573416331014281</v>
      </c>
      <c r="M41">
        <v>1</v>
      </c>
      <c r="N41">
        <v>70</v>
      </c>
      <c r="O41">
        <v>4</v>
      </c>
      <c r="P41" s="2">
        <f t="shared" si="13"/>
        <v>128.03749999999999</v>
      </c>
      <c r="Q41" s="2">
        <f t="shared" si="3"/>
        <v>202.03749999999999</v>
      </c>
      <c r="R41" s="21">
        <v>8.8000000000000007</v>
      </c>
      <c r="S41" s="2">
        <v>90</v>
      </c>
      <c r="T41" s="1">
        <v>0</v>
      </c>
      <c r="U41" s="2">
        <f t="shared" si="4"/>
        <v>90</v>
      </c>
      <c r="V41">
        <v>32</v>
      </c>
      <c r="W41">
        <v>0</v>
      </c>
      <c r="X41" s="3">
        <v>0</v>
      </c>
      <c r="Y41" s="1">
        <v>0.8</v>
      </c>
      <c r="Z41" s="3">
        <f t="shared" si="5"/>
        <v>0</v>
      </c>
      <c r="AA41" s="3">
        <v>0</v>
      </c>
      <c r="AB41" s="3">
        <v>0</v>
      </c>
      <c r="AC41" s="3">
        <f t="shared" si="7"/>
        <v>0</v>
      </c>
      <c r="AD41" s="3">
        <v>0</v>
      </c>
      <c r="AE41" s="3">
        <v>7</v>
      </c>
      <c r="AF41">
        <f>AE41*'fuels and tailpipe emissions'!$B$3</f>
        <v>5.25</v>
      </c>
      <c r="AG41" s="2">
        <f>AF41*'fuels and tailpipe emissions'!$C$3</f>
        <v>61.833333333333329</v>
      </c>
      <c r="AH41" s="3">
        <f t="shared" si="16"/>
        <v>0.78749999999999998</v>
      </c>
      <c r="AI41">
        <v>0</v>
      </c>
      <c r="AJ41">
        <v>0</v>
      </c>
      <c r="AK41">
        <f t="shared" si="30"/>
        <v>1</v>
      </c>
      <c r="AL41">
        <f t="shared" si="15"/>
        <v>1.084941375E-4</v>
      </c>
      <c r="AM41">
        <v>1.2899999999999999E-3</v>
      </c>
      <c r="AN41" s="2">
        <f t="shared" si="9"/>
        <v>90</v>
      </c>
      <c r="AO41" s="2">
        <f t="shared" si="10"/>
        <v>32</v>
      </c>
      <c r="AP41" s="2">
        <f t="shared" si="11"/>
        <v>0</v>
      </c>
      <c r="AQ41" s="6">
        <v>1.0372067442699053</v>
      </c>
      <c r="AR41" s="6" t="str">
        <f>IF($H41="BEV",SUMPRODUCT(#REF!,#REF!),"")</f>
        <v/>
      </c>
      <c r="AS41" s="2">
        <f>SUM(Z41,AG41)/(SUM(AQ41:AR41)/3.6)</f>
        <v>214.61487907764152</v>
      </c>
      <c r="AT41" s="5">
        <f>IF($H41="ICEV-p",$AQ41/('fuels and tailpipe emissions'!$C$3*3.6)*'fuels and tailpipe emissions'!$D$3,"")</f>
        <v>7.7790505820242911E-2</v>
      </c>
      <c r="AU41" s="7">
        <f>IF($H41="ICEV-p",$AQ41/('fuels and tailpipe emissions'!$C$3*3.6)*'fuels and tailpipe emissions'!$E$3,"")</f>
        <v>3.9139877142260582E-7</v>
      </c>
      <c r="AV41" s="7">
        <f>SUMIFS('fuels and tailpipe emissions'!$C$10:$C$126,'fuels and tailpipe emissions'!$A$10:$A$126,'vehicles specifications'!$F41,'fuels and tailpipe emissions'!$B$10:$B$126,'vehicles specifications'!AV$2)/1000*$AQ41</f>
        <v>6.3064426309838157E-5</v>
      </c>
      <c r="AW41" s="7">
        <f>SUMIFS('fuels and tailpipe emissions'!$C$10:$C$126,'fuels and tailpipe emissions'!$A$10:$A$126,'vehicles specifications'!$F41,'fuels and tailpipe emissions'!$B$10:$B$126,'vehicles specifications'!AW$2)/1000*$AQ41</f>
        <v>2.8595281318181901E-5</v>
      </c>
      <c r="AX41" s="7">
        <f>SUMIFS('fuels and tailpipe emissions'!$C$10:$C$126,'fuels and tailpipe emissions'!$A$10:$A$126,'vehicles specifications'!$F41,'fuels and tailpipe emissions'!$B$10:$B$126,'vehicles specifications'!AX$2)/1000*$AQ41</f>
        <v>3.0236603800841816E-3</v>
      </c>
      <c r="AY41" s="7">
        <f>SUMIFS('fuels and tailpipe emissions'!$C$10:$C$126,'fuels and tailpipe emissions'!$A$10:$A$126,'vehicles specifications'!$F41,'fuels and tailpipe emissions'!$B$10:$B$126,'vehicles specifications'!AY$2)/1000*$AQ41</f>
        <v>1.4508006757068449E-6</v>
      </c>
      <c r="AZ41" s="7">
        <f>SUMIFS('fuels and tailpipe emissions'!$C$10:$C$126,'fuels and tailpipe emissions'!$A$10:$A$126,'vehicles specifications'!$F41,'fuels and tailpipe emissions'!$B$10:$B$126,'vehicles specifications'!AZ$2)/1000*$AQ41</f>
        <v>1.4508006757068449E-6</v>
      </c>
      <c r="BA41" s="7">
        <f>SUMIFS('fuels and tailpipe emissions'!$C$10:$C$126,'fuels and tailpipe emissions'!$A$10:$A$126,'vehicles specifications'!$F41,'fuels and tailpipe emissions'!$B$10:$B$126,'vehicles specifications'!BA$2)/1000*$AQ41</f>
        <v>1.0879657108582329E-4</v>
      </c>
      <c r="BB41" s="7">
        <f>SUMIFS('fuels and tailpipe emissions'!$C$10:$C$126,'fuels and tailpipe emissions'!$A$10:$A$126,'vehicles specifications'!$F41,'fuels and tailpipe emissions'!$B$10:$B$126,'vehicles specifications'!BB$2)/1000*$AQ41</f>
        <v>8.3319482805844091E-6</v>
      </c>
      <c r="BC41" s="7">
        <f>SUMIFS('fuels and tailpipe emissions'!$C$10:$C$126,'fuels and tailpipe emissions'!$A$10:$A$126,'vehicles specifications'!$F41,'fuels and tailpipe emissions'!$B$10:$B$126,'vehicles specifications'!BC$2)/1000*$AQ41</f>
        <v>5.0856232553602115E-4</v>
      </c>
      <c r="BD41" s="7">
        <f>SUMIFS('fuels and tailpipe emissions'!$C$10:$C$126,'fuels and tailpipe emissions'!$A$10:$A$126,'vehicles specifications'!$F41,'fuels and tailpipe emissions'!$B$10:$B$126,'vehicles specifications'!BD$2)/1000*$AQ41</f>
        <v>3.5860163980104051E-5</v>
      </c>
      <c r="BE41" s="7">
        <f>SUMIFS('fuels and tailpipe emissions'!$C$10:$C$126,'fuels and tailpipe emissions'!$A$10:$A$126,'vehicles specifications'!$F41,'fuels and tailpipe emissions'!$B$10:$B$126,'vehicles specifications'!BE$2)/1000*$AQ41</f>
        <v>7.3069299645980046E-6</v>
      </c>
      <c r="BF41" s="7">
        <f>SUMIFS('fuels and tailpipe emissions'!$C$10:$C$126,'fuels and tailpipe emissions'!$A$10:$A$126,'vehicles specifications'!$F41,'fuels and tailpipe emissions'!$B$10:$B$126,'vehicles specifications'!BF$2)/1000*$AQ41</f>
        <v>5.8905096945374687E-5</v>
      </c>
      <c r="BG41" s="7">
        <f>SUMIFS('fuels and tailpipe emissions'!$C$10:$C$126,'fuels and tailpipe emissions'!$A$10:$A$126,'vehicles specifications'!$F41,'fuels and tailpipe emissions'!$B$10:$B$126,'vehicles specifications'!BG$2)/1000*$AQ41</f>
        <v>2.4169076036747247E-5</v>
      </c>
      <c r="BH41" s="7">
        <f>SUMIFS('fuels and tailpipe emissions'!$C$10:$C$126,'fuels and tailpipe emissions'!$A$10:$A$126,'vehicles specifications'!$F41,'fuels and tailpipe emissions'!$B$10:$B$126,'vehicles specifications'!BH$2)/1000*$AQ41</f>
        <v>1.8098703450773521E-5</v>
      </c>
      <c r="BI41" s="7">
        <f>SUMIFS('fuels and tailpipe emissions'!$C$10:$C$126,'fuels and tailpipe emissions'!$A$10:$A$126,'vehicles specifications'!$F41,'fuels and tailpipe emissions'!$B$10:$B$126,'vehicles specifications'!BI$2)/1000*$AQ41</f>
        <v>1.2815231014833424E-5</v>
      </c>
      <c r="BJ41" s="7">
        <f>SUMIFS('fuels and tailpipe emissions'!$C$10:$C$126,'fuels and tailpipe emissions'!$A$10:$A$126,'vehicles specifications'!$F41,'fuels and tailpipe emissions'!$B$10:$B$126,'vehicles specifications'!BJ$2)/1000*$AQ41</f>
        <v>8.3186587289269597E-6</v>
      </c>
      <c r="BK41" s="7">
        <f>SUMIFS('fuels and tailpipe emissions'!$C$10:$C$126,'fuels and tailpipe emissions'!$A$10:$A$126,'vehicles specifications'!$F41,'fuels and tailpipe emissions'!$B$10:$B$126,'vehicles specifications'!BK$2)/1000*$AQ41</f>
        <v>8.2062444217792976E-5</v>
      </c>
      <c r="BL41" s="7">
        <f>SUMIFS('fuels and tailpipe emissions'!$C$10:$C$126,'fuels and tailpipe emissions'!$A$10:$A$126,'vehicles specifications'!$F41,'fuels and tailpipe emissions'!$B$10:$B$126,'vehicles specifications'!BL$2)/1000*$AQ41</f>
        <v>4.2942265330406731E-5</v>
      </c>
      <c r="BM41" s="7">
        <f>SUMIFS('fuels and tailpipe emissions'!$C$10:$C$126,'fuels and tailpipe emissions'!$A$10:$A$126,'vehicles specifications'!$F41,'fuels and tailpipe emissions'!$B$10:$B$126,'vehicles specifications'!BM$2)/1000*$AQ41</f>
        <v>1.2365573786242778E-6</v>
      </c>
      <c r="BN41" s="7">
        <f>SUMIFS('fuels and tailpipe emissions'!$C$10:$C$126,'fuels and tailpipe emissions'!$A$10:$A$126,'vehicles specifications'!$F41,'fuels and tailpipe emissions'!$B$10:$B$126,'vehicles specifications'!BN$2)/1000*$AQ41</f>
        <v>6.3064426309838157E-5</v>
      </c>
      <c r="BO41" s="7">
        <f>SUMIFS('fuels and tailpipe emissions'!$C$10:$C$126,'fuels and tailpipe emissions'!$A$10:$A$126,'vehicles specifications'!$F41,'fuels and tailpipe emissions'!$B$10:$B$126,'vehicles specifications'!BO$2)/1000*$AQ41</f>
        <v>1.2343090924813246E-4</v>
      </c>
      <c r="BP41" s="7">
        <f>SUMIFS('fuels and tailpipe emissions'!$C$10:$C$126,'fuels and tailpipe emissions'!$A$10:$A$126,'vehicles specifications'!$F41,'fuels and tailpipe emissions'!$B$10:$B$126,'vehicles specifications'!BP$2)/1000*$AQ41</f>
        <v>6.1040968781180262E-5</v>
      </c>
      <c r="BQ41" s="7">
        <f>SUMIFS('fuels and tailpipe emissions'!$C$10:$C$126,'fuels and tailpipe emissions'!$A$10:$A$126,'vehicles specifications'!$F41,'fuels and tailpipe emissions'!$B$10:$B$126,'vehicles specifications'!BQ$2)/1000*$AQ41</f>
        <v>2.5405633415371523E-5</v>
      </c>
      <c r="BR41" s="7">
        <f>SUMIFS('fuels and tailpipe emissions'!$C$10:$C$126,'fuels and tailpipe emissions'!$A$10:$A$126,'vehicles specifications'!$F41,'fuels and tailpipe emissions'!$B$10:$B$126,'vehicles specifications'!BR$2)/1000*$AQ41</f>
        <v>1.9110432215102475E-5</v>
      </c>
      <c r="BS41" s="7">
        <f>SUMIFS('fuels and tailpipe emissions'!$C$10:$C$126,'fuels and tailpipe emissions'!$A$10:$A$126,'vehicles specifications'!$F41,'fuels and tailpipe emissions'!$B$10:$B$126,'vehicles specifications'!BS$2)/1000*$AQ41</f>
        <v>8.4310730360746207E-6</v>
      </c>
      <c r="BT41" s="7">
        <f>SUMIFS('fuels and tailpipe emissions'!$C$10:$C$126,'fuels and tailpipe emissions'!$A$10:$A$126,'vehicles specifications'!$F41,'fuels and tailpipe emissions'!$B$10:$B$126,'vehicles specifications'!BT$2)/1000*$AQ41</f>
        <v>2.4731147572485556E-6</v>
      </c>
      <c r="BU41" s="7">
        <f>SUMIFS('fuels and tailpipe emissions'!$C$10:$C$126,'fuels and tailpipe emissions'!$A$10:$A$126,'vehicles specifications'!$F41,'fuels and tailpipe emissions'!$B$10:$B$126,'vehicles specifications'!BU$2)/1000*$AQ41</f>
        <v>6.8572727360073596E-6</v>
      </c>
      <c r="BV41" s="7">
        <f>SUMIFS('fuels and tailpipe emissions'!$C$10:$C$126,'fuels and tailpipe emissions'!$A$10:$A$126,'vehicles specifications'!$F41,'fuels and tailpipe emissions'!$B$10:$B$126,'vehicles specifications'!BV$2)/1000*$AQ41</f>
        <v>0</v>
      </c>
      <c r="BW41" s="7">
        <f>SUMIFS('fuels and tailpipe emissions'!$C$10:$C$126,'fuels and tailpipe emissions'!$A$10:$A$126,'vehicles specifications'!$F41,'fuels and tailpipe emissions'!$B$10:$B$126,'vehicles specifications'!BW$2)/1000*$AQ41</f>
        <v>2.1358718358055709E-6</v>
      </c>
      <c r="BX41" s="7">
        <f>SUMIFS('fuels and tailpipe emissions'!$C$10:$C$126,'fuels and tailpipe emissions'!$A$10:$A$126,'vehicles specifications'!$F41,'fuels and tailpipe emissions'!$B$10:$B$126,'vehicles specifications'!BX$2)/1000*$AQ41</f>
        <v>1.1353845021913823E-5</v>
      </c>
      <c r="BY41" s="7">
        <f>SUMIFS('fuels and tailpipe emissions'!$C$10:$C$126,'fuels and tailpipe emissions'!$A$10:$A$126,'vehicles specifications'!$F41,'fuels and tailpipe emissions'!$B$10:$B$126,'vehicles specifications'!BY$2)/1000*$AQ41</f>
        <v>3.6094794700592704E-8</v>
      </c>
      <c r="BZ41" s="7">
        <f>SUMIFS('fuels and tailpipe emissions'!$C$10:$C$126,'fuels and tailpipe emissions'!$A$10:$A$126,'vehicles specifications'!$F41,'fuels and tailpipe emissions'!$B$10:$B$126,'vehicles specifications'!BZ$2)/1000*$AQ41</f>
        <v>3.1116202328097162E-10</v>
      </c>
      <c r="CA41" s="7">
        <f>SUMIFS('fuels and tailpipe emissions'!$C$10:$C$126,'fuels and tailpipe emissions'!$A$10:$A$126,'vehicles specifications'!$F41,'fuels and tailpipe emissions'!$B$10:$B$126,'vehicles specifications'!CA$2)/1000*$AQ41</f>
        <v>2.0744134885398107E-10</v>
      </c>
      <c r="CB41" s="7">
        <f>SUMIFS('fuels and tailpipe emissions'!$C$10:$C$126,'fuels and tailpipe emissions'!$A$10:$A$126,'vehicles specifications'!$F41,'fuels and tailpipe emissions'!$B$10:$B$126,'vehicles specifications'!CB$2)/1000*$AQ41</f>
        <v>2.2403665676229954E-6</v>
      </c>
      <c r="CC41" s="7">
        <f>SUMIFS('fuels and tailpipe emissions'!$C$10:$C$126,'fuels and tailpipe emissions'!$A$10:$A$126,'vehicles specifications'!$F41,'fuels and tailpipe emissions'!$B$10:$B$126,'vehicles specifications'!CC$2)/1000*$AQ41</f>
        <v>4.3562683259336024E-8</v>
      </c>
      <c r="CD41" s="7">
        <f>SUMIFS('fuels and tailpipe emissions'!$C$10:$C$126,'fuels and tailpipe emissions'!$A$10:$A$126,'vehicles specifications'!$F41,'fuels and tailpipe emissions'!$B$10:$B$126,'vehicles specifications'!CD$2)/1000*$AQ41</f>
        <v>1.348368767550877E-8</v>
      </c>
      <c r="CE41" s="7">
        <f>SUMIFS('fuels and tailpipe emissions'!$C$10:$C$126,'fuels and tailpipe emissions'!$A$10:$A$126,'vehicles specifications'!$F41,'fuels and tailpipe emissions'!$B$10:$B$126,'vehicles specifications'!CE$2)/1000*$AQ41</f>
        <v>1.659530790831849E-8</v>
      </c>
      <c r="CF41" s="7">
        <f>SUMIFS('fuels and tailpipe emissions'!$C$10:$C$126,'fuels and tailpipe emissions'!$A$10:$A$126,'vehicles specifications'!$F41,'fuels and tailpipe emissions'!$B$10:$B$126,'vehicles specifications'!CF$2)/1000*$AQ41</f>
        <v>3.3190615816636971E-11</v>
      </c>
      <c r="CG41" s="7">
        <f>SUMIFS('fuels and tailpipe emissions'!$C$10:$C$126,'fuels and tailpipe emissions'!$A$10:$A$126,'vehicles specifications'!$F41,'fuels and tailpipe emissions'!$B$10:$B$126,'vehicles specifications'!CG$2)/1000*$AQ41</f>
        <v>9.0236986751481759E-9</v>
      </c>
      <c r="CH41" s="7">
        <f>SUMIFS('fuels and tailpipe emissions'!$C$10:$C$126,'fuels and tailpipe emissions'!$A$10:$A$126,'vehicles specifications'!$F41,'fuels and tailpipe emissions'!$B$10:$B$126,'vehicles specifications'!CH$2)/1000*$AQ41</f>
        <v>1.1201832838114978E-8</v>
      </c>
      <c r="CI41" s="7">
        <f>VLOOKUP(B41,'abrasion emissions'!$A$4:$D$32,4,FALSE)</f>
        <v>6.0000000000000002E-6</v>
      </c>
      <c r="CJ41" s="7">
        <f>VLOOKUP(B41,'abrasion emissions'!$A$4:$D$32,2,FALSE)</f>
        <v>6.3939999999999993E-6</v>
      </c>
      <c r="CK41" s="7">
        <f>VLOOKUP(B41,'abrasion emissions'!$A$4:$D$32,3,FALSE)</f>
        <v>6.1789999999999996E-6</v>
      </c>
    </row>
    <row r="42" spans="1:89" x14ac:dyDescent="0.3">
      <c r="A42" t="str">
        <f t="shared" si="1"/>
        <v>Scooter, gasoline, 4-11kW, EURO-5 - 2030 - CH</v>
      </c>
      <c r="B42" t="s">
        <v>638</v>
      </c>
      <c r="D42">
        <v>2030</v>
      </c>
      <c r="E42" t="s">
        <v>37</v>
      </c>
      <c r="F42" t="s">
        <v>149</v>
      </c>
      <c r="G42" t="s">
        <v>39</v>
      </c>
      <c r="H42" t="s">
        <v>35</v>
      </c>
      <c r="J42" s="21">
        <v>39800</v>
      </c>
      <c r="K42" s="21">
        <v>2731</v>
      </c>
      <c r="L42" s="2">
        <f t="shared" si="2"/>
        <v>14.573416331014281</v>
      </c>
      <c r="M42">
        <v>1</v>
      </c>
      <c r="N42">
        <v>70</v>
      </c>
      <c r="O42">
        <v>4</v>
      </c>
      <c r="P42" s="2">
        <f t="shared" si="13"/>
        <v>124.33749999999999</v>
      </c>
      <c r="Q42" s="2">
        <f t="shared" si="3"/>
        <v>198.33749999999998</v>
      </c>
      <c r="R42" s="21">
        <v>8.8000000000000007</v>
      </c>
      <c r="S42" s="2">
        <v>90</v>
      </c>
      <c r="T42" s="1">
        <v>0.03</v>
      </c>
      <c r="U42" s="2">
        <f t="shared" si="4"/>
        <v>87.3</v>
      </c>
      <c r="V42">
        <v>31</v>
      </c>
      <c r="W42">
        <v>0</v>
      </c>
      <c r="X42" s="3">
        <v>0</v>
      </c>
      <c r="Y42" s="1">
        <v>0.8</v>
      </c>
      <c r="Z42" s="3">
        <f t="shared" si="5"/>
        <v>0</v>
      </c>
      <c r="AA42" s="3">
        <v>0</v>
      </c>
      <c r="AB42" s="3">
        <v>0</v>
      </c>
      <c r="AC42" s="3">
        <f t="shared" si="7"/>
        <v>0</v>
      </c>
      <c r="AD42" s="3">
        <v>0</v>
      </c>
      <c r="AE42" s="3">
        <v>7</v>
      </c>
      <c r="AF42">
        <f>AE42*'fuels and tailpipe emissions'!$B$3</f>
        <v>5.25</v>
      </c>
      <c r="AG42" s="2">
        <f>AF42*'fuels and tailpipe emissions'!$C$3</f>
        <v>61.833333333333329</v>
      </c>
      <c r="AH42" s="3">
        <f t="shared" si="16"/>
        <v>0.78749999999999998</v>
      </c>
      <c r="AI42">
        <v>0</v>
      </c>
      <c r="AJ42">
        <v>0</v>
      </c>
      <c r="AK42">
        <f t="shared" si="30"/>
        <v>1</v>
      </c>
      <c r="AL42">
        <f t="shared" si="15"/>
        <v>1.0650723749999999E-4</v>
      </c>
      <c r="AM42">
        <v>1.2899999999999999E-3</v>
      </c>
      <c r="AN42" s="2">
        <f t="shared" si="9"/>
        <v>87.3</v>
      </c>
      <c r="AO42" s="2">
        <f t="shared" si="10"/>
        <v>31</v>
      </c>
      <c r="AP42" s="2">
        <f t="shared" si="11"/>
        <v>0</v>
      </c>
      <c r="AQ42" s="6">
        <v>1.0268346768272063</v>
      </c>
      <c r="AR42" s="6" t="str">
        <f>IF($H42="BEV",SUMPRODUCT(#REF!,#REF!),"")</f>
        <v/>
      </c>
      <c r="AS42" s="2">
        <f>SUM(Z42,AG42)/(SUM(AQ42:AR42)/3.6)</f>
        <v>216.78270613903183</v>
      </c>
      <c r="AT42" s="5">
        <f>IF($H42="ICEV-p",$AQ42/('fuels and tailpipe emissions'!$C$3*3.6)*'fuels and tailpipe emissions'!$D$3,"")</f>
        <v>7.7012600762040473E-2</v>
      </c>
      <c r="AU42" s="7">
        <f>IF($H42="ICEV-p",$AQ42/('fuels and tailpipe emissions'!$C$3*3.6)*'fuels and tailpipe emissions'!$E$3,"")</f>
        <v>3.874847837083797E-7</v>
      </c>
      <c r="AV42" s="7">
        <f>SUMIFS('fuels and tailpipe emissions'!$C$10:$C$126,'fuels and tailpipe emissions'!$A$10:$A$126,'vehicles specifications'!$F42,'fuels and tailpipe emissions'!$B$10:$B$126,'vehicles specifications'!AV$2)/1000*$AQ42</f>
        <v>6.2433782046739775E-5</v>
      </c>
      <c r="AW42" s="7">
        <f>SUMIFS('fuels and tailpipe emissions'!$C$10:$C$126,'fuels and tailpipe emissions'!$A$10:$A$126,'vehicles specifications'!$F42,'fuels and tailpipe emissions'!$B$10:$B$126,'vehicles specifications'!AW$2)/1000*$AQ42</f>
        <v>2.8309328505000081E-5</v>
      </c>
      <c r="AX42" s="7">
        <f>SUMIFS('fuels and tailpipe emissions'!$C$10:$C$126,'fuels and tailpipe emissions'!$A$10:$A$126,'vehicles specifications'!$F42,'fuels and tailpipe emissions'!$B$10:$B$126,'vehicles specifications'!AX$2)/1000*$AQ42</f>
        <v>2.99342377628334E-3</v>
      </c>
      <c r="AY42" s="7">
        <f>SUMIFS('fuels and tailpipe emissions'!$C$10:$C$126,'fuels and tailpipe emissions'!$A$10:$A$126,'vehicles specifications'!$F42,'fuels and tailpipe emissions'!$B$10:$B$126,'vehicles specifications'!AY$2)/1000*$AQ42</f>
        <v>1.4362926689497763E-6</v>
      </c>
      <c r="AZ42" s="7">
        <f>SUMIFS('fuels and tailpipe emissions'!$C$10:$C$126,'fuels and tailpipe emissions'!$A$10:$A$126,'vehicles specifications'!$F42,'fuels and tailpipe emissions'!$B$10:$B$126,'vehicles specifications'!AZ$2)/1000*$AQ42</f>
        <v>1.4362926689497763E-6</v>
      </c>
      <c r="BA42" s="7">
        <f>SUMIFS('fuels and tailpipe emissions'!$C$10:$C$126,'fuels and tailpipe emissions'!$A$10:$A$126,'vehicles specifications'!$F42,'fuels and tailpipe emissions'!$B$10:$B$126,'vehicles specifications'!BA$2)/1000*$AQ42</f>
        <v>1.0770860537496506E-4</v>
      </c>
      <c r="BB42" s="7">
        <f>SUMIFS('fuels and tailpipe emissions'!$C$10:$C$126,'fuels and tailpipe emissions'!$A$10:$A$126,'vehicles specifications'!$F42,'fuels and tailpipe emissions'!$B$10:$B$126,'vehicles specifications'!BB$2)/1000*$AQ42</f>
        <v>8.248628797778565E-6</v>
      </c>
      <c r="BC42" s="7">
        <f>SUMIFS('fuels and tailpipe emissions'!$C$10:$C$126,'fuels and tailpipe emissions'!$A$10:$A$126,'vehicles specifications'!$F42,'fuels and tailpipe emissions'!$B$10:$B$126,'vehicles specifications'!BC$2)/1000*$AQ42</f>
        <v>5.0347670228066102E-4</v>
      </c>
      <c r="BD42" s="7">
        <f>SUMIFS('fuels and tailpipe emissions'!$C$10:$C$126,'fuels and tailpipe emissions'!$A$10:$A$126,'vehicles specifications'!$F42,'fuels and tailpipe emissions'!$B$10:$B$126,'vehicles specifications'!BD$2)/1000*$AQ42</f>
        <v>3.550156234030301E-5</v>
      </c>
      <c r="BE42" s="7">
        <f>SUMIFS('fuels and tailpipe emissions'!$C$10:$C$126,'fuels and tailpipe emissions'!$A$10:$A$126,'vehicles specifications'!$F42,'fuels and tailpipe emissions'!$B$10:$B$126,'vehicles specifications'!BE$2)/1000*$AQ42</f>
        <v>7.2338606649520251E-6</v>
      </c>
      <c r="BF42" s="7">
        <f>SUMIFS('fuels and tailpipe emissions'!$C$10:$C$126,'fuels and tailpipe emissions'!$A$10:$A$126,'vehicles specifications'!$F42,'fuels and tailpipe emissions'!$B$10:$B$126,'vehicles specifications'!BF$2)/1000*$AQ42</f>
        <v>5.8316045975920942E-5</v>
      </c>
      <c r="BG42" s="7">
        <f>SUMIFS('fuels and tailpipe emissions'!$C$10:$C$126,'fuels and tailpipe emissions'!$A$10:$A$126,'vehicles specifications'!$F42,'fuels and tailpipe emissions'!$B$10:$B$126,'vehicles specifications'!BG$2)/1000*$AQ42</f>
        <v>2.3927385276379776E-5</v>
      </c>
      <c r="BH42" s="7">
        <f>SUMIFS('fuels and tailpipe emissions'!$C$10:$C$126,'fuels and tailpipe emissions'!$A$10:$A$126,'vehicles specifications'!$F42,'fuels and tailpipe emissions'!$B$10:$B$126,'vehicles specifications'!BH$2)/1000*$AQ42</f>
        <v>1.7917716416265787E-5</v>
      </c>
      <c r="BI42" s="7">
        <f>SUMIFS('fuels and tailpipe emissions'!$C$10:$C$126,'fuels and tailpipe emissions'!$A$10:$A$126,'vehicles specifications'!$F42,'fuels and tailpipe emissions'!$B$10:$B$126,'vehicles specifications'!BI$2)/1000*$AQ42</f>
        <v>1.268707870468509E-5</v>
      </c>
      <c r="BJ42" s="7">
        <f>SUMIFS('fuels and tailpipe emissions'!$C$10:$C$126,'fuels and tailpipe emissions'!$A$10:$A$126,'vehicles specifications'!$F42,'fuels and tailpipe emissions'!$B$10:$B$126,'vehicles specifications'!BJ$2)/1000*$AQ42</f>
        <v>8.2354721416376894E-6</v>
      </c>
      <c r="BK42" s="7">
        <f>SUMIFS('fuels and tailpipe emissions'!$C$10:$C$126,'fuels and tailpipe emissions'!$A$10:$A$126,'vehicles specifications'!$F42,'fuels and tailpipe emissions'!$B$10:$B$126,'vehicles specifications'!BK$2)/1000*$AQ42</f>
        <v>8.1241819775615057E-5</v>
      </c>
      <c r="BL42" s="7">
        <f>SUMIFS('fuels and tailpipe emissions'!$C$10:$C$126,'fuels and tailpipe emissions'!$A$10:$A$126,'vehicles specifications'!$F42,'fuels and tailpipe emissions'!$B$10:$B$126,'vehicles specifications'!BL$2)/1000*$AQ42</f>
        <v>4.2512842677102667E-5</v>
      </c>
      <c r="BM42" s="7">
        <f>SUMIFS('fuels and tailpipe emissions'!$C$10:$C$126,'fuels and tailpipe emissions'!$A$10:$A$126,'vehicles specifications'!$F42,'fuels and tailpipe emissions'!$B$10:$B$126,'vehicles specifications'!BM$2)/1000*$AQ42</f>
        <v>1.2241918048380351E-6</v>
      </c>
      <c r="BN42" s="7">
        <f>SUMIFS('fuels and tailpipe emissions'!$C$10:$C$126,'fuels and tailpipe emissions'!$A$10:$A$126,'vehicles specifications'!$F42,'fuels and tailpipe emissions'!$B$10:$B$126,'vehicles specifications'!BN$2)/1000*$AQ42</f>
        <v>6.2433782046739775E-5</v>
      </c>
      <c r="BO42" s="7">
        <f>SUMIFS('fuels and tailpipe emissions'!$C$10:$C$126,'fuels and tailpipe emissions'!$A$10:$A$126,'vehicles specifications'!$F42,'fuels and tailpipe emissions'!$B$10:$B$126,'vehicles specifications'!BO$2)/1000*$AQ42</f>
        <v>1.2219660015565112E-4</v>
      </c>
      <c r="BP42" s="7">
        <f>SUMIFS('fuels and tailpipe emissions'!$C$10:$C$126,'fuels and tailpipe emissions'!$A$10:$A$126,'vehicles specifications'!$F42,'fuels and tailpipe emissions'!$B$10:$B$126,'vehicles specifications'!BP$2)/1000*$AQ42</f>
        <v>6.043055909336846E-5</v>
      </c>
      <c r="BQ42" s="7">
        <f>SUMIFS('fuels and tailpipe emissions'!$C$10:$C$126,'fuels and tailpipe emissions'!$A$10:$A$126,'vehicles specifications'!$F42,'fuels and tailpipe emissions'!$B$10:$B$126,'vehicles specifications'!BQ$2)/1000*$AQ42</f>
        <v>2.515157708121781E-5</v>
      </c>
      <c r="BR42" s="7">
        <f>SUMIFS('fuels and tailpipe emissions'!$C$10:$C$126,'fuels and tailpipe emissions'!$A$10:$A$126,'vehicles specifications'!$F42,'fuels and tailpipe emissions'!$B$10:$B$126,'vehicles specifications'!BR$2)/1000*$AQ42</f>
        <v>1.8919327892951451E-5</v>
      </c>
      <c r="BS42" s="7">
        <f>SUMIFS('fuels and tailpipe emissions'!$C$10:$C$126,'fuels and tailpipe emissions'!$A$10:$A$126,'vehicles specifications'!$F42,'fuels and tailpipe emissions'!$B$10:$B$126,'vehicles specifications'!BS$2)/1000*$AQ42</f>
        <v>8.3467623057138745E-6</v>
      </c>
      <c r="BT42" s="7">
        <f>SUMIFS('fuels and tailpipe emissions'!$C$10:$C$126,'fuels and tailpipe emissions'!$A$10:$A$126,'vehicles specifications'!$F42,'fuels and tailpipe emissions'!$B$10:$B$126,'vehicles specifications'!BT$2)/1000*$AQ42</f>
        <v>2.4483836096760702E-6</v>
      </c>
      <c r="BU42" s="7">
        <f>SUMIFS('fuels and tailpipe emissions'!$C$10:$C$126,'fuels and tailpipe emissions'!$A$10:$A$126,'vehicles specifications'!$F42,'fuels and tailpipe emissions'!$B$10:$B$126,'vehicles specifications'!BU$2)/1000*$AQ42</f>
        <v>6.7887000086472864E-6</v>
      </c>
      <c r="BV42" s="7">
        <f>SUMIFS('fuels and tailpipe emissions'!$C$10:$C$126,'fuels and tailpipe emissions'!$A$10:$A$126,'vehicles specifications'!$F42,'fuels and tailpipe emissions'!$B$10:$B$126,'vehicles specifications'!BV$2)/1000*$AQ42</f>
        <v>0</v>
      </c>
      <c r="BW42" s="7">
        <f>SUMIFS('fuels and tailpipe emissions'!$C$10:$C$126,'fuels and tailpipe emissions'!$A$10:$A$126,'vehicles specifications'!$F42,'fuels and tailpipe emissions'!$B$10:$B$126,'vehicles specifications'!BW$2)/1000*$AQ42</f>
        <v>2.1145131174475149E-6</v>
      </c>
      <c r="BX42" s="7">
        <f>SUMIFS('fuels and tailpipe emissions'!$C$10:$C$126,'fuels and tailpipe emissions'!$A$10:$A$126,'vehicles specifications'!$F42,'fuels and tailpipe emissions'!$B$10:$B$126,'vehicles specifications'!BX$2)/1000*$AQ42</f>
        <v>1.1240306571694684E-5</v>
      </c>
      <c r="BY42" s="7">
        <f>SUMIFS('fuels and tailpipe emissions'!$C$10:$C$126,'fuels and tailpipe emissions'!$A$10:$A$126,'vehicles specifications'!$F42,'fuels and tailpipe emissions'!$B$10:$B$126,'vehicles specifications'!BY$2)/1000*$AQ42</f>
        <v>3.5733846753586782E-8</v>
      </c>
      <c r="BZ42" s="7">
        <f>SUMIFS('fuels and tailpipe emissions'!$C$10:$C$126,'fuels and tailpipe emissions'!$A$10:$A$126,'vehicles specifications'!$F42,'fuels and tailpipe emissions'!$B$10:$B$126,'vehicles specifications'!BZ$2)/1000*$AQ42</f>
        <v>3.0805040304816191E-10</v>
      </c>
      <c r="CA42" s="7">
        <f>SUMIFS('fuels and tailpipe emissions'!$C$10:$C$126,'fuels and tailpipe emissions'!$A$10:$A$126,'vehicles specifications'!$F42,'fuels and tailpipe emissions'!$B$10:$B$126,'vehicles specifications'!CA$2)/1000*$AQ42</f>
        <v>2.0536693536544127E-10</v>
      </c>
      <c r="CB42" s="7">
        <f>SUMIFS('fuels and tailpipe emissions'!$C$10:$C$126,'fuels and tailpipe emissions'!$A$10:$A$126,'vehicles specifications'!$F42,'fuels and tailpipe emissions'!$B$10:$B$126,'vehicles specifications'!CB$2)/1000*$AQ42</f>
        <v>2.2179629019467658E-6</v>
      </c>
      <c r="CC42" s="7">
        <f>SUMIFS('fuels and tailpipe emissions'!$C$10:$C$126,'fuels and tailpipe emissions'!$A$10:$A$126,'vehicles specifications'!$F42,'fuels and tailpipe emissions'!$B$10:$B$126,'vehicles specifications'!CC$2)/1000*$AQ42</f>
        <v>4.3127056426742661E-8</v>
      </c>
      <c r="CD42" s="7">
        <f>SUMIFS('fuels and tailpipe emissions'!$C$10:$C$126,'fuels and tailpipe emissions'!$A$10:$A$126,'vehicles specifications'!$F42,'fuels and tailpipe emissions'!$B$10:$B$126,'vehicles specifications'!CD$2)/1000*$AQ42</f>
        <v>1.3348850798753683E-8</v>
      </c>
      <c r="CE42" s="7">
        <f>SUMIFS('fuels and tailpipe emissions'!$C$10:$C$126,'fuels and tailpipe emissions'!$A$10:$A$126,'vehicles specifications'!$F42,'fuels and tailpipe emissions'!$B$10:$B$126,'vehicles specifications'!CE$2)/1000*$AQ42</f>
        <v>1.6429354829235304E-8</v>
      </c>
      <c r="CF42" s="7">
        <f>SUMIFS('fuels and tailpipe emissions'!$C$10:$C$126,'fuels and tailpipe emissions'!$A$10:$A$126,'vehicles specifications'!$F42,'fuels and tailpipe emissions'!$B$10:$B$126,'vehicles specifications'!CF$2)/1000*$AQ42</f>
        <v>3.2858709658470601E-11</v>
      </c>
      <c r="CG42" s="7">
        <f>SUMIFS('fuels and tailpipe emissions'!$C$10:$C$126,'fuels and tailpipe emissions'!$A$10:$A$126,'vehicles specifications'!$F42,'fuels and tailpipe emissions'!$B$10:$B$126,'vehicles specifications'!CG$2)/1000*$AQ42</f>
        <v>8.9334616883966954E-9</v>
      </c>
      <c r="CH42" s="7">
        <f>SUMIFS('fuels and tailpipe emissions'!$C$10:$C$126,'fuels and tailpipe emissions'!$A$10:$A$126,'vehicles specifications'!$F42,'fuels and tailpipe emissions'!$B$10:$B$126,'vehicles specifications'!CH$2)/1000*$AQ42</f>
        <v>1.1089814509733829E-8</v>
      </c>
      <c r="CI42" s="7">
        <f>VLOOKUP(B42,'abrasion emissions'!$A$4:$D$32,4,FALSE)</f>
        <v>6.0000000000000002E-6</v>
      </c>
      <c r="CJ42" s="7">
        <f>VLOOKUP(B42,'abrasion emissions'!$A$4:$D$32,2,FALSE)</f>
        <v>6.3939999999999993E-6</v>
      </c>
      <c r="CK42" s="7">
        <f>VLOOKUP(B42,'abrasion emissions'!$A$4:$D$32,3,FALSE)</f>
        <v>6.1789999999999996E-6</v>
      </c>
    </row>
    <row r="43" spans="1:89" x14ac:dyDescent="0.3">
      <c r="A43" t="str">
        <f t="shared" si="1"/>
        <v>Scooter, gasoline, 4-11kW, EURO-5 - 2040 - CH</v>
      </c>
      <c r="B43" t="s">
        <v>638</v>
      </c>
      <c r="D43">
        <v>2040</v>
      </c>
      <c r="E43" t="s">
        <v>37</v>
      </c>
      <c r="F43" t="s">
        <v>149</v>
      </c>
      <c r="G43" t="s">
        <v>39</v>
      </c>
      <c r="H43" t="s">
        <v>35</v>
      </c>
      <c r="J43" s="21">
        <v>39800</v>
      </c>
      <c r="K43" s="21">
        <v>2731</v>
      </c>
      <c r="L43" s="2">
        <f t="shared" si="2"/>
        <v>14.573416331014281</v>
      </c>
      <c r="M43">
        <v>1</v>
      </c>
      <c r="N43">
        <v>70</v>
      </c>
      <c r="O43">
        <v>4</v>
      </c>
      <c r="P43" s="2">
        <f t="shared" si="13"/>
        <v>121.63749999999999</v>
      </c>
      <c r="Q43" s="2">
        <f t="shared" si="3"/>
        <v>195.63749999999999</v>
      </c>
      <c r="R43" s="21">
        <v>8.8000000000000007</v>
      </c>
      <c r="S43" s="2">
        <v>90</v>
      </c>
      <c r="T43" s="1">
        <v>0.05</v>
      </c>
      <c r="U43" s="2">
        <f t="shared" si="4"/>
        <v>85.5</v>
      </c>
      <c r="V43">
        <v>30.1</v>
      </c>
      <c r="W43">
        <v>0</v>
      </c>
      <c r="X43" s="3">
        <v>0</v>
      </c>
      <c r="Y43" s="1">
        <v>0.8</v>
      </c>
      <c r="Z43" s="3">
        <f t="shared" si="5"/>
        <v>0</v>
      </c>
      <c r="AA43" s="3">
        <v>0</v>
      </c>
      <c r="AB43" s="3">
        <v>0</v>
      </c>
      <c r="AC43" s="3">
        <f t="shared" si="7"/>
        <v>0</v>
      </c>
      <c r="AD43" s="3">
        <v>0</v>
      </c>
      <c r="AE43" s="3">
        <v>7</v>
      </c>
      <c r="AF43">
        <f>AE43*'fuels and tailpipe emissions'!$B$3</f>
        <v>5.25</v>
      </c>
      <c r="AG43" s="2">
        <f>AF43*'fuels and tailpipe emissions'!$C$3</f>
        <v>61.833333333333329</v>
      </c>
      <c r="AH43" s="3">
        <f t="shared" si="16"/>
        <v>0.78749999999999998</v>
      </c>
      <c r="AI43">
        <v>0</v>
      </c>
      <c r="AJ43">
        <v>0</v>
      </c>
      <c r="AK43">
        <f t="shared" si="30"/>
        <v>1</v>
      </c>
      <c r="AL43">
        <f t="shared" si="15"/>
        <v>1.050573375E-4</v>
      </c>
      <c r="AM43">
        <v>1.2899999999999999E-3</v>
      </c>
      <c r="AN43" s="2">
        <f t="shared" si="9"/>
        <v>85.5</v>
      </c>
      <c r="AO43" s="2">
        <f t="shared" si="10"/>
        <v>30.1</v>
      </c>
      <c r="AP43" s="2">
        <f t="shared" si="11"/>
        <v>0</v>
      </c>
      <c r="AQ43" s="6">
        <v>1.0165663300589343</v>
      </c>
      <c r="AR43" s="6" t="str">
        <f>IF($H43="BEV",SUMPRODUCT(#REF!,#REF!),"")</f>
        <v/>
      </c>
      <c r="AS43" s="2">
        <f>SUM(Z43,AG43)/(SUM(AQ43:AR43)/3.6)</f>
        <v>218.97243044346649</v>
      </c>
      <c r="AT43" s="5">
        <f>IF($H43="ICEV-p",$AQ43/('fuels and tailpipe emissions'!$C$3*3.6)*'fuels and tailpipe emissions'!$D$3,"")</f>
        <v>7.6242474754420073E-2</v>
      </c>
      <c r="AU43" s="7">
        <f>IF($H43="ICEV-p",$AQ43/('fuels and tailpipe emissions'!$C$3*3.6)*'fuels and tailpipe emissions'!$E$3,"")</f>
        <v>3.836099358712959E-7</v>
      </c>
      <c r="AV43" s="7">
        <f>SUMIFS('fuels and tailpipe emissions'!$C$10:$C$126,'fuels and tailpipe emissions'!$A$10:$A$126,'vehicles specifications'!$F43,'fuels and tailpipe emissions'!$B$10:$B$126,'vehicles specifications'!AV$2)/1000*$AQ43</f>
        <v>6.1809444226272389E-5</v>
      </c>
      <c r="AW43" s="7">
        <f>SUMIFS('fuels and tailpipe emissions'!$C$10:$C$126,'fuels and tailpipe emissions'!$A$10:$A$126,'vehicles specifications'!$F43,'fuels and tailpipe emissions'!$B$10:$B$126,'vehicles specifications'!AW$2)/1000*$AQ43</f>
        <v>2.8026235219950081E-5</v>
      </c>
      <c r="AX43" s="7">
        <f>SUMIFS('fuels and tailpipe emissions'!$C$10:$C$126,'fuels and tailpipe emissions'!$A$10:$A$126,'vehicles specifications'!$F43,'fuels and tailpipe emissions'!$B$10:$B$126,'vehicles specifications'!AX$2)/1000*$AQ43</f>
        <v>2.9634895385205065E-3</v>
      </c>
      <c r="AY43" s="7">
        <f>SUMIFS('fuels and tailpipe emissions'!$C$10:$C$126,'fuels and tailpipe emissions'!$A$10:$A$126,'vehicles specifications'!$F43,'fuels and tailpipe emissions'!$B$10:$B$126,'vehicles specifications'!AY$2)/1000*$AQ43</f>
        <v>1.4219297422602786E-6</v>
      </c>
      <c r="AZ43" s="7">
        <f>SUMIFS('fuels and tailpipe emissions'!$C$10:$C$126,'fuels and tailpipe emissions'!$A$10:$A$126,'vehicles specifications'!$F43,'fuels and tailpipe emissions'!$B$10:$B$126,'vehicles specifications'!AZ$2)/1000*$AQ43</f>
        <v>1.4219297422602786E-6</v>
      </c>
      <c r="BA43" s="7">
        <f>SUMIFS('fuels and tailpipe emissions'!$C$10:$C$126,'fuels and tailpipe emissions'!$A$10:$A$126,'vehicles specifications'!$F43,'fuels and tailpipe emissions'!$B$10:$B$126,'vehicles specifications'!BA$2)/1000*$AQ43</f>
        <v>1.066315193212154E-4</v>
      </c>
      <c r="BB43" s="7">
        <f>SUMIFS('fuels and tailpipe emissions'!$C$10:$C$126,'fuels and tailpipe emissions'!$A$10:$A$126,'vehicles specifications'!$F43,'fuels and tailpipe emissions'!$B$10:$B$126,'vehicles specifications'!BB$2)/1000*$AQ43</f>
        <v>8.1661425098007786E-6</v>
      </c>
      <c r="BC43" s="7">
        <f>SUMIFS('fuels and tailpipe emissions'!$C$10:$C$126,'fuels and tailpipe emissions'!$A$10:$A$126,'vehicles specifications'!$F43,'fuels and tailpipe emissions'!$B$10:$B$126,'vehicles specifications'!BC$2)/1000*$AQ43</f>
        <v>4.9844193525785442E-4</v>
      </c>
      <c r="BD43" s="7">
        <f>SUMIFS('fuels and tailpipe emissions'!$C$10:$C$126,'fuels and tailpipe emissions'!$A$10:$A$126,'vehicles specifications'!$F43,'fuels and tailpipe emissions'!$B$10:$B$126,'vehicles specifications'!BD$2)/1000*$AQ43</f>
        <v>3.5146546716899981E-5</v>
      </c>
      <c r="BE43" s="7">
        <f>SUMIFS('fuels and tailpipe emissions'!$C$10:$C$126,'fuels and tailpipe emissions'!$A$10:$A$126,'vehicles specifications'!$F43,'fuels and tailpipe emissions'!$B$10:$B$126,'vehicles specifications'!BE$2)/1000*$AQ43</f>
        <v>7.1615220583025053E-6</v>
      </c>
      <c r="BF43" s="7">
        <f>SUMIFS('fuels and tailpipe emissions'!$C$10:$C$126,'fuels and tailpipe emissions'!$A$10:$A$126,'vehicles specifications'!$F43,'fuels and tailpipe emissions'!$B$10:$B$126,'vehicles specifications'!BF$2)/1000*$AQ43</f>
        <v>5.7732885516161735E-5</v>
      </c>
      <c r="BG43" s="7">
        <f>SUMIFS('fuels and tailpipe emissions'!$C$10:$C$126,'fuels and tailpipe emissions'!$A$10:$A$126,'vehicles specifications'!$F43,'fuels and tailpipe emissions'!$B$10:$B$126,'vehicles specifications'!BG$2)/1000*$AQ43</f>
        <v>2.3688111423615977E-5</v>
      </c>
      <c r="BH43" s="7">
        <f>SUMIFS('fuels and tailpipe emissions'!$C$10:$C$126,'fuels and tailpipe emissions'!$A$10:$A$126,'vehicles specifications'!$F43,'fuels and tailpipe emissions'!$B$10:$B$126,'vehicles specifications'!BH$2)/1000*$AQ43</f>
        <v>1.7738539252103131E-5</v>
      </c>
      <c r="BI43" s="7">
        <f>SUMIFS('fuels and tailpipe emissions'!$C$10:$C$126,'fuels and tailpipe emissions'!$A$10:$A$126,'vehicles specifications'!$F43,'fuels and tailpipe emissions'!$B$10:$B$126,'vehicles specifications'!BI$2)/1000*$AQ43</f>
        <v>1.256020791763824E-5</v>
      </c>
      <c r="BJ43" s="7">
        <f>SUMIFS('fuels and tailpipe emissions'!$C$10:$C$126,'fuels and tailpipe emissions'!$A$10:$A$126,'vehicles specifications'!$F43,'fuels and tailpipe emissions'!$B$10:$B$126,'vehicles specifications'!BJ$2)/1000*$AQ43</f>
        <v>8.1531174202213136E-6</v>
      </c>
      <c r="BK43" s="7">
        <f>SUMIFS('fuels and tailpipe emissions'!$C$10:$C$126,'fuels and tailpipe emissions'!$A$10:$A$126,'vehicles specifications'!$F43,'fuels and tailpipe emissions'!$B$10:$B$126,'vehicles specifications'!BK$2)/1000*$AQ43</f>
        <v>8.042940157785891E-5</v>
      </c>
      <c r="BL43" s="7">
        <f>SUMIFS('fuels and tailpipe emissions'!$C$10:$C$126,'fuels and tailpipe emissions'!$A$10:$A$126,'vehicles specifications'!$F43,'fuels and tailpipe emissions'!$B$10:$B$126,'vehicles specifications'!BL$2)/1000*$AQ43</f>
        <v>4.2087714250331641E-5</v>
      </c>
      <c r="BM43" s="7">
        <f>SUMIFS('fuels and tailpipe emissions'!$C$10:$C$126,'fuels and tailpipe emissions'!$A$10:$A$126,'vehicles specifications'!$F43,'fuels and tailpipe emissions'!$B$10:$B$126,'vehicles specifications'!BM$2)/1000*$AQ43</f>
        <v>1.2119498867896548E-6</v>
      </c>
      <c r="BN43" s="7">
        <f>SUMIFS('fuels and tailpipe emissions'!$C$10:$C$126,'fuels and tailpipe emissions'!$A$10:$A$126,'vehicles specifications'!$F43,'fuels and tailpipe emissions'!$B$10:$B$126,'vehicles specifications'!BN$2)/1000*$AQ43</f>
        <v>6.1809444226272389E-5</v>
      </c>
      <c r="BO43" s="7">
        <f>SUMIFS('fuels and tailpipe emissions'!$C$10:$C$126,'fuels and tailpipe emissions'!$A$10:$A$126,'vehicles specifications'!$F43,'fuels and tailpipe emissions'!$B$10:$B$126,'vehicles specifications'!BO$2)/1000*$AQ43</f>
        <v>1.2097463415409463E-4</v>
      </c>
      <c r="BP43" s="7">
        <f>SUMIFS('fuels and tailpipe emissions'!$C$10:$C$126,'fuels and tailpipe emissions'!$A$10:$A$126,'vehicles specifications'!$F43,'fuels and tailpipe emissions'!$B$10:$B$126,'vehicles specifications'!BP$2)/1000*$AQ43</f>
        <v>5.9826253502434775E-5</v>
      </c>
      <c r="BQ43" s="7">
        <f>SUMIFS('fuels and tailpipe emissions'!$C$10:$C$126,'fuels and tailpipe emissions'!$A$10:$A$126,'vehicles specifications'!$F43,'fuels and tailpipe emissions'!$B$10:$B$126,'vehicles specifications'!BQ$2)/1000*$AQ43</f>
        <v>2.4900061310405631E-5</v>
      </c>
      <c r="BR43" s="7">
        <f>SUMIFS('fuels and tailpipe emissions'!$C$10:$C$126,'fuels and tailpipe emissions'!$A$10:$A$126,'vehicles specifications'!$F43,'fuels and tailpipe emissions'!$B$10:$B$126,'vehicles specifications'!BR$2)/1000*$AQ43</f>
        <v>1.8730134614021937E-5</v>
      </c>
      <c r="BS43" s="7">
        <f>SUMIFS('fuels and tailpipe emissions'!$C$10:$C$126,'fuels and tailpipe emissions'!$A$10:$A$126,'vehicles specifications'!$F43,'fuels and tailpipe emissions'!$B$10:$B$126,'vehicles specifications'!BS$2)/1000*$AQ43</f>
        <v>8.2632946826567353E-6</v>
      </c>
      <c r="BT43" s="7">
        <f>SUMIFS('fuels and tailpipe emissions'!$C$10:$C$126,'fuels and tailpipe emissions'!$A$10:$A$126,'vehicles specifications'!$F43,'fuels and tailpipe emissions'!$B$10:$B$126,'vehicles specifications'!BT$2)/1000*$AQ43</f>
        <v>2.4238997735793097E-6</v>
      </c>
      <c r="BU43" s="7">
        <f>SUMIFS('fuels and tailpipe emissions'!$C$10:$C$126,'fuels and tailpipe emissions'!$A$10:$A$126,'vehicles specifications'!$F43,'fuels and tailpipe emissions'!$B$10:$B$126,'vehicles specifications'!BU$2)/1000*$AQ43</f>
        <v>6.7208130085608136E-6</v>
      </c>
      <c r="BV43" s="7">
        <f>SUMIFS('fuels and tailpipe emissions'!$C$10:$C$126,'fuels and tailpipe emissions'!$A$10:$A$126,'vehicles specifications'!$F43,'fuels and tailpipe emissions'!$B$10:$B$126,'vehicles specifications'!BV$2)/1000*$AQ43</f>
        <v>0</v>
      </c>
      <c r="BW43" s="7">
        <f>SUMIFS('fuels and tailpipe emissions'!$C$10:$C$126,'fuels and tailpipe emissions'!$A$10:$A$126,'vehicles specifications'!$F43,'fuels and tailpipe emissions'!$B$10:$B$126,'vehicles specifications'!BW$2)/1000*$AQ43</f>
        <v>2.0933679862730401E-6</v>
      </c>
      <c r="BX43" s="7">
        <f>SUMIFS('fuels and tailpipe emissions'!$C$10:$C$126,'fuels and tailpipe emissions'!$A$10:$A$126,'vehicles specifications'!$F43,'fuels and tailpipe emissions'!$B$10:$B$126,'vehicles specifications'!BX$2)/1000*$AQ43</f>
        <v>1.1127903505977737E-5</v>
      </c>
      <c r="BY43" s="7">
        <f>SUMIFS('fuels and tailpipe emissions'!$C$10:$C$126,'fuels and tailpipe emissions'!$A$10:$A$126,'vehicles specifications'!$F43,'fuels and tailpipe emissions'!$B$10:$B$126,'vehicles specifications'!BY$2)/1000*$AQ43</f>
        <v>3.5376508286050916E-8</v>
      </c>
      <c r="BZ43" s="7">
        <f>SUMIFS('fuels and tailpipe emissions'!$C$10:$C$126,'fuels and tailpipe emissions'!$A$10:$A$126,'vehicles specifications'!$F43,'fuels and tailpipe emissions'!$B$10:$B$126,'vehicles specifications'!BZ$2)/1000*$AQ43</f>
        <v>3.0496989901768027E-10</v>
      </c>
      <c r="CA43" s="7">
        <f>SUMIFS('fuels and tailpipe emissions'!$C$10:$C$126,'fuels and tailpipe emissions'!$A$10:$A$126,'vehicles specifications'!$F43,'fuels and tailpipe emissions'!$B$10:$B$126,'vehicles specifications'!CA$2)/1000*$AQ43</f>
        <v>2.0331326601178686E-10</v>
      </c>
      <c r="CB43" s="7">
        <f>SUMIFS('fuels and tailpipe emissions'!$C$10:$C$126,'fuels and tailpipe emissions'!$A$10:$A$126,'vehicles specifications'!$F43,'fuels and tailpipe emissions'!$B$10:$B$126,'vehicles specifications'!CB$2)/1000*$AQ43</f>
        <v>2.1957832729272979E-6</v>
      </c>
      <c r="CC43" s="7">
        <f>SUMIFS('fuels and tailpipe emissions'!$C$10:$C$126,'fuels and tailpipe emissions'!$A$10:$A$126,'vehicles specifications'!$F43,'fuels and tailpipe emissions'!$B$10:$B$126,'vehicles specifications'!CC$2)/1000*$AQ43</f>
        <v>4.269578586247524E-8</v>
      </c>
      <c r="CD43" s="7">
        <f>SUMIFS('fuels and tailpipe emissions'!$C$10:$C$126,'fuels and tailpipe emissions'!$A$10:$A$126,'vehicles specifications'!$F43,'fuels and tailpipe emissions'!$B$10:$B$126,'vehicles specifications'!CD$2)/1000*$AQ43</f>
        <v>1.3215362290766146E-8</v>
      </c>
      <c r="CE43" s="7">
        <f>SUMIFS('fuels and tailpipe emissions'!$C$10:$C$126,'fuels and tailpipe emissions'!$A$10:$A$126,'vehicles specifications'!$F43,'fuels and tailpipe emissions'!$B$10:$B$126,'vehicles specifications'!CE$2)/1000*$AQ43</f>
        <v>1.6265061280942952E-8</v>
      </c>
      <c r="CF43" s="7">
        <f>SUMIFS('fuels and tailpipe emissions'!$C$10:$C$126,'fuels and tailpipe emissions'!$A$10:$A$126,'vehicles specifications'!$F43,'fuels and tailpipe emissions'!$B$10:$B$126,'vehicles specifications'!CF$2)/1000*$AQ43</f>
        <v>3.2530122561885898E-11</v>
      </c>
      <c r="CG43" s="7">
        <f>SUMIFS('fuels and tailpipe emissions'!$C$10:$C$126,'fuels and tailpipe emissions'!$A$10:$A$126,'vehicles specifications'!$F43,'fuels and tailpipe emissions'!$B$10:$B$126,'vehicles specifications'!CG$2)/1000*$AQ43</f>
        <v>8.844127071512729E-9</v>
      </c>
      <c r="CH43" s="7">
        <f>SUMIFS('fuels and tailpipe emissions'!$C$10:$C$126,'fuels and tailpipe emissions'!$A$10:$A$126,'vehicles specifications'!$F43,'fuels and tailpipe emissions'!$B$10:$B$126,'vehicles specifications'!CH$2)/1000*$AQ43</f>
        <v>1.097891636463649E-8</v>
      </c>
      <c r="CI43" s="7">
        <f>VLOOKUP(B43,'abrasion emissions'!$A$4:$D$32,4,FALSE)</f>
        <v>6.0000000000000002E-6</v>
      </c>
      <c r="CJ43" s="7">
        <f>VLOOKUP(B43,'abrasion emissions'!$A$4:$D$32,2,FALSE)</f>
        <v>6.3939999999999993E-6</v>
      </c>
      <c r="CK43" s="7">
        <f>VLOOKUP(B43,'abrasion emissions'!$A$4:$D$32,3,FALSE)</f>
        <v>6.1789999999999996E-6</v>
      </c>
    </row>
    <row r="44" spans="1:89" x14ac:dyDescent="0.3">
      <c r="A44" t="str">
        <f t="shared" si="1"/>
        <v>Scooter, gasoline, 4-11kW, EURO-5 - 2050 - CH</v>
      </c>
      <c r="B44" t="s">
        <v>638</v>
      </c>
      <c r="D44">
        <v>2050</v>
      </c>
      <c r="E44" t="s">
        <v>37</v>
      </c>
      <c r="F44" t="s">
        <v>149</v>
      </c>
      <c r="G44" t="s">
        <v>39</v>
      </c>
      <c r="H44" t="s">
        <v>35</v>
      </c>
      <c r="J44" s="21">
        <v>39800</v>
      </c>
      <c r="K44" s="21">
        <v>2731</v>
      </c>
      <c r="L44" s="2">
        <f t="shared" si="2"/>
        <v>14.573416331014281</v>
      </c>
      <c r="M44">
        <v>1</v>
      </c>
      <c r="N44">
        <v>70</v>
      </c>
      <c r="O44">
        <v>4</v>
      </c>
      <c r="P44" s="2">
        <f t="shared" si="13"/>
        <v>118.93749999999999</v>
      </c>
      <c r="Q44" s="2">
        <f t="shared" si="3"/>
        <v>192.9375</v>
      </c>
      <c r="R44" s="21">
        <v>8.8000000000000007</v>
      </c>
      <c r="S44" s="2">
        <v>90</v>
      </c>
      <c r="T44" s="1">
        <v>7.0000000000000007E-2</v>
      </c>
      <c r="U44" s="2">
        <f t="shared" si="4"/>
        <v>83.699999999999989</v>
      </c>
      <c r="V44">
        <v>29.2</v>
      </c>
      <c r="W44">
        <v>0</v>
      </c>
      <c r="X44" s="3">
        <v>0</v>
      </c>
      <c r="Y44" s="1">
        <v>0.8</v>
      </c>
      <c r="Z44" s="3">
        <f t="shared" si="5"/>
        <v>0</v>
      </c>
      <c r="AA44" s="3">
        <v>0</v>
      </c>
      <c r="AB44" s="3">
        <v>0</v>
      </c>
      <c r="AC44" s="3">
        <f t="shared" si="7"/>
        <v>0</v>
      </c>
      <c r="AD44" s="3">
        <v>0</v>
      </c>
      <c r="AE44" s="3">
        <v>7</v>
      </c>
      <c r="AF44">
        <f>AE44*'fuels and tailpipe emissions'!$B$3</f>
        <v>5.25</v>
      </c>
      <c r="AG44" s="2">
        <f>AF44*'fuels and tailpipe emissions'!$C$3</f>
        <v>61.833333333333329</v>
      </c>
      <c r="AH44" s="3">
        <f t="shared" si="16"/>
        <v>0.78749999999999998</v>
      </c>
      <c r="AI44">
        <v>0</v>
      </c>
      <c r="AJ44">
        <v>0</v>
      </c>
      <c r="AK44">
        <f t="shared" si="30"/>
        <v>1</v>
      </c>
      <c r="AL44">
        <f t="shared" si="15"/>
        <v>1.036074375E-4</v>
      </c>
      <c r="AM44">
        <v>1.2899999999999999E-3</v>
      </c>
      <c r="AN44" s="2">
        <f t="shared" si="9"/>
        <v>83.699999999999989</v>
      </c>
      <c r="AO44" s="2">
        <f t="shared" si="10"/>
        <v>29.2</v>
      </c>
      <c r="AP44" s="2">
        <f t="shared" si="11"/>
        <v>0</v>
      </c>
      <c r="AQ44" s="6">
        <v>1.0064006667583449</v>
      </c>
      <c r="AR44" s="6" t="str">
        <f>IF($H44="BEV",SUMPRODUCT(#REF!,#REF!),"")</f>
        <v/>
      </c>
      <c r="AS44" s="2">
        <f>SUM(Z44,AG44)/(SUM(AQ44:AR44)/3.6)</f>
        <v>221.18427317521866</v>
      </c>
      <c r="AT44" s="5">
        <f>IF($H44="ICEV-p",$AQ44/('fuels and tailpipe emissions'!$C$3*3.6)*'fuels and tailpipe emissions'!$D$3,"")</f>
        <v>7.5480050006875882E-2</v>
      </c>
      <c r="AU44" s="7">
        <f>IF($H44="ICEV-p",$AQ44/('fuels and tailpipe emissions'!$C$3*3.6)*'fuels and tailpipe emissions'!$E$3,"")</f>
        <v>3.79773836512583E-7</v>
      </c>
      <c r="AV44" s="7">
        <f>SUMIFS('fuels and tailpipe emissions'!$C$10:$C$126,'fuels and tailpipe emissions'!$A$10:$A$126,'vehicles specifications'!$F44,'fuels and tailpipe emissions'!$B$10:$B$126,'vehicles specifications'!AV$2)/1000*$AQ44</f>
        <v>6.1191349784009663E-5</v>
      </c>
      <c r="AW44" s="7">
        <f>SUMIFS('fuels and tailpipe emissions'!$C$10:$C$126,'fuels and tailpipe emissions'!$A$10:$A$126,'vehicles specifications'!$F44,'fuels and tailpipe emissions'!$B$10:$B$126,'vehicles specifications'!AW$2)/1000*$AQ44</f>
        <v>2.7745972867750582E-5</v>
      </c>
      <c r="AX44" s="7">
        <f>SUMIFS('fuels and tailpipe emissions'!$C$10:$C$126,'fuels and tailpipe emissions'!$A$10:$A$126,'vehicles specifications'!$F44,'fuels and tailpipe emissions'!$B$10:$B$126,'vehicles specifications'!AX$2)/1000*$AQ44</f>
        <v>2.9338546431353016E-3</v>
      </c>
      <c r="AY44" s="7">
        <f>SUMIFS('fuels and tailpipe emissions'!$C$10:$C$126,'fuels and tailpipe emissions'!$A$10:$A$126,'vehicles specifications'!$F44,'fuels and tailpipe emissions'!$B$10:$B$126,'vehicles specifications'!AY$2)/1000*$AQ44</f>
        <v>1.4077104448376758E-6</v>
      </c>
      <c r="AZ44" s="7">
        <f>SUMIFS('fuels and tailpipe emissions'!$C$10:$C$126,'fuels and tailpipe emissions'!$A$10:$A$126,'vehicles specifications'!$F44,'fuels and tailpipe emissions'!$B$10:$B$126,'vehicles specifications'!AZ$2)/1000*$AQ44</f>
        <v>1.4077104448376758E-6</v>
      </c>
      <c r="BA44" s="7">
        <f>SUMIFS('fuels and tailpipe emissions'!$C$10:$C$126,'fuels and tailpipe emissions'!$A$10:$A$126,'vehicles specifications'!$F44,'fuels and tailpipe emissions'!$B$10:$B$126,'vehicles specifications'!BA$2)/1000*$AQ44</f>
        <v>1.0556520412800326E-4</v>
      </c>
      <c r="BB44" s="7">
        <f>SUMIFS('fuels and tailpipe emissions'!$C$10:$C$126,'fuels and tailpipe emissions'!$A$10:$A$126,'vehicles specifications'!$F44,'fuels and tailpipe emissions'!$B$10:$B$126,'vehicles specifications'!BB$2)/1000*$AQ44</f>
        <v>8.0844810847027712E-6</v>
      </c>
      <c r="BC44" s="7">
        <f>SUMIFS('fuels and tailpipe emissions'!$C$10:$C$126,'fuels and tailpipe emissions'!$A$10:$A$126,'vehicles specifications'!$F44,'fuels and tailpipe emissions'!$B$10:$B$126,'vehicles specifications'!BC$2)/1000*$AQ44</f>
        <v>4.9345751590527584E-4</v>
      </c>
      <c r="BD44" s="7">
        <f>SUMIFS('fuels and tailpipe emissions'!$C$10:$C$126,'fuels and tailpipe emissions'!$A$10:$A$126,'vehicles specifications'!$F44,'fuels and tailpipe emissions'!$B$10:$B$126,'vehicles specifications'!BD$2)/1000*$AQ44</f>
        <v>3.4795081249730984E-5</v>
      </c>
      <c r="BE44" s="7">
        <f>SUMIFS('fuels and tailpipe emissions'!$C$10:$C$126,'fuels and tailpipe emissions'!$A$10:$A$126,'vehicles specifications'!$F44,'fuels and tailpipe emissions'!$B$10:$B$126,'vehicles specifications'!BE$2)/1000*$AQ44</f>
        <v>7.0899068377194797E-6</v>
      </c>
      <c r="BF44" s="7">
        <f>SUMIFS('fuels and tailpipe emissions'!$C$10:$C$126,'fuels and tailpipe emissions'!$A$10:$A$126,'vehicles specifications'!$F44,'fuels and tailpipe emissions'!$B$10:$B$126,'vehicles specifications'!BF$2)/1000*$AQ44</f>
        <v>5.7155556661000123E-5</v>
      </c>
      <c r="BG44" s="7">
        <f>SUMIFS('fuels and tailpipe emissions'!$C$10:$C$126,'fuels and tailpipe emissions'!$A$10:$A$126,'vehicles specifications'!$F44,'fuels and tailpipe emissions'!$B$10:$B$126,'vehicles specifications'!BG$2)/1000*$AQ44</f>
        <v>2.3451230309379819E-5</v>
      </c>
      <c r="BH44" s="7">
        <f>SUMIFS('fuels and tailpipe emissions'!$C$10:$C$126,'fuels and tailpipe emissions'!$A$10:$A$126,'vehicles specifications'!$F44,'fuels and tailpipe emissions'!$B$10:$B$126,'vehicles specifications'!BH$2)/1000*$AQ44</f>
        <v>1.7561153859582098E-5</v>
      </c>
      <c r="BI44" s="7">
        <f>SUMIFS('fuels and tailpipe emissions'!$C$10:$C$126,'fuels and tailpipe emissions'!$A$10:$A$126,'vehicles specifications'!$F44,'fuels and tailpipe emissions'!$B$10:$B$126,'vehicles specifications'!BI$2)/1000*$AQ44</f>
        <v>1.2434605838461858E-5</v>
      </c>
      <c r="BJ44" s="7">
        <f>SUMIFS('fuels and tailpipe emissions'!$C$10:$C$126,'fuels and tailpipe emissions'!$A$10:$A$126,'vehicles specifications'!$F44,'fuels and tailpipe emissions'!$B$10:$B$126,'vehicles specifications'!BJ$2)/1000*$AQ44</f>
        <v>8.0715862460191008E-6</v>
      </c>
      <c r="BK44" s="7">
        <f>SUMIFS('fuels and tailpipe emissions'!$C$10:$C$126,'fuels and tailpipe emissions'!$A$10:$A$126,'vehicles specifications'!$F44,'fuels and tailpipe emissions'!$B$10:$B$126,'vehicles specifications'!BK$2)/1000*$AQ44</f>
        <v>7.962510756208032E-5</v>
      </c>
      <c r="BL44" s="7">
        <f>SUMIFS('fuels and tailpipe emissions'!$C$10:$C$126,'fuels and tailpipe emissions'!$A$10:$A$126,'vehicles specifications'!$F44,'fuels and tailpipe emissions'!$B$10:$B$126,'vehicles specifications'!BL$2)/1000*$AQ44</f>
        <v>4.1666837107828324E-5</v>
      </c>
      <c r="BM44" s="7">
        <f>SUMIFS('fuels and tailpipe emissions'!$C$10:$C$126,'fuels and tailpipe emissions'!$A$10:$A$126,'vehicles specifications'!$F44,'fuels and tailpipe emissions'!$B$10:$B$126,'vehicles specifications'!BM$2)/1000*$AQ44</f>
        <v>1.1998303879217583E-6</v>
      </c>
      <c r="BN44" s="7">
        <f>SUMIFS('fuels and tailpipe emissions'!$C$10:$C$126,'fuels and tailpipe emissions'!$A$10:$A$126,'vehicles specifications'!$F44,'fuels and tailpipe emissions'!$B$10:$B$126,'vehicles specifications'!BN$2)/1000*$AQ44</f>
        <v>6.1191349784009663E-5</v>
      </c>
      <c r="BO44" s="7">
        <f>SUMIFS('fuels and tailpipe emissions'!$C$10:$C$126,'fuels and tailpipe emissions'!$A$10:$A$126,'vehicles specifications'!$F44,'fuels and tailpipe emissions'!$B$10:$B$126,'vehicles specifications'!BO$2)/1000*$AQ44</f>
        <v>1.1976488781255369E-4</v>
      </c>
      <c r="BP44" s="7">
        <f>SUMIFS('fuels and tailpipe emissions'!$C$10:$C$126,'fuels and tailpipe emissions'!$A$10:$A$126,'vehicles specifications'!$F44,'fuels and tailpipe emissions'!$B$10:$B$126,'vehicles specifications'!BP$2)/1000*$AQ44</f>
        <v>5.9227990967410433E-5</v>
      </c>
      <c r="BQ44" s="7">
        <f>SUMIFS('fuels and tailpipe emissions'!$C$10:$C$126,'fuels and tailpipe emissions'!$A$10:$A$126,'vehicles specifications'!$F44,'fuels and tailpipe emissions'!$B$10:$B$126,'vehicles specifications'!BQ$2)/1000*$AQ44</f>
        <v>2.4651060697301577E-5</v>
      </c>
      <c r="BR44" s="7">
        <f>SUMIFS('fuels and tailpipe emissions'!$C$10:$C$126,'fuels and tailpipe emissions'!$A$10:$A$126,'vehicles specifications'!$F44,'fuels and tailpipe emissions'!$B$10:$B$126,'vehicles specifications'!BR$2)/1000*$AQ44</f>
        <v>1.854283326788172E-5</v>
      </c>
      <c r="BS44" s="7">
        <f>SUMIFS('fuels and tailpipe emissions'!$C$10:$C$126,'fuels and tailpipe emissions'!$A$10:$A$126,'vehicles specifications'!$F44,'fuels and tailpipe emissions'!$B$10:$B$126,'vehicles specifications'!BS$2)/1000*$AQ44</f>
        <v>8.1806617358301686E-6</v>
      </c>
      <c r="BT44" s="7">
        <f>SUMIFS('fuels and tailpipe emissions'!$C$10:$C$126,'fuels and tailpipe emissions'!$A$10:$A$126,'vehicles specifications'!$F44,'fuels and tailpipe emissions'!$B$10:$B$126,'vehicles specifications'!BT$2)/1000*$AQ44</f>
        <v>2.3996607758435167E-6</v>
      </c>
      <c r="BU44" s="7">
        <f>SUMIFS('fuels and tailpipe emissions'!$C$10:$C$126,'fuels and tailpipe emissions'!$A$10:$A$126,'vehicles specifications'!$F44,'fuels and tailpipe emissions'!$B$10:$B$126,'vehicles specifications'!BU$2)/1000*$AQ44</f>
        <v>6.6536048784752052E-6</v>
      </c>
      <c r="BV44" s="7">
        <f>SUMIFS('fuels and tailpipe emissions'!$C$10:$C$126,'fuels and tailpipe emissions'!$A$10:$A$126,'vehicles specifications'!$F44,'fuels and tailpipe emissions'!$B$10:$B$126,'vehicles specifications'!BV$2)/1000*$AQ44</f>
        <v>0</v>
      </c>
      <c r="BW44" s="7">
        <f>SUMIFS('fuels and tailpipe emissions'!$C$10:$C$126,'fuels and tailpipe emissions'!$A$10:$A$126,'vehicles specifications'!$F44,'fuels and tailpipe emissions'!$B$10:$B$126,'vehicles specifications'!BW$2)/1000*$AQ44</f>
        <v>2.0724343064103095E-6</v>
      </c>
      <c r="BX44" s="7">
        <f>SUMIFS('fuels and tailpipe emissions'!$C$10:$C$126,'fuels and tailpipe emissions'!$A$10:$A$126,'vehicles specifications'!$F44,'fuels and tailpipe emissions'!$B$10:$B$126,'vehicles specifications'!BX$2)/1000*$AQ44</f>
        <v>1.101662447091796E-5</v>
      </c>
      <c r="BY44" s="7">
        <f>SUMIFS('fuels and tailpipe emissions'!$C$10:$C$126,'fuels and tailpipe emissions'!$A$10:$A$126,'vehicles specifications'!$F44,'fuels and tailpipe emissions'!$B$10:$B$126,'vehicles specifications'!BY$2)/1000*$AQ44</f>
        <v>3.5022743203190402E-8</v>
      </c>
      <c r="BZ44" s="7">
        <f>SUMIFS('fuels and tailpipe emissions'!$C$10:$C$126,'fuels and tailpipe emissions'!$A$10:$A$126,'vehicles specifications'!$F44,'fuels and tailpipe emissions'!$B$10:$B$126,'vehicles specifications'!BZ$2)/1000*$AQ44</f>
        <v>3.0192020002750349E-10</v>
      </c>
      <c r="CA44" s="7">
        <f>SUMIFS('fuels and tailpipe emissions'!$C$10:$C$126,'fuels and tailpipe emissions'!$A$10:$A$126,'vehicles specifications'!$F44,'fuels and tailpipe emissions'!$B$10:$B$126,'vehicles specifications'!CA$2)/1000*$AQ44</f>
        <v>2.0128013335166901E-10</v>
      </c>
      <c r="CB44" s="7">
        <f>SUMIFS('fuels and tailpipe emissions'!$C$10:$C$126,'fuels and tailpipe emissions'!$A$10:$A$126,'vehicles specifications'!$F44,'fuels and tailpipe emissions'!$B$10:$B$126,'vehicles specifications'!CB$2)/1000*$AQ44</f>
        <v>2.1738254401980251E-6</v>
      </c>
      <c r="CC44" s="7">
        <f>SUMIFS('fuels and tailpipe emissions'!$C$10:$C$126,'fuels and tailpipe emissions'!$A$10:$A$126,'vehicles specifications'!$F44,'fuels and tailpipe emissions'!$B$10:$B$126,'vehicles specifications'!CC$2)/1000*$AQ44</f>
        <v>4.2268828003850484E-8</v>
      </c>
      <c r="CD44" s="7">
        <f>SUMIFS('fuels and tailpipe emissions'!$C$10:$C$126,'fuels and tailpipe emissions'!$A$10:$A$126,'vehicles specifications'!$F44,'fuels and tailpipe emissions'!$B$10:$B$126,'vehicles specifications'!CD$2)/1000*$AQ44</f>
        <v>1.3083208667858485E-8</v>
      </c>
      <c r="CE44" s="7">
        <f>SUMIFS('fuels and tailpipe emissions'!$C$10:$C$126,'fuels and tailpipe emissions'!$A$10:$A$126,'vehicles specifications'!$F44,'fuels and tailpipe emissions'!$B$10:$B$126,'vehicles specifications'!CE$2)/1000*$AQ44</f>
        <v>1.6102410668133523E-8</v>
      </c>
      <c r="CF44" s="7">
        <f>SUMIFS('fuels and tailpipe emissions'!$C$10:$C$126,'fuels and tailpipe emissions'!$A$10:$A$126,'vehicles specifications'!$F44,'fuels and tailpipe emissions'!$B$10:$B$126,'vehicles specifications'!CF$2)/1000*$AQ44</f>
        <v>3.220482133626704E-11</v>
      </c>
      <c r="CG44" s="7">
        <f>SUMIFS('fuels and tailpipe emissions'!$C$10:$C$126,'fuels and tailpipe emissions'!$A$10:$A$126,'vehicles specifications'!$F44,'fuels and tailpipe emissions'!$B$10:$B$126,'vehicles specifications'!CG$2)/1000*$AQ44</f>
        <v>8.7556858007976005E-9</v>
      </c>
      <c r="CH44" s="7">
        <f>SUMIFS('fuels and tailpipe emissions'!$C$10:$C$126,'fuels and tailpipe emissions'!$A$10:$A$126,'vehicles specifications'!$F44,'fuels and tailpipe emissions'!$B$10:$B$126,'vehicles specifications'!CH$2)/1000*$AQ44</f>
        <v>1.0869127200990126E-8</v>
      </c>
      <c r="CI44" s="7">
        <f>VLOOKUP(B44,'abrasion emissions'!$A$4:$D$32,4,FALSE)</f>
        <v>6.0000000000000002E-6</v>
      </c>
      <c r="CJ44" s="7">
        <f>VLOOKUP(B44,'abrasion emissions'!$A$4:$D$32,2,FALSE)</f>
        <v>6.3939999999999993E-6</v>
      </c>
      <c r="CK44" s="7">
        <f>VLOOKUP(B44,'abrasion emissions'!$A$4:$D$32,3,FALSE)</f>
        <v>6.1789999999999996E-6</v>
      </c>
    </row>
    <row r="45" spans="1:89" s="21" customFormat="1" x14ac:dyDescent="0.3">
      <c r="A45" s="21" t="str">
        <f>B45&amp;" - "&amp;D45&amp;" - "&amp;E45</f>
        <v>Scooter, electric, &lt;4kW - 2020 - CH</v>
      </c>
      <c r="B45" s="21" t="s">
        <v>674</v>
      </c>
      <c r="D45" s="21">
        <v>2020</v>
      </c>
      <c r="E45" s="21" t="s">
        <v>37</v>
      </c>
      <c r="F45" s="21" t="s">
        <v>146</v>
      </c>
      <c r="G45" s="21" t="s">
        <v>39</v>
      </c>
      <c r="H45" s="21" t="s">
        <v>32</v>
      </c>
      <c r="I45" s="21" t="s">
        <v>43</v>
      </c>
      <c r="J45" s="21">
        <v>33400</v>
      </c>
      <c r="K45" s="21">
        <v>2553</v>
      </c>
      <c r="L45" s="2">
        <f>J45/K45</f>
        <v>13.082647865256561</v>
      </c>
      <c r="M45" s="21">
        <v>1</v>
      </c>
      <c r="N45" s="21">
        <v>70</v>
      </c>
      <c r="O45" s="21">
        <v>4</v>
      </c>
      <c r="P45" s="2">
        <f>SUM(U45,V45,W45,AC45,AF45,AH45)</f>
        <v>99.8</v>
      </c>
      <c r="Q45" s="2">
        <f>P45+(M45*N45)+O45</f>
        <v>173.8</v>
      </c>
      <c r="R45" s="21">
        <v>2.6</v>
      </c>
      <c r="S45" s="2">
        <v>73</v>
      </c>
      <c r="T45" s="1">
        <v>0</v>
      </c>
      <c r="U45" s="2">
        <f>S45*(1-T45)</f>
        <v>73</v>
      </c>
      <c r="V45" s="21">
        <v>5</v>
      </c>
      <c r="W45" s="21">
        <v>8</v>
      </c>
      <c r="X45" s="3">
        <v>2.2999999999999998</v>
      </c>
      <c r="Y45" s="1">
        <v>0.8</v>
      </c>
      <c r="Z45" s="3">
        <f>Y45*X45</f>
        <v>1.8399999999999999</v>
      </c>
      <c r="AA45" s="3">
        <f>X45/'energy battery'!B$3</f>
        <v>11.499999999999998</v>
      </c>
      <c r="AB45" s="3">
        <f t="shared" ref="AB45:AB52" si="31">0.2*AA45</f>
        <v>2.2999999999999998</v>
      </c>
      <c r="AC45" s="3">
        <f>AB45+AA45</f>
        <v>13.799999999999997</v>
      </c>
      <c r="AD45" s="3">
        <v>1</v>
      </c>
      <c r="AE45" s="3">
        <v>0</v>
      </c>
      <c r="AF45" s="21">
        <f>AE45*'fuels and tailpipe emissions'!$B$3</f>
        <v>0</v>
      </c>
      <c r="AG45" s="21">
        <v>0</v>
      </c>
      <c r="AH45" s="3">
        <v>0</v>
      </c>
      <c r="AI45" s="3">
        <v>3</v>
      </c>
      <c r="AJ45" s="3">
        <v>1</v>
      </c>
      <c r="AK45" s="21">
        <f>IF(J45/50000&gt;1,J45/50000,1)</f>
        <v>1</v>
      </c>
      <c r="AL45" s="21">
        <f>0.000537/1000*Q45</f>
        <v>9.3330600000000004E-5</v>
      </c>
      <c r="AM45" s="21">
        <v>1.2899999999999999E-3</v>
      </c>
      <c r="AN45" s="2">
        <f>U45</f>
        <v>73</v>
      </c>
      <c r="AO45" s="2">
        <f>SUM(V45:W45)</f>
        <v>13</v>
      </c>
      <c r="AP45" s="2">
        <f>AC45</f>
        <v>13.799999999999997</v>
      </c>
      <c r="AQ45" s="6" t="s">
        <v>86</v>
      </c>
      <c r="AR45" s="5">
        <v>0.13343610710814707</v>
      </c>
      <c r="AS45" s="2">
        <f>SUM(Z45,AG45)/(SUM(AQ45:AR45)/3.6)</f>
        <v>49.641735985533444</v>
      </c>
      <c r="AT45" s="5">
        <v>0</v>
      </c>
      <c r="AU45" s="7">
        <v>0</v>
      </c>
      <c r="AV45" s="7">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f>VLOOKUP(B45,'abrasion emissions'!$A$4:$D$32,4,FALSE)</f>
        <v>6.0000000000000002E-6</v>
      </c>
      <c r="CJ45" s="7">
        <f>VLOOKUP(B45,'abrasion emissions'!$A$4:$D$32,2,FALSE)</f>
        <v>6.3939999999999993E-6</v>
      </c>
      <c r="CK45" s="7">
        <f>VLOOKUP(B45,'abrasion emissions'!$A$4:$D$32,3,FALSE)</f>
        <v>3.0894999999999998E-6</v>
      </c>
    </row>
    <row r="46" spans="1:89" s="21" customFormat="1" x14ac:dyDescent="0.3">
      <c r="A46" s="21" t="str">
        <f>B46&amp;" - "&amp;D46&amp;" - "&amp;E46</f>
        <v>Scooter, electric, &lt;4kW - 2030 - CH</v>
      </c>
      <c r="B46" s="21" t="s">
        <v>674</v>
      </c>
      <c r="D46" s="21">
        <v>2030</v>
      </c>
      <c r="E46" s="21" t="s">
        <v>37</v>
      </c>
      <c r="F46" s="21" t="s">
        <v>146</v>
      </c>
      <c r="G46" s="21" t="s">
        <v>39</v>
      </c>
      <c r="H46" s="21" t="s">
        <v>32</v>
      </c>
      <c r="I46" s="21" t="s">
        <v>43</v>
      </c>
      <c r="J46" s="21">
        <v>33400</v>
      </c>
      <c r="K46" s="21">
        <v>2553</v>
      </c>
      <c r="L46" s="2">
        <f>J46/K46</f>
        <v>13.082647865256561</v>
      </c>
      <c r="M46" s="21">
        <v>1</v>
      </c>
      <c r="N46" s="21">
        <v>70</v>
      </c>
      <c r="O46" s="21">
        <v>4</v>
      </c>
      <c r="P46" s="2">
        <f>SUM(U46,V46,W46,AC46,AF46,AH46)</f>
        <v>99.81</v>
      </c>
      <c r="Q46" s="2">
        <f>P46+(M46*N46)+O46</f>
        <v>173.81</v>
      </c>
      <c r="R46" s="21">
        <v>2.6</v>
      </c>
      <c r="S46" s="2">
        <v>73</v>
      </c>
      <c r="T46" s="1">
        <v>0.03</v>
      </c>
      <c r="U46" s="2">
        <f>S46*(1-T46)</f>
        <v>70.81</v>
      </c>
      <c r="V46" s="21">
        <v>5</v>
      </c>
      <c r="W46" s="21">
        <v>8</v>
      </c>
      <c r="X46" s="3">
        <v>4</v>
      </c>
      <c r="Y46" s="1">
        <v>0.8</v>
      </c>
      <c r="Z46" s="3">
        <f>Y46*X46</f>
        <v>3.2</v>
      </c>
      <c r="AA46" s="3">
        <f>X46/'energy battery'!B$4</f>
        <v>13.333333333333334</v>
      </c>
      <c r="AB46" s="3">
        <f t="shared" si="31"/>
        <v>2.666666666666667</v>
      </c>
      <c r="AC46" s="3">
        <f>AB46+AA46</f>
        <v>16</v>
      </c>
      <c r="AD46" s="3">
        <v>0.5</v>
      </c>
      <c r="AE46" s="3">
        <v>0</v>
      </c>
      <c r="AF46" s="21">
        <f>AE46*'fuels and tailpipe emissions'!$B$3</f>
        <v>0</v>
      </c>
      <c r="AG46" s="21">
        <v>0</v>
      </c>
      <c r="AH46" s="3">
        <v>0</v>
      </c>
      <c r="AI46" s="3">
        <v>3</v>
      </c>
      <c r="AJ46" s="3">
        <v>1</v>
      </c>
      <c r="AK46" s="21">
        <f>IF(J46/50000&gt;1,J46/50000,1)</f>
        <v>1</v>
      </c>
      <c r="AL46" s="21">
        <f>0.000537/1000*Q46</f>
        <v>9.333597E-5</v>
      </c>
      <c r="AM46" s="21">
        <v>1.2899999999999999E-3</v>
      </c>
      <c r="AN46" s="2">
        <f>U46</f>
        <v>70.81</v>
      </c>
      <c r="AO46" s="2">
        <f>SUM(V46:W46)</f>
        <v>13</v>
      </c>
      <c r="AP46" s="2">
        <f>AC46</f>
        <v>16</v>
      </c>
      <c r="AQ46" s="6" t="s">
        <v>86</v>
      </c>
      <c r="AR46" s="5">
        <v>0.13343610710814707</v>
      </c>
      <c r="AS46" s="2">
        <f>SUM(Z46,AG46)/(SUM(AQ46:AR46)/3.6)</f>
        <v>86.333453887884261</v>
      </c>
      <c r="AT46" s="5">
        <v>0</v>
      </c>
      <c r="AU46" s="7">
        <v>0</v>
      </c>
      <c r="AV46" s="7">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f>VLOOKUP(B46,'abrasion emissions'!$A$4:$D$32,4,FALSE)</f>
        <v>6.0000000000000002E-6</v>
      </c>
      <c r="CJ46" s="7">
        <f>VLOOKUP(B46,'abrasion emissions'!$A$4:$D$32,2,FALSE)</f>
        <v>6.3939999999999993E-6</v>
      </c>
      <c r="CK46" s="7">
        <f>VLOOKUP(B46,'abrasion emissions'!$A$4:$D$32,3,FALSE)</f>
        <v>3.0894999999999998E-6</v>
      </c>
    </row>
    <row r="47" spans="1:89" s="21" customFormat="1" x14ac:dyDescent="0.3">
      <c r="A47" s="21" t="str">
        <f>B47&amp;" - "&amp;D47&amp;" - "&amp;E47</f>
        <v>Scooter, electric, &lt;4kW - 2040 - CH</v>
      </c>
      <c r="B47" s="21" t="s">
        <v>674</v>
      </c>
      <c r="D47" s="21">
        <v>2040</v>
      </c>
      <c r="E47" s="21" t="s">
        <v>37</v>
      </c>
      <c r="F47" s="21" t="s">
        <v>146</v>
      </c>
      <c r="G47" s="21" t="s">
        <v>39</v>
      </c>
      <c r="H47" s="21" t="s">
        <v>32</v>
      </c>
      <c r="I47" s="21" t="s">
        <v>43</v>
      </c>
      <c r="J47" s="21">
        <v>33400</v>
      </c>
      <c r="K47" s="21">
        <v>2553</v>
      </c>
      <c r="L47" s="2">
        <f>J47/K47</f>
        <v>13.082647865256561</v>
      </c>
      <c r="M47" s="21">
        <v>1</v>
      </c>
      <c r="N47" s="21">
        <v>70</v>
      </c>
      <c r="O47" s="21">
        <v>4</v>
      </c>
      <c r="P47" s="2">
        <f>SUM(U47,V47,W47,AC47,AF47,AH47)</f>
        <v>99.75</v>
      </c>
      <c r="Q47" s="2">
        <f>P47+(M47*N47)+O47</f>
        <v>173.75</v>
      </c>
      <c r="R47" s="21">
        <v>2.6</v>
      </c>
      <c r="S47" s="2">
        <v>73</v>
      </c>
      <c r="T47" s="1">
        <v>0.05</v>
      </c>
      <c r="U47" s="2">
        <f>S47*(1-T47)</f>
        <v>69.349999999999994</v>
      </c>
      <c r="V47" s="21">
        <v>5</v>
      </c>
      <c r="W47" s="21">
        <v>8</v>
      </c>
      <c r="X47" s="3">
        <v>5.8</v>
      </c>
      <c r="Y47" s="1">
        <v>0.8</v>
      </c>
      <c r="Z47" s="3">
        <f>Y47*X47</f>
        <v>4.6399999999999997</v>
      </c>
      <c r="AA47" s="3">
        <f>X47/'energy battery'!B$5</f>
        <v>14.499999999999998</v>
      </c>
      <c r="AB47" s="3">
        <f t="shared" si="31"/>
        <v>2.9</v>
      </c>
      <c r="AC47" s="3">
        <f>AB47+AA47</f>
        <v>17.399999999999999</v>
      </c>
      <c r="AD47" s="3">
        <v>0.25</v>
      </c>
      <c r="AE47" s="3">
        <v>0</v>
      </c>
      <c r="AF47" s="21">
        <f>AE47*'fuels and tailpipe emissions'!$B$3</f>
        <v>0</v>
      </c>
      <c r="AG47" s="21">
        <v>0</v>
      </c>
      <c r="AH47" s="3">
        <v>0</v>
      </c>
      <c r="AI47" s="3">
        <v>3</v>
      </c>
      <c r="AJ47" s="3">
        <v>1</v>
      </c>
      <c r="AK47" s="21">
        <f>IF(J47/50000&gt;1,J47/50000,1)</f>
        <v>1</v>
      </c>
      <c r="AL47" s="21">
        <f>0.000537/1000*Q47</f>
        <v>9.3303749999999996E-5</v>
      </c>
      <c r="AM47" s="21">
        <v>1.2899999999999999E-3</v>
      </c>
      <c r="AN47" s="2">
        <f>U47</f>
        <v>69.349999999999994</v>
      </c>
      <c r="AO47" s="2">
        <f>SUM(V47:W47)</f>
        <v>13</v>
      </c>
      <c r="AP47" s="2">
        <f>AC47</f>
        <v>17.399999999999999</v>
      </c>
      <c r="AQ47" s="6" t="s">
        <v>86</v>
      </c>
      <c r="AR47" s="5">
        <v>0.13343610710814707</v>
      </c>
      <c r="AS47" s="2">
        <f>SUM(Z47,AG47)/(SUM(AQ47:AR47)/3.6)</f>
        <v>125.18350813743217</v>
      </c>
      <c r="AT47" s="5">
        <v>0</v>
      </c>
      <c r="AU47" s="7">
        <v>0</v>
      </c>
      <c r="AV47" s="7">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f>VLOOKUP(B47,'abrasion emissions'!$A$4:$D$32,4,FALSE)</f>
        <v>6.0000000000000002E-6</v>
      </c>
      <c r="CJ47" s="7">
        <f>VLOOKUP(B47,'abrasion emissions'!$A$4:$D$32,2,FALSE)</f>
        <v>6.3939999999999993E-6</v>
      </c>
      <c r="CK47" s="7">
        <f>VLOOKUP(B47,'abrasion emissions'!$A$4:$D$32,3,FALSE)</f>
        <v>3.0894999999999998E-6</v>
      </c>
    </row>
    <row r="48" spans="1:89" s="21" customFormat="1" x14ac:dyDescent="0.3">
      <c r="A48" s="21" t="str">
        <f>B48&amp;" - "&amp;D48&amp;" - "&amp;E48</f>
        <v>Scooter, electric, &lt;4kW - 2050 - CH</v>
      </c>
      <c r="B48" s="21" t="s">
        <v>674</v>
      </c>
      <c r="D48" s="21">
        <v>2050</v>
      </c>
      <c r="E48" s="21" t="s">
        <v>37</v>
      </c>
      <c r="F48" s="21" t="s">
        <v>146</v>
      </c>
      <c r="G48" s="21" t="s">
        <v>39</v>
      </c>
      <c r="H48" s="21" t="s">
        <v>32</v>
      </c>
      <c r="I48" s="21" t="s">
        <v>43</v>
      </c>
      <c r="J48" s="21">
        <v>33400</v>
      </c>
      <c r="K48" s="21">
        <v>2553</v>
      </c>
      <c r="L48" s="2">
        <f>J48/K48</f>
        <v>13.082647865256561</v>
      </c>
      <c r="M48" s="21">
        <v>1</v>
      </c>
      <c r="N48" s="21">
        <v>70</v>
      </c>
      <c r="O48" s="21">
        <v>4</v>
      </c>
      <c r="P48" s="2">
        <f>SUM(U48,V48,W48,AC48,AF48,AH48)</f>
        <v>100.09</v>
      </c>
      <c r="Q48" s="2">
        <f>P48+(M48*N48)+O48</f>
        <v>174.09</v>
      </c>
      <c r="R48" s="21">
        <v>2.6</v>
      </c>
      <c r="S48" s="2">
        <v>73</v>
      </c>
      <c r="T48" s="1">
        <v>7.0000000000000007E-2</v>
      </c>
      <c r="U48" s="2">
        <f>S48*(1-T48)</f>
        <v>67.89</v>
      </c>
      <c r="V48" s="21">
        <v>5</v>
      </c>
      <c r="W48" s="21">
        <v>8</v>
      </c>
      <c r="X48" s="3">
        <v>8</v>
      </c>
      <c r="Y48" s="1">
        <v>0.8</v>
      </c>
      <c r="Z48" s="3">
        <f>Y48*X48</f>
        <v>6.4</v>
      </c>
      <c r="AA48" s="3">
        <f>X48/'energy battery'!B$6</f>
        <v>16</v>
      </c>
      <c r="AB48" s="3">
        <f t="shared" si="31"/>
        <v>3.2</v>
      </c>
      <c r="AC48" s="3">
        <f>AB48+AA48</f>
        <v>19.2</v>
      </c>
      <c r="AD48" s="3">
        <v>0</v>
      </c>
      <c r="AE48" s="3">
        <v>0</v>
      </c>
      <c r="AF48" s="21">
        <f>AE48*'fuels and tailpipe emissions'!$B$3</f>
        <v>0</v>
      </c>
      <c r="AG48" s="21">
        <v>0</v>
      </c>
      <c r="AH48" s="3">
        <v>0</v>
      </c>
      <c r="AI48" s="3">
        <v>3</v>
      </c>
      <c r="AJ48" s="3">
        <v>1</v>
      </c>
      <c r="AK48" s="21">
        <f>IF(J48/50000&gt;1,J48/50000,1)</f>
        <v>1</v>
      </c>
      <c r="AL48" s="21">
        <f>0.000537/1000*Q48</f>
        <v>9.3486330000000002E-5</v>
      </c>
      <c r="AM48" s="21">
        <v>1.2899999999999999E-3</v>
      </c>
      <c r="AN48" s="2">
        <f>U48</f>
        <v>67.89</v>
      </c>
      <c r="AO48" s="2">
        <f>SUM(V48:W48)</f>
        <v>13</v>
      </c>
      <c r="AP48" s="2">
        <f>AC48</f>
        <v>19.2</v>
      </c>
      <c r="AQ48" s="6" t="s">
        <v>86</v>
      </c>
      <c r="AR48" s="5">
        <v>0.13343610710814707</v>
      </c>
      <c r="AS48" s="2">
        <f>SUM(Z48,AG48)/(SUM(AQ48:AR48)/3.6)</f>
        <v>172.66690777576852</v>
      </c>
      <c r="AT48" s="5">
        <v>0</v>
      </c>
      <c r="AU48" s="7">
        <v>0</v>
      </c>
      <c r="AV48" s="7">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f>VLOOKUP(B48,'abrasion emissions'!$A$4:$D$32,4,FALSE)</f>
        <v>6.0000000000000002E-6</v>
      </c>
      <c r="CJ48" s="7">
        <f>VLOOKUP(B48,'abrasion emissions'!$A$4:$D$32,2,FALSE)</f>
        <v>6.3939999999999993E-6</v>
      </c>
      <c r="CK48" s="7">
        <f>VLOOKUP(B48,'abrasion emissions'!$A$4:$D$32,3,FALSE)</f>
        <v>3.0894999999999998E-6</v>
      </c>
    </row>
    <row r="49" spans="1:89" x14ac:dyDescent="0.3">
      <c r="A49" t="str">
        <f t="shared" si="1"/>
        <v>Scooter, electric, 4-11kW - 2020 - CH</v>
      </c>
      <c r="B49" t="s">
        <v>631</v>
      </c>
      <c r="D49">
        <v>2020</v>
      </c>
      <c r="E49" t="s">
        <v>37</v>
      </c>
      <c r="F49" t="s">
        <v>146</v>
      </c>
      <c r="G49" t="s">
        <v>39</v>
      </c>
      <c r="H49" t="s">
        <v>32</v>
      </c>
      <c r="I49" t="s">
        <v>43</v>
      </c>
      <c r="J49" s="21">
        <v>39800</v>
      </c>
      <c r="K49">
        <v>2731</v>
      </c>
      <c r="L49" s="2">
        <f t="shared" si="2"/>
        <v>14.573416331014281</v>
      </c>
      <c r="M49">
        <v>1</v>
      </c>
      <c r="N49">
        <v>70</v>
      </c>
      <c r="O49">
        <v>4</v>
      </c>
      <c r="P49" s="2">
        <f t="shared" si="13"/>
        <v>129.80000000000001</v>
      </c>
      <c r="Q49" s="2">
        <f t="shared" si="3"/>
        <v>203.8</v>
      </c>
      <c r="R49">
        <v>6.1</v>
      </c>
      <c r="S49" s="2">
        <v>84</v>
      </c>
      <c r="T49" s="1">
        <v>0</v>
      </c>
      <c r="U49" s="2">
        <f t="shared" si="4"/>
        <v>84</v>
      </c>
      <c r="V49">
        <v>10</v>
      </c>
      <c r="W49">
        <v>16</v>
      </c>
      <c r="X49" s="3">
        <v>3.3</v>
      </c>
      <c r="Y49" s="1">
        <v>0.8</v>
      </c>
      <c r="Z49" s="3">
        <f t="shared" si="5"/>
        <v>2.64</v>
      </c>
      <c r="AA49" s="3">
        <f>X49/'energy battery'!B$3</f>
        <v>16.499999999999996</v>
      </c>
      <c r="AB49" s="3">
        <f t="shared" si="31"/>
        <v>3.2999999999999994</v>
      </c>
      <c r="AC49" s="3">
        <f t="shared" si="7"/>
        <v>19.799999999999997</v>
      </c>
      <c r="AD49" s="3">
        <v>1</v>
      </c>
      <c r="AE49" s="3">
        <v>0</v>
      </c>
      <c r="AF49">
        <f>AE49*'fuels and tailpipe emissions'!$B$3</f>
        <v>0</v>
      </c>
      <c r="AG49">
        <v>0</v>
      </c>
      <c r="AH49" s="3">
        <v>0</v>
      </c>
      <c r="AI49" s="3">
        <v>3</v>
      </c>
      <c r="AJ49" s="3">
        <v>1</v>
      </c>
      <c r="AK49">
        <f t="shared" si="30"/>
        <v>1</v>
      </c>
      <c r="AL49">
        <f t="shared" si="15"/>
        <v>1.0944060000000001E-4</v>
      </c>
      <c r="AM49">
        <v>1.2899999999999999E-3</v>
      </c>
      <c r="AN49" s="2">
        <f t="shared" si="9"/>
        <v>84</v>
      </c>
      <c r="AO49" s="2">
        <f t="shared" si="10"/>
        <v>26</v>
      </c>
      <c r="AP49" s="2">
        <f t="shared" si="11"/>
        <v>19.799999999999997</v>
      </c>
      <c r="AQ49" s="6" t="s">
        <v>86</v>
      </c>
      <c r="AR49" s="5">
        <v>0.18941496155676324</v>
      </c>
      <c r="AS49" s="2">
        <f>SUM(Z49,AG49)/(SUM(AQ49:AR49)/3.6)</f>
        <v>50.175550663414057</v>
      </c>
      <c r="AT49" s="5">
        <v>0</v>
      </c>
      <c r="AU49" s="7">
        <v>0</v>
      </c>
      <c r="AV49" s="7">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f>VLOOKUP(B49,'abrasion emissions'!$A$4:$D$32,4,FALSE)</f>
        <v>6.0000000000000002E-6</v>
      </c>
      <c r="CJ49" s="7">
        <f>VLOOKUP(B49,'abrasion emissions'!$A$4:$D$32,2,FALSE)</f>
        <v>6.3939999999999993E-6</v>
      </c>
      <c r="CK49" s="7">
        <f>VLOOKUP(B49,'abrasion emissions'!$A$4:$D$32,3,FALSE)</f>
        <v>3.0894999999999998E-6</v>
      </c>
    </row>
    <row r="50" spans="1:89" x14ac:dyDescent="0.3">
      <c r="A50" t="str">
        <f t="shared" si="1"/>
        <v>Scooter, electric, 4-11kW - 2030 - CH</v>
      </c>
      <c r="B50" t="s">
        <v>631</v>
      </c>
      <c r="D50">
        <v>2030</v>
      </c>
      <c r="E50" t="s">
        <v>37</v>
      </c>
      <c r="F50" t="s">
        <v>146</v>
      </c>
      <c r="G50" t="s">
        <v>39</v>
      </c>
      <c r="H50" t="s">
        <v>32</v>
      </c>
      <c r="I50" t="s">
        <v>43</v>
      </c>
      <c r="J50" s="21">
        <v>39800</v>
      </c>
      <c r="K50" s="21">
        <v>2731</v>
      </c>
      <c r="L50" s="2">
        <f t="shared" si="2"/>
        <v>14.573416331014281</v>
      </c>
      <c r="M50">
        <v>1</v>
      </c>
      <c r="N50">
        <v>70</v>
      </c>
      <c r="O50">
        <v>4</v>
      </c>
      <c r="P50" s="2">
        <f t="shared" si="13"/>
        <v>130.28</v>
      </c>
      <c r="Q50" s="2">
        <f t="shared" si="3"/>
        <v>204.28</v>
      </c>
      <c r="R50" s="21">
        <v>6.1</v>
      </c>
      <c r="S50" s="2">
        <v>84</v>
      </c>
      <c r="T50" s="1">
        <v>0.03</v>
      </c>
      <c r="U50" s="2">
        <f t="shared" si="4"/>
        <v>81.48</v>
      </c>
      <c r="V50" s="21">
        <v>10</v>
      </c>
      <c r="W50" s="21">
        <v>16</v>
      </c>
      <c r="X50" s="3">
        <v>5.7</v>
      </c>
      <c r="Y50" s="1">
        <v>0.8</v>
      </c>
      <c r="Z50" s="3">
        <f t="shared" si="5"/>
        <v>4.5600000000000005</v>
      </c>
      <c r="AA50" s="3">
        <f>X50/'energy battery'!B$4</f>
        <v>19</v>
      </c>
      <c r="AB50" s="3">
        <f t="shared" si="31"/>
        <v>3.8000000000000003</v>
      </c>
      <c r="AC50" s="3">
        <f t="shared" si="7"/>
        <v>22.8</v>
      </c>
      <c r="AD50" s="3">
        <v>0.5</v>
      </c>
      <c r="AE50" s="3">
        <v>0</v>
      </c>
      <c r="AF50">
        <f>AE50*'fuels and tailpipe emissions'!$B$3</f>
        <v>0</v>
      </c>
      <c r="AG50">
        <v>0</v>
      </c>
      <c r="AH50" s="3">
        <v>0</v>
      </c>
      <c r="AI50" s="3">
        <v>3</v>
      </c>
      <c r="AJ50" s="3">
        <v>1</v>
      </c>
      <c r="AK50">
        <f t="shared" si="30"/>
        <v>1</v>
      </c>
      <c r="AL50">
        <f t="shared" si="15"/>
        <v>1.0969836E-4</v>
      </c>
      <c r="AM50">
        <v>1.2899999999999999E-3</v>
      </c>
      <c r="AN50" s="2">
        <f t="shared" si="9"/>
        <v>81.48</v>
      </c>
      <c r="AO50" s="2">
        <f t="shared" si="10"/>
        <v>26</v>
      </c>
      <c r="AP50" s="2">
        <f t="shared" si="11"/>
        <v>22.8</v>
      </c>
      <c r="AQ50" s="6" t="s">
        <v>86</v>
      </c>
      <c r="AR50" s="5">
        <v>0.18941496155676324</v>
      </c>
      <c r="AS50" s="2">
        <f>SUM(Z50,AG50)/(SUM(AQ50:AR50)/3.6)</f>
        <v>86.666860236806102</v>
      </c>
      <c r="AT50" s="5">
        <v>0</v>
      </c>
      <c r="AU50" s="7">
        <v>0</v>
      </c>
      <c r="AV50" s="7">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f>VLOOKUP(B50,'abrasion emissions'!$A$4:$D$32,4,FALSE)</f>
        <v>6.0000000000000002E-6</v>
      </c>
      <c r="CJ50" s="7">
        <f>VLOOKUP(B50,'abrasion emissions'!$A$4:$D$32,2,FALSE)</f>
        <v>6.3939999999999993E-6</v>
      </c>
      <c r="CK50" s="7">
        <f>VLOOKUP(B50,'abrasion emissions'!$A$4:$D$32,3,FALSE)</f>
        <v>3.0894999999999998E-6</v>
      </c>
    </row>
    <row r="51" spans="1:89" x14ac:dyDescent="0.3">
      <c r="A51" t="str">
        <f t="shared" si="1"/>
        <v>Scooter, electric, 4-11kW - 2040 - CH</v>
      </c>
      <c r="B51" t="s">
        <v>631</v>
      </c>
      <c r="D51">
        <v>2040</v>
      </c>
      <c r="E51" t="s">
        <v>37</v>
      </c>
      <c r="F51" t="s">
        <v>146</v>
      </c>
      <c r="G51" t="s">
        <v>39</v>
      </c>
      <c r="H51" t="s">
        <v>32</v>
      </c>
      <c r="I51" t="s">
        <v>43</v>
      </c>
      <c r="J51" s="21">
        <v>39800</v>
      </c>
      <c r="K51" s="21">
        <v>2731</v>
      </c>
      <c r="L51" s="2">
        <f t="shared" si="2"/>
        <v>14.573416331014281</v>
      </c>
      <c r="M51">
        <v>1</v>
      </c>
      <c r="N51">
        <v>70</v>
      </c>
      <c r="O51">
        <v>4</v>
      </c>
      <c r="P51" s="2">
        <f t="shared" si="13"/>
        <v>130.39999999999998</v>
      </c>
      <c r="Q51" s="2">
        <f t="shared" si="3"/>
        <v>204.39999999999998</v>
      </c>
      <c r="R51" s="21">
        <v>6.1</v>
      </c>
      <c r="S51" s="2">
        <v>84</v>
      </c>
      <c r="T51" s="1">
        <v>0.05</v>
      </c>
      <c r="U51" s="2">
        <f t="shared" si="4"/>
        <v>79.8</v>
      </c>
      <c r="V51" s="21">
        <v>10</v>
      </c>
      <c r="W51" s="21">
        <v>16</v>
      </c>
      <c r="X51" s="3">
        <v>8.1999999999999993</v>
      </c>
      <c r="Y51" s="1">
        <v>0.8</v>
      </c>
      <c r="Z51" s="3">
        <f t="shared" si="5"/>
        <v>6.56</v>
      </c>
      <c r="AA51" s="3">
        <f>X51/'energy battery'!B$5</f>
        <v>20.499999999999996</v>
      </c>
      <c r="AB51" s="3">
        <f t="shared" si="31"/>
        <v>4.0999999999999996</v>
      </c>
      <c r="AC51" s="3">
        <f t="shared" si="7"/>
        <v>24.599999999999994</v>
      </c>
      <c r="AD51" s="3">
        <v>0.25</v>
      </c>
      <c r="AE51" s="3">
        <v>0</v>
      </c>
      <c r="AF51">
        <f>AE51*'fuels and tailpipe emissions'!$B$3</f>
        <v>0</v>
      </c>
      <c r="AG51">
        <v>0</v>
      </c>
      <c r="AH51" s="3">
        <v>0</v>
      </c>
      <c r="AI51" s="3">
        <v>3</v>
      </c>
      <c r="AJ51" s="3">
        <v>1</v>
      </c>
      <c r="AK51">
        <f t="shared" si="30"/>
        <v>1</v>
      </c>
      <c r="AL51">
        <f t="shared" si="15"/>
        <v>1.0976279999999999E-4</v>
      </c>
      <c r="AM51">
        <v>1.2899999999999999E-3</v>
      </c>
      <c r="AN51" s="2">
        <f t="shared" si="9"/>
        <v>79.8</v>
      </c>
      <c r="AO51" s="2">
        <f t="shared" si="10"/>
        <v>26</v>
      </c>
      <c r="AP51" s="2">
        <f t="shared" si="11"/>
        <v>24.599999999999994</v>
      </c>
      <c r="AQ51" s="6" t="s">
        <v>86</v>
      </c>
      <c r="AR51" s="5">
        <v>0.18941496155676324</v>
      </c>
      <c r="AS51" s="2">
        <f>SUM(Z51,AG51)/(SUM(AQ51:AR51)/3.6)</f>
        <v>124.6786410424228</v>
      </c>
      <c r="AT51" s="5">
        <v>0</v>
      </c>
      <c r="AU51" s="7">
        <v>0</v>
      </c>
      <c r="AV51" s="7">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f>VLOOKUP(B51,'abrasion emissions'!$A$4:$D$32,4,FALSE)</f>
        <v>6.0000000000000002E-6</v>
      </c>
      <c r="CJ51" s="7">
        <f>VLOOKUP(B51,'abrasion emissions'!$A$4:$D$32,2,FALSE)</f>
        <v>6.3939999999999993E-6</v>
      </c>
      <c r="CK51" s="7">
        <f>VLOOKUP(B51,'abrasion emissions'!$A$4:$D$32,3,FALSE)</f>
        <v>3.0894999999999998E-6</v>
      </c>
    </row>
    <row r="52" spans="1:89" x14ac:dyDescent="0.3">
      <c r="A52" t="str">
        <f t="shared" si="1"/>
        <v>Scooter, electric, 4-11kW - 2050 - CH</v>
      </c>
      <c r="B52" t="s">
        <v>631</v>
      </c>
      <c r="D52">
        <v>2050</v>
      </c>
      <c r="E52" t="s">
        <v>37</v>
      </c>
      <c r="F52" t="s">
        <v>146</v>
      </c>
      <c r="G52" t="s">
        <v>39</v>
      </c>
      <c r="H52" t="s">
        <v>32</v>
      </c>
      <c r="I52" t="s">
        <v>43</v>
      </c>
      <c r="J52" s="21">
        <v>39800</v>
      </c>
      <c r="K52" s="21">
        <v>2731</v>
      </c>
      <c r="L52" s="2">
        <f t="shared" si="2"/>
        <v>14.573416331014281</v>
      </c>
      <c r="M52">
        <v>1</v>
      </c>
      <c r="N52">
        <v>70</v>
      </c>
      <c r="O52">
        <v>4</v>
      </c>
      <c r="P52" s="2">
        <f t="shared" si="13"/>
        <v>130.04</v>
      </c>
      <c r="Q52" s="2">
        <f t="shared" si="3"/>
        <v>204.04</v>
      </c>
      <c r="R52" s="21">
        <v>6.1</v>
      </c>
      <c r="S52" s="2">
        <v>84</v>
      </c>
      <c r="T52" s="1">
        <v>7.0000000000000007E-2</v>
      </c>
      <c r="U52" s="2">
        <f t="shared" si="4"/>
        <v>78.11999999999999</v>
      </c>
      <c r="V52" s="21">
        <v>10</v>
      </c>
      <c r="W52" s="21">
        <v>16</v>
      </c>
      <c r="X52" s="3">
        <v>10.8</v>
      </c>
      <c r="Y52" s="1">
        <v>0.8</v>
      </c>
      <c r="Z52" s="3">
        <f t="shared" si="5"/>
        <v>8.64</v>
      </c>
      <c r="AA52" s="3">
        <f>X52/'energy battery'!B$6</f>
        <v>21.6</v>
      </c>
      <c r="AB52" s="3">
        <f t="shared" si="31"/>
        <v>4.32</v>
      </c>
      <c r="AC52" s="3">
        <f t="shared" si="7"/>
        <v>25.92</v>
      </c>
      <c r="AD52" s="3">
        <v>0</v>
      </c>
      <c r="AE52" s="3">
        <v>0</v>
      </c>
      <c r="AF52">
        <f>AE52*'fuels and tailpipe emissions'!$B$3</f>
        <v>0</v>
      </c>
      <c r="AG52">
        <v>0</v>
      </c>
      <c r="AH52" s="3">
        <v>0</v>
      </c>
      <c r="AI52" s="3">
        <v>3</v>
      </c>
      <c r="AJ52" s="3">
        <v>1</v>
      </c>
      <c r="AK52">
        <f t="shared" si="30"/>
        <v>1</v>
      </c>
      <c r="AL52">
        <f t="shared" si="15"/>
        <v>1.0956948E-4</v>
      </c>
      <c r="AM52">
        <v>1.2899999999999999E-3</v>
      </c>
      <c r="AN52" s="2">
        <f t="shared" si="9"/>
        <v>78.11999999999999</v>
      </c>
      <c r="AO52" s="2">
        <f t="shared" si="10"/>
        <v>26</v>
      </c>
      <c r="AP52" s="2">
        <f t="shared" si="11"/>
        <v>25.92</v>
      </c>
      <c r="AQ52" s="6" t="s">
        <v>86</v>
      </c>
      <c r="AR52" s="5">
        <v>0.18941496155676324</v>
      </c>
      <c r="AS52" s="2">
        <f>SUM(Z52,AG52)/(SUM(AQ52:AR52)/3.6)</f>
        <v>164.21089308026419</v>
      </c>
      <c r="AT52" s="5">
        <v>0</v>
      </c>
      <c r="AU52" s="7">
        <v>0</v>
      </c>
      <c r="AV52" s="7">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f>VLOOKUP(B52,'abrasion emissions'!$A$4:$D$32,4,FALSE)</f>
        <v>6.0000000000000002E-6</v>
      </c>
      <c r="CJ52" s="7">
        <f>VLOOKUP(B52,'abrasion emissions'!$A$4:$D$32,2,FALSE)</f>
        <v>6.3939999999999993E-6</v>
      </c>
      <c r="CK52" s="7">
        <f>VLOOKUP(B52,'abrasion emissions'!$A$4:$D$32,3,FALSE)</f>
        <v>3.0894999999999998E-6</v>
      </c>
    </row>
    <row r="53" spans="1:89" x14ac:dyDescent="0.3">
      <c r="A53" t="str">
        <f t="shared" si="1"/>
        <v>Motorbike, gasoline, 4-11kW, EURO-3 - 2006 - CH</v>
      </c>
      <c r="B53" t="s">
        <v>712</v>
      </c>
      <c r="D53">
        <v>2006</v>
      </c>
      <c r="E53" t="s">
        <v>37</v>
      </c>
      <c r="F53" t="s">
        <v>147</v>
      </c>
      <c r="G53" t="s">
        <v>39</v>
      </c>
      <c r="H53" t="s">
        <v>35</v>
      </c>
      <c r="J53" s="21">
        <v>39800</v>
      </c>
      <c r="K53">
        <v>2758</v>
      </c>
      <c r="L53" s="2">
        <f t="shared" si="2"/>
        <v>14.430746918056563</v>
      </c>
      <c r="M53">
        <v>1.1000000000000001</v>
      </c>
      <c r="N53">
        <v>70</v>
      </c>
      <c r="O53">
        <v>6</v>
      </c>
      <c r="P53" s="2">
        <f t="shared" si="13"/>
        <v>122.27169718057486</v>
      </c>
      <c r="Q53" s="2">
        <f t="shared" si="3"/>
        <v>205.27169718057485</v>
      </c>
      <c r="R53">
        <v>9</v>
      </c>
      <c r="S53" s="2">
        <v>65.433826960328489</v>
      </c>
      <c r="T53" s="1">
        <v>-0.05</v>
      </c>
      <c r="U53" s="2">
        <f>S53*(1-T53)</f>
        <v>68.705518308344921</v>
      </c>
      <c r="V53" s="2">
        <f>0.7*S53</f>
        <v>45.803678872229938</v>
      </c>
      <c r="W53" s="2">
        <v>0</v>
      </c>
      <c r="X53" s="3">
        <v>0</v>
      </c>
      <c r="Y53" s="1">
        <v>0.8</v>
      </c>
      <c r="Z53" s="3">
        <f t="shared" si="5"/>
        <v>0</v>
      </c>
      <c r="AA53" s="3">
        <v>0</v>
      </c>
      <c r="AB53" s="3">
        <v>0</v>
      </c>
      <c r="AC53" s="3">
        <f t="shared" si="7"/>
        <v>0</v>
      </c>
      <c r="AD53" s="3">
        <v>0</v>
      </c>
      <c r="AE53" s="3">
        <v>9</v>
      </c>
      <c r="AF53">
        <f>AE53*'fuels and tailpipe emissions'!$B$3</f>
        <v>6.75</v>
      </c>
      <c r="AG53" s="2">
        <f>AF53*'fuels and tailpipe emissions'!$C$3</f>
        <v>79.5</v>
      </c>
      <c r="AH53" s="3">
        <f>0.15*AF53</f>
        <v>1.0125</v>
      </c>
      <c r="AI53" s="3">
        <v>0</v>
      </c>
      <c r="AJ53" s="3">
        <v>0</v>
      </c>
      <c r="AK53">
        <f t="shared" si="30"/>
        <v>1</v>
      </c>
      <c r="AL53">
        <f t="shared" si="15"/>
        <v>1.1023090138596869E-4</v>
      </c>
      <c r="AM53">
        <v>1.2899999999999999E-3</v>
      </c>
      <c r="AN53" s="2">
        <f t="shared" si="9"/>
        <v>68.705518308344921</v>
      </c>
      <c r="AO53" s="2">
        <f t="shared" si="10"/>
        <v>45.803678872229938</v>
      </c>
      <c r="AP53" s="2">
        <f t="shared" si="11"/>
        <v>0</v>
      </c>
      <c r="AQ53" s="6">
        <v>1.0260802295042515</v>
      </c>
      <c r="AR53" s="6" t="str">
        <f>IF($H53="BEV",SUMPRODUCT(#REF!,#REF!),"")</f>
        <v/>
      </c>
      <c r="AS53" s="2">
        <f>SUM(Z53,AG53)/(SUM(AQ53:AR53)/3.6)</f>
        <v>278.92555744717635</v>
      </c>
      <c r="AT53" s="5">
        <f>IF($H53="ICEV-p",$AQ53/('fuels and tailpipe emissions'!$C$3*3.6)*'fuels and tailpipe emissions'!$D$3,"")</f>
        <v>7.6956017212818861E-2</v>
      </c>
      <c r="AU53" s="7">
        <f>IF($H53="ICEV-p",$AQ53/('fuels and tailpipe emissions'!$C$3*3.6)*'fuels and tailpipe emissions'!$E$3,"")</f>
        <v>3.8720008660537791E-7</v>
      </c>
      <c r="AV53" s="7">
        <f>SUMIFS('fuels and tailpipe emissions'!$F$10:$F$126,'fuels and tailpipe emissions'!$A$10:$A$126,'vehicles specifications'!$F53,'fuels and tailpipe emissions'!$B$10:$B$126,'vehicles specifications'!AV$2)/1000*$AQ53</f>
        <v>3.6529704169004323E-6</v>
      </c>
      <c r="AW53" s="7">
        <f>SUMIFS('fuels and tailpipe emissions'!$F$10:$F$126,'fuels and tailpipe emissions'!$A$10:$A$126,'vehicles specifications'!$F53,'fuels and tailpipe emissions'!$B$10:$B$126,'vehicles specifications'!AW$2)/1000*$AQ53</f>
        <v>5.0143885394914575E-5</v>
      </c>
      <c r="AX53" s="7">
        <f>SUMIFS('fuels and tailpipe emissions'!$F$10:$F$126,'fuels and tailpipe emissions'!$A$10:$A$126,'vehicles specifications'!$F53,'fuels and tailpipe emissions'!$B$10:$B$126,'vehicles specifications'!AX$2)/1000*$AQ53</f>
        <v>7.0250030559411121E-4</v>
      </c>
      <c r="AY53" s="7">
        <f>SUMIFS('fuels and tailpipe emissions'!$F$10:$F$126,'fuels and tailpipe emissions'!$A$10:$A$126,'vehicles specifications'!$F53,'fuels and tailpipe emissions'!$B$10:$B$126,'vehicles specifications'!AY$2)/1000*$AQ53</f>
        <v>1.7908530498183775E-6</v>
      </c>
      <c r="AZ53" s="7">
        <f>SUMIFS('fuels and tailpipe emissions'!$F$10:$F$126,'fuels and tailpipe emissions'!$A$10:$A$126,'vehicles specifications'!$F53,'fuels and tailpipe emissions'!$B$10:$B$126,'vehicles specifications'!AZ$2)/1000*$AQ53</f>
        <v>1.7908530498183775E-6</v>
      </c>
      <c r="BA53" s="7">
        <f>SUMIFS('fuels and tailpipe emissions'!$F$10:$F$126,'fuels and tailpipe emissions'!$A$10:$A$126,'vehicles specifications'!$F53,'fuels and tailpipe emissions'!$B$10:$B$126,'vehicles specifications'!BA$2)/1000*$AQ53</f>
        <v>9.5536088059378408E-5</v>
      </c>
      <c r="BB53" s="7">
        <f>SUMIFS('fuels and tailpipe emissions'!$F$10:$F$126,'fuels and tailpipe emissions'!$A$10:$A$126,'vehicles specifications'!$F53,'fuels and tailpipe emissions'!$B$10:$B$126,'vehicles specifications'!BB$2)/1000*$AQ53</f>
        <v>4.4771326245459437E-6</v>
      </c>
      <c r="BC53" s="7">
        <f>SUMIFS('fuels and tailpipe emissions'!$F$10:$F$126,'fuels and tailpipe emissions'!$A$10:$A$126,'vehicles specifications'!$F53,'fuels and tailpipe emissions'!$B$10:$B$126,'vehicles specifications'!BC$2)/1000*$AQ53</f>
        <v>2.9458178549122205E-5</v>
      </c>
      <c r="BD53" s="7">
        <f>SUMIFS('fuels and tailpipe emissions'!$F$10:$F$126,'fuels and tailpipe emissions'!$A$10:$A$126,'vehicles specifications'!$F53,'fuels and tailpipe emissions'!$B$10:$B$126,'vehicles specifications'!BD$2)/1000*$AQ53</f>
        <v>2.077179256668873E-6</v>
      </c>
      <c r="BE53" s="7">
        <f>SUMIFS('fuels and tailpipe emissions'!$F$10:$F$126,'fuels and tailpipe emissions'!$A$10:$A$126,'vehicles specifications'!$F53,'fuels and tailpipe emissions'!$B$10:$B$126,'vehicles specifications'!BE$2)/1000*$AQ53</f>
        <v>4.232496917977328E-7</v>
      </c>
      <c r="BF53" s="7">
        <f>SUMIFS('fuels and tailpipe emissions'!$F$10:$F$126,'fuels and tailpipe emissions'!$A$10:$A$126,'vehicles specifications'!$F53,'fuels and tailpipe emissions'!$B$10:$B$126,'vehicles specifications'!BF$2)/1000*$AQ53</f>
        <v>3.4120436692617235E-6</v>
      </c>
      <c r="BG53" s="7">
        <f>SUMIFS('fuels and tailpipe emissions'!$F$10:$F$126,'fuels and tailpipe emissions'!$A$10:$A$126,'vehicles specifications'!$F53,'fuels and tailpipe emissions'!$B$10:$B$126,'vehicles specifications'!BG$2)/1000*$AQ53</f>
        <v>1.3999797497925008E-6</v>
      </c>
      <c r="BH53" s="7">
        <f>SUMIFS('fuels and tailpipe emissions'!$F$10:$F$126,'fuels and tailpipe emissions'!$A$10:$A$126,'vehicles specifications'!$F53,'fuels and tailpipe emissions'!$B$10:$B$126,'vehicles specifications'!BH$2)/1000*$AQ53</f>
        <v>1.0483569289143844E-6</v>
      </c>
      <c r="BI53" s="7">
        <f>SUMIFS('fuels and tailpipe emissions'!$F$10:$F$126,'fuels and tailpipe emissions'!$A$10:$A$126,'vehicles specifications'!$F53,'fuels and tailpipe emissions'!$B$10:$B$126,'vehicles specifications'!BI$2)/1000*$AQ53</f>
        <v>7.4231484407602367E-7</v>
      </c>
      <c r="BJ53" s="7">
        <f>SUMIFS('fuels and tailpipe emissions'!$F$10:$F$126,'fuels and tailpipe emissions'!$A$10:$A$126,'vehicles specifications'!$F53,'fuels and tailpipe emissions'!$B$10:$B$126,'vehicles specifications'!BJ$2)/1000*$AQ53</f>
        <v>4.8185349527741892E-7</v>
      </c>
      <c r="BK53" s="7">
        <f>SUMIFS('fuels and tailpipe emissions'!$F$10:$F$126,'fuels and tailpipe emissions'!$A$10:$A$126,'vehicles specifications'!$F53,'fuels and tailpipe emissions'!$B$10:$B$126,'vehicles specifications'!BK$2)/1000*$AQ53</f>
        <v>4.7534196155745371E-6</v>
      </c>
      <c r="BL53" s="7">
        <f>SUMIFS('fuels and tailpipe emissions'!$F$10:$F$126,'fuels and tailpipe emissions'!$A$10:$A$126,'vehicles specifications'!$F53,'fuels and tailpipe emissions'!$B$10:$B$126,'vehicles specifications'!BL$2)/1000*$AQ53</f>
        <v>2.4874058810266758E-6</v>
      </c>
      <c r="BM53" s="7">
        <f>SUMIFS('fuels and tailpipe emissions'!$F$10:$F$126,'fuels and tailpipe emissions'!$A$10:$A$126,'vehicles specifications'!$F53,'fuels and tailpipe emissions'!$B$10:$B$126,'vehicles specifications'!BM$2)/1000*$AQ53</f>
        <v>7.162687091961634E-8</v>
      </c>
      <c r="BN53" s="7">
        <f>SUMIFS('fuels and tailpipe emissions'!$F$10:$F$126,'fuels and tailpipe emissions'!$A$10:$A$126,'vehicles specifications'!$F53,'fuels and tailpipe emissions'!$B$10:$B$126,'vehicles specifications'!BN$2)/1000*$AQ53</f>
        <v>3.6529704169004323E-6</v>
      </c>
      <c r="BO53" s="7">
        <f>SUMIFS('fuels and tailpipe emissions'!$F$10:$F$126,'fuels and tailpipe emissions'!$A$10:$A$126,'vehicles specifications'!$F53,'fuels and tailpipe emissions'!$B$10:$B$126,'vehicles specifications'!BO$2)/1000*$AQ53</f>
        <v>7.1496640245217014E-6</v>
      </c>
      <c r="BP53" s="7">
        <f>SUMIFS('fuels and tailpipe emissions'!$F$10:$F$126,'fuels and tailpipe emissions'!$A$10:$A$126,'vehicles specifications'!$F53,'fuels and tailpipe emissions'!$B$10:$B$126,'vehicles specifications'!BP$2)/1000*$AQ53</f>
        <v>3.5357628099410601E-6</v>
      </c>
      <c r="BQ53" s="7">
        <f>SUMIFS('fuels and tailpipe emissions'!$F$10:$F$126,'fuels and tailpipe emissions'!$A$10:$A$126,'vehicles specifications'!$F53,'fuels and tailpipe emissions'!$B$10:$B$126,'vehicles specifications'!BQ$2)/1000*$AQ53</f>
        <v>1.471606620712117E-6</v>
      </c>
      <c r="BR53" s="7">
        <f>SUMIFS('fuels and tailpipe emissions'!$F$10:$F$126,'fuels and tailpipe emissions'!$A$10:$A$126,'vehicles specifications'!$F53,'fuels and tailpipe emissions'!$B$10:$B$126,'vehicles specifications'!BR$2)/1000*$AQ53</f>
        <v>1.1069607323940704E-6</v>
      </c>
      <c r="BS53" s="7">
        <f>SUMIFS('fuels and tailpipe emissions'!$F$10:$F$126,'fuels and tailpipe emissions'!$A$10:$A$126,'vehicles specifications'!$F53,'fuels and tailpipe emissions'!$B$10:$B$126,'vehicles specifications'!BS$2)/1000*$AQ53</f>
        <v>4.8836502899738398E-7</v>
      </c>
      <c r="BT53" s="7">
        <f>SUMIFS('fuels and tailpipe emissions'!$F$10:$F$126,'fuels and tailpipe emissions'!$A$10:$A$126,'vehicles specifications'!$F53,'fuels and tailpipe emissions'!$B$10:$B$126,'vehicles specifications'!BT$2)/1000*$AQ53</f>
        <v>1.4325374183923268E-7</v>
      </c>
      <c r="BU53" s="7">
        <f>SUMIFS('fuels and tailpipe emissions'!$F$10:$F$126,'fuels and tailpipe emissions'!$A$10:$A$126,'vehicles specifications'!$F53,'fuels and tailpipe emissions'!$B$10:$B$126,'vehicles specifications'!BU$2)/1000*$AQ53</f>
        <v>3.972035569178724E-7</v>
      </c>
      <c r="BV53" s="7">
        <f>SUMIFS('fuels and tailpipe emissions'!$F$10:$F$126,'fuels and tailpipe emissions'!$A$10:$A$126,'vehicles specifications'!$F53,'fuels and tailpipe emissions'!$B$10:$B$126,'vehicles specifications'!BV$2)/1000*$AQ53</f>
        <v>3.25576685998256E-8</v>
      </c>
      <c r="BW53" s="7">
        <f>SUMIFS('fuels and tailpipe emissions'!$F$10:$F$126,'fuels and tailpipe emissions'!$A$10:$A$126,'vehicles specifications'!$F53,'fuels and tailpipe emissions'!$B$10:$B$126,'vehicles specifications'!BW$2)/1000*$AQ53</f>
        <v>1.2371914067933729E-7</v>
      </c>
      <c r="BX53" s="7">
        <f>SUMIFS('fuels and tailpipe emissions'!$F$10:$F$126,'fuels and tailpipe emissions'!$A$10:$A$126,'vehicles specifications'!$F53,'fuels and tailpipe emissions'!$B$10:$B$126,'vehicles specifications'!BX$2)/1000*$AQ53</f>
        <v>6.5766490571647714E-7</v>
      </c>
      <c r="BY53" s="7">
        <f>SUMIFS('fuels and tailpipe emissions'!$F$10:$F$126,'fuels and tailpipe emissions'!$A$10:$A$126,'vehicles specifications'!$F53,'fuels and tailpipe emissions'!$B$10:$B$126,'vehicles specifications'!BY$2)/1000*$AQ53</f>
        <v>3.5707591986747951E-8</v>
      </c>
      <c r="BZ53" s="7">
        <f>SUMIFS('fuels and tailpipe emissions'!$F$10:$F$126,'fuels and tailpipe emissions'!$A$10:$A$126,'vehicles specifications'!$F53,'fuels and tailpipe emissions'!$B$10:$B$126,'vehicles specifications'!BZ$2)/1000*$AQ53</f>
        <v>3.0782406885127543E-10</v>
      </c>
      <c r="CA53" s="7">
        <f>SUMIFS('fuels and tailpipe emissions'!$F$10:$F$126,'fuels and tailpipe emissions'!$A$10:$A$126,'vehicles specifications'!$F53,'fuels and tailpipe emissions'!$B$10:$B$126,'vehicles specifications'!CA$2)/1000*$AQ53</f>
        <v>2.052160459008503E-10</v>
      </c>
      <c r="CB53" s="7">
        <f>SUMIFS('fuels and tailpipe emissions'!$F$10:$F$126,'fuels and tailpipe emissions'!$A$10:$A$126,'vehicles specifications'!$F53,'fuels and tailpipe emissions'!$B$10:$B$126,'vehicles specifications'!CB$2)/1000*$AQ53</f>
        <v>2.2163332957291832E-6</v>
      </c>
      <c r="CC53" s="7">
        <f>SUMIFS('fuels and tailpipe emissions'!$F$10:$F$126,'fuels and tailpipe emissions'!$A$10:$A$126,'vehicles specifications'!$F53,'fuels and tailpipe emissions'!$B$10:$B$126,'vehicles specifications'!CC$2)/1000*$AQ53</f>
        <v>4.3095369639178564E-8</v>
      </c>
      <c r="CD53" s="7">
        <f>SUMIFS('fuels and tailpipe emissions'!$F$10:$F$126,'fuels and tailpipe emissions'!$A$10:$A$126,'vehicles specifications'!$F53,'fuels and tailpipe emissions'!$B$10:$B$126,'vehicles specifications'!CD$2)/1000*$AQ53</f>
        <v>1.3339042983555271E-8</v>
      </c>
      <c r="CE53" s="7">
        <f>SUMIFS('fuels and tailpipe emissions'!$F$10:$F$126,'fuels and tailpipe emissions'!$A$10:$A$126,'vehicles specifications'!$F53,'fuels and tailpipe emissions'!$B$10:$B$126,'vehicles specifications'!CE$2)/1000*$AQ53</f>
        <v>1.6417283672068027E-8</v>
      </c>
      <c r="CF53" s="7">
        <f>SUMIFS('fuels and tailpipe emissions'!$F$10:$F$126,'fuels and tailpipe emissions'!$A$10:$A$126,'vehicles specifications'!$F53,'fuels and tailpipe emissions'!$B$10:$B$126,'vehicles specifications'!CF$2)/1000*$AQ53</f>
        <v>3.2834567344136045E-11</v>
      </c>
      <c r="CG53" s="7">
        <f>SUMIFS('fuels and tailpipe emissions'!$F$10:$F$126,'fuels and tailpipe emissions'!$A$10:$A$126,'vehicles specifications'!$F53,'fuels and tailpipe emissions'!$B$10:$B$126,'vehicles specifications'!CG$2)/1000*$AQ53</f>
        <v>8.9268979966869878E-9</v>
      </c>
      <c r="CH53" s="7">
        <f>SUMIFS('fuels and tailpipe emissions'!$F$10:$F$126,'fuels and tailpipe emissions'!$A$10:$A$126,'vehicles specifications'!$F53,'fuels and tailpipe emissions'!$B$10:$B$126,'vehicles specifications'!CH$2)/1000*$AQ53</f>
        <v>1.1081666478645916E-8</v>
      </c>
      <c r="CI53" s="7">
        <f>VLOOKUP(B53,'abrasion emissions'!$A$4:$D$32,4,FALSE)</f>
        <v>6.0000000000000002E-6</v>
      </c>
      <c r="CJ53" s="7">
        <f>VLOOKUP(B53,'abrasion emissions'!$A$4:$D$32,2,FALSE)</f>
        <v>7.3669999999999991E-6</v>
      </c>
      <c r="CK53" s="7">
        <f>VLOOKUP(B53,'abrasion emissions'!$A$4:$D$32,3,FALSE)</f>
        <v>8.3499999999999997E-6</v>
      </c>
    </row>
    <row r="54" spans="1:89" x14ac:dyDescent="0.3">
      <c r="A54" t="str">
        <f t="shared" si="1"/>
        <v>Motorbike, gasoline, 4-11kW, EURO-4 - 2016 - CH</v>
      </c>
      <c r="B54" t="s">
        <v>713</v>
      </c>
      <c r="D54">
        <v>2016</v>
      </c>
      <c r="E54" t="s">
        <v>37</v>
      </c>
      <c r="F54" t="s">
        <v>148</v>
      </c>
      <c r="G54" t="s">
        <v>39</v>
      </c>
      <c r="H54" t="s">
        <v>35</v>
      </c>
      <c r="J54" s="21">
        <v>39800</v>
      </c>
      <c r="K54" s="21">
        <v>2758</v>
      </c>
      <c r="L54" s="2">
        <f t="shared" si="2"/>
        <v>14.430746918056563</v>
      </c>
      <c r="M54">
        <v>1.1000000000000001</v>
      </c>
      <c r="N54">
        <v>70</v>
      </c>
      <c r="O54">
        <v>6</v>
      </c>
      <c r="P54" s="2">
        <f t="shared" si="13"/>
        <v>120.308682371765</v>
      </c>
      <c r="Q54" s="2">
        <f t="shared" si="3"/>
        <v>203.308682371765</v>
      </c>
      <c r="R54" s="21">
        <v>9</v>
      </c>
      <c r="S54" s="2">
        <v>65.433826960328489</v>
      </c>
      <c r="T54" s="1">
        <v>-0.02</v>
      </c>
      <c r="U54" s="2">
        <f t="shared" ref="U54:U70" si="32">S54*(1-T54)</f>
        <v>66.742503499535061</v>
      </c>
      <c r="V54" s="2">
        <f>0.7*S54</f>
        <v>45.803678872229938</v>
      </c>
      <c r="W54" s="2">
        <v>0</v>
      </c>
      <c r="X54" s="3">
        <v>0</v>
      </c>
      <c r="Y54" s="1">
        <v>0.8</v>
      </c>
      <c r="Z54" s="3">
        <f t="shared" si="5"/>
        <v>0</v>
      </c>
      <c r="AA54" s="3">
        <v>0</v>
      </c>
      <c r="AB54" s="3">
        <v>0</v>
      </c>
      <c r="AC54" s="3">
        <f t="shared" si="7"/>
        <v>0</v>
      </c>
      <c r="AD54" s="3">
        <v>0</v>
      </c>
      <c r="AE54" s="3">
        <v>9</v>
      </c>
      <c r="AF54">
        <f>AE54*'fuels and tailpipe emissions'!$B$3</f>
        <v>6.75</v>
      </c>
      <c r="AG54" s="2">
        <f>AF54*'fuels and tailpipe emissions'!$C$3</f>
        <v>79.5</v>
      </c>
      <c r="AH54" s="3">
        <f t="shared" ref="AH54:AH70" si="33">0.15*AF54</f>
        <v>1.0125</v>
      </c>
      <c r="AI54" s="3">
        <v>0</v>
      </c>
      <c r="AJ54" s="3">
        <v>0</v>
      </c>
      <c r="AK54">
        <f t="shared" si="30"/>
        <v>1</v>
      </c>
      <c r="AL54">
        <f t="shared" si="15"/>
        <v>1.091767624336378E-4</v>
      </c>
      <c r="AM54">
        <v>1.2899999999999999E-3</v>
      </c>
      <c r="AN54" s="2">
        <f t="shared" si="9"/>
        <v>66.742503499535061</v>
      </c>
      <c r="AO54" s="2">
        <f t="shared" si="10"/>
        <v>45.803678872229938</v>
      </c>
      <c r="AP54" s="2">
        <f t="shared" si="11"/>
        <v>0</v>
      </c>
      <c r="AQ54" s="6">
        <v>1.0159210193111401</v>
      </c>
      <c r="AR54" s="6" t="str">
        <f>IF($H54="BEV",SUMPRODUCT(#REF!,#REF!),"")</f>
        <v/>
      </c>
      <c r="AS54" s="2">
        <f>SUM(Z54,AG54)/(SUM(AQ54:AR54)/3.6)</f>
        <v>281.71481302164813</v>
      </c>
      <c r="AT54" s="5">
        <f>IF($H54="ICEV-p",$AQ54/('fuels and tailpipe emissions'!$C$3*3.6)*'fuels and tailpipe emissions'!$D$3,"")</f>
        <v>7.6194076448335521E-2</v>
      </c>
      <c r="AU54" s="7">
        <f>IF($H54="ICEV-p",$AQ54/('fuels and tailpipe emissions'!$C$3*3.6)*'fuels and tailpipe emissions'!$E$3,"")</f>
        <v>3.8336642238156231E-7</v>
      </c>
      <c r="AV54" s="7">
        <f>SUMIFS('fuels and tailpipe emissions'!$F$10:$F$126,'fuels and tailpipe emissions'!$A$10:$A$126,'vehicles specifications'!$F54,'fuels and tailpipe emissions'!$B$10:$B$126,'vehicles specifications'!AV$2)/1000*$AQ54</f>
        <v>5.1657452836225586E-6</v>
      </c>
      <c r="AW54" s="7">
        <f>SUMIFS('fuels and tailpipe emissions'!$F$10:$F$126,'fuels and tailpipe emissions'!$A$10:$A$126,'vehicles specifications'!$F54,'fuels and tailpipe emissions'!$B$10:$B$126,'vehicles specifications'!AW$2)/1000*$AQ54</f>
        <v>5.6307019006388424E-5</v>
      </c>
      <c r="AX54" s="7">
        <f>SUMIFS('fuels and tailpipe emissions'!$F$10:$F$126,'fuels and tailpipe emissions'!$A$10:$A$126,'vehicles specifications'!$F54,'fuels and tailpipe emissions'!$B$10:$B$126,'vehicles specifications'!AX$2)/1000*$AQ54</f>
        <v>8.2177593124772407E-4</v>
      </c>
      <c r="AY54" s="7">
        <f>SUMIFS('fuels and tailpipe emissions'!$F$10:$F$126,'fuels and tailpipe emissions'!$A$10:$A$126,'vehicles specifications'!$F54,'fuels and tailpipe emissions'!$B$10:$B$126,'vehicles specifications'!AY$2)/1000*$AQ54</f>
        <v>2.0109649645138723E-6</v>
      </c>
      <c r="AZ54" s="7">
        <f>SUMIFS('fuels and tailpipe emissions'!$F$10:$F$126,'fuels and tailpipe emissions'!$A$10:$A$126,'vehicles specifications'!$F54,'fuels and tailpipe emissions'!$B$10:$B$126,'vehicles specifications'!AZ$2)/1000*$AQ54</f>
        <v>2.0109649645138723E-6</v>
      </c>
      <c r="BA54" s="7">
        <f>SUMIFS('fuels and tailpipe emissions'!$F$10:$F$126,'fuels and tailpipe emissions'!$A$10:$A$126,'vehicles specifications'!$F54,'fuels and tailpipe emissions'!$B$10:$B$126,'vehicles specifications'!BA$2)/1000*$AQ54</f>
        <v>2.7297678240826657E-5</v>
      </c>
      <c r="BB54" s="7">
        <f>SUMIFS('fuels and tailpipe emissions'!$F$10:$F$126,'fuels and tailpipe emissions'!$A$10:$A$126,'vehicles specifications'!$F54,'fuels and tailpipe emissions'!$B$10:$B$126,'vehicles specifications'!BB$2)/1000*$AQ54</f>
        <v>5.0274124112846799E-6</v>
      </c>
      <c r="BC54" s="7">
        <f>SUMIFS('fuels and tailpipe emissions'!$F$10:$F$126,'fuels and tailpipe emissions'!$A$10:$A$126,'vehicles specifications'!$F54,'fuels and tailpipe emissions'!$B$10:$B$126,'vehicles specifications'!BC$2)/1000*$AQ54</f>
        <v>4.1657453944934862E-5</v>
      </c>
      <c r="BD54" s="7">
        <f>SUMIFS('fuels and tailpipe emissions'!$F$10:$F$126,'fuels and tailpipe emissions'!$A$10:$A$126,'vehicles specifications'!$F54,'fuels and tailpipe emissions'!$B$10:$B$126,'vehicles specifications'!BD$2)/1000*$AQ54</f>
        <v>2.9373845730402788E-6</v>
      </c>
      <c r="BE54" s="7">
        <f>SUMIFS('fuels and tailpipe emissions'!$F$10:$F$126,'fuels and tailpipe emissions'!$A$10:$A$126,'vehicles specifications'!$F54,'fuels and tailpipe emissions'!$B$10:$B$126,'vehicles specifications'!BE$2)/1000*$AQ54</f>
        <v>5.9852663713986867E-7</v>
      </c>
      <c r="BF54" s="7">
        <f>SUMIFS('fuels and tailpipe emissions'!$F$10:$F$126,'fuels and tailpipe emissions'!$A$10:$A$126,'vehicles specifications'!$F54,'fuels and tailpipe emissions'!$B$10:$B$126,'vehicles specifications'!BF$2)/1000*$AQ54</f>
        <v>4.8250455055583258E-6</v>
      </c>
      <c r="BG54" s="7">
        <f>SUMIFS('fuels and tailpipe emissions'!$F$10:$F$126,'fuels and tailpipe emissions'!$A$10:$A$126,'vehicles specifications'!$F54,'fuels and tailpipe emissions'!$B$10:$B$126,'vehicles specifications'!BG$2)/1000*$AQ54</f>
        <v>1.9797419536164887E-6</v>
      </c>
      <c r="BH54" s="7">
        <f>SUMIFS('fuels and tailpipe emissions'!$F$10:$F$126,'fuels and tailpipe emissions'!$A$10:$A$126,'vehicles specifications'!$F54,'fuels and tailpipe emissions'!$B$10:$B$126,'vehicles specifications'!BH$2)/1000*$AQ54</f>
        <v>1.4825044396849054E-6</v>
      </c>
      <c r="BI54" s="7">
        <f>SUMIFS('fuels and tailpipe emissions'!$F$10:$F$126,'fuels and tailpipe emissions'!$A$10:$A$126,'vehicles specifications'!$F54,'fuels and tailpipe emissions'!$B$10:$B$126,'vehicles specifications'!BI$2)/1000*$AQ54</f>
        <v>1.0497236405222313E-6</v>
      </c>
      <c r="BJ54" s="7">
        <f>SUMIFS('fuels and tailpipe emissions'!$F$10:$F$126,'fuels and tailpipe emissions'!$A$10:$A$126,'vehicles specifications'!$F54,'fuels and tailpipe emissions'!$B$10:$B$126,'vehicles specifications'!BJ$2)/1000*$AQ54</f>
        <v>6.8139955612846592E-7</v>
      </c>
      <c r="BK54" s="7">
        <f>SUMIFS('fuels and tailpipe emissions'!$F$10:$F$126,'fuels and tailpipe emissions'!$A$10:$A$126,'vehicles specifications'!$F54,'fuels and tailpipe emissions'!$B$10:$B$126,'vehicles specifications'!BK$2)/1000*$AQ54</f>
        <v>6.7219145401862166E-6</v>
      </c>
      <c r="BL54" s="7">
        <f>SUMIFS('fuels and tailpipe emissions'!$F$10:$F$126,'fuels and tailpipe emissions'!$A$10:$A$126,'vehicles specifications'!$F54,'fuels and tailpipe emissions'!$B$10:$B$126,'vehicles specifications'!BL$2)/1000*$AQ54</f>
        <v>3.5174950059604585E-6</v>
      </c>
      <c r="BM54" s="7">
        <f>SUMIFS('fuels and tailpipe emissions'!$F$10:$F$126,'fuels and tailpipe emissions'!$A$10:$A$126,'vehicles specifications'!$F54,'fuels and tailpipe emissions'!$B$10:$B$126,'vehicles specifications'!BM$2)/1000*$AQ54</f>
        <v>1.0128912320828547E-7</v>
      </c>
      <c r="BN54" s="7">
        <f>SUMIFS('fuels and tailpipe emissions'!$F$10:$F$126,'fuels and tailpipe emissions'!$A$10:$A$126,'vehicles specifications'!$F54,'fuels and tailpipe emissions'!$B$10:$B$126,'vehicles specifications'!BN$2)/1000*$AQ54</f>
        <v>5.1657452836225586E-6</v>
      </c>
      <c r="BO54" s="7">
        <f>SUMIFS('fuels and tailpipe emissions'!$F$10:$F$126,'fuels and tailpipe emissions'!$A$10:$A$126,'vehicles specifications'!$F54,'fuels and tailpipe emissions'!$B$10:$B$126,'vehicles specifications'!BO$2)/1000*$AQ54</f>
        <v>1.0110496116608857E-5</v>
      </c>
      <c r="BP54" s="7">
        <f>SUMIFS('fuels and tailpipe emissions'!$F$10:$F$126,'fuels and tailpipe emissions'!$A$10:$A$126,'vehicles specifications'!$F54,'fuels and tailpipe emissions'!$B$10:$B$126,'vehicles specifications'!BP$2)/1000*$AQ54</f>
        <v>4.9999994456453646E-6</v>
      </c>
      <c r="BQ54" s="7">
        <f>SUMIFS('fuels and tailpipe emissions'!$F$10:$F$126,'fuels and tailpipe emissions'!$A$10:$A$126,'vehicles specifications'!$F54,'fuels and tailpipe emissions'!$B$10:$B$126,'vehicles specifications'!BQ$2)/1000*$AQ54</f>
        <v>2.0810310768247739E-6</v>
      </c>
      <c r="BR54" s="7">
        <f>SUMIFS('fuels and tailpipe emissions'!$F$10:$F$126,'fuels and tailpipe emissions'!$A$10:$A$126,'vehicles specifications'!$F54,'fuels and tailpipe emissions'!$B$10:$B$126,'vehicles specifications'!BR$2)/1000*$AQ54</f>
        <v>1.5653773586735031E-6</v>
      </c>
      <c r="BS54" s="7">
        <f>SUMIFS('fuels and tailpipe emissions'!$F$10:$F$126,'fuels and tailpipe emissions'!$A$10:$A$126,'vehicles specifications'!$F54,'fuels and tailpipe emissions'!$B$10:$B$126,'vehicles specifications'!BS$2)/1000*$AQ54</f>
        <v>6.9060765823831001E-7</v>
      </c>
      <c r="BT54" s="7">
        <f>SUMIFS('fuels and tailpipe emissions'!$F$10:$F$126,'fuels and tailpipe emissions'!$A$10:$A$126,'vehicles specifications'!$F54,'fuels and tailpipe emissions'!$B$10:$B$126,'vehicles specifications'!BT$2)/1000*$AQ54</f>
        <v>2.0257824641657093E-7</v>
      </c>
      <c r="BU54" s="7">
        <f>SUMIFS('fuels and tailpipe emissions'!$F$10:$F$126,'fuels and tailpipe emissions'!$A$10:$A$126,'vehicles specifications'!$F54,'fuels and tailpipe emissions'!$B$10:$B$126,'vehicles specifications'!BU$2)/1000*$AQ54</f>
        <v>5.616942287004922E-7</v>
      </c>
      <c r="BV54" s="7">
        <f>SUMIFS('fuels and tailpipe emissions'!$F$10:$F$126,'fuels and tailpipe emissions'!$A$10:$A$126,'vehicles specifications'!$F54,'fuels and tailpipe emissions'!$B$10:$B$126,'vehicles specifications'!BV$2)/1000*$AQ54</f>
        <v>0</v>
      </c>
      <c r="BW54" s="7">
        <f>SUMIFS('fuels and tailpipe emissions'!$F$10:$F$126,'fuels and tailpipe emissions'!$A$10:$A$126,'vehicles specifications'!$F54,'fuels and tailpipe emissions'!$B$10:$B$126,'vehicles specifications'!BW$2)/1000*$AQ54</f>
        <v>1.7495394008703853E-7</v>
      </c>
      <c r="BX54" s="7">
        <f>SUMIFS('fuels and tailpipe emissions'!$F$10:$F$126,'fuels and tailpipe emissions'!$A$10:$A$126,'vehicles specifications'!$F54,'fuels and tailpipe emissions'!$B$10:$B$126,'vehicles specifications'!BX$2)/1000*$AQ54</f>
        <v>9.3001831309425754E-7</v>
      </c>
      <c r="BY54" s="7">
        <f>SUMIFS('fuels and tailpipe emissions'!$F$10:$F$126,'fuels and tailpipe emissions'!$A$10:$A$126,'vehicles specifications'!$F54,'fuels and tailpipe emissions'!$B$10:$B$126,'vehicles specifications'!BY$2)/1000*$AQ54</f>
        <v>3.5354051472027678E-8</v>
      </c>
      <c r="BZ54" s="7">
        <f>SUMIFS('fuels and tailpipe emissions'!$F$10:$F$126,'fuels and tailpipe emissions'!$A$10:$A$126,'vehicles specifications'!$F54,'fuels and tailpipe emissions'!$B$10:$B$126,'vehicles specifications'!BZ$2)/1000*$AQ54</f>
        <v>3.0477630579334204E-10</v>
      </c>
      <c r="CA54" s="7">
        <f>SUMIFS('fuels and tailpipe emissions'!$F$10:$F$126,'fuels and tailpipe emissions'!$A$10:$A$126,'vehicles specifications'!$F54,'fuels and tailpipe emissions'!$B$10:$B$126,'vehicles specifications'!CA$2)/1000*$AQ54</f>
        <v>2.0318420386222802E-10</v>
      </c>
      <c r="CB54" s="7">
        <f>SUMIFS('fuels and tailpipe emissions'!$F$10:$F$126,'fuels and tailpipe emissions'!$A$10:$A$126,'vehicles specifications'!$F54,'fuels and tailpipe emissions'!$B$10:$B$126,'vehicles specifications'!CB$2)/1000*$AQ54</f>
        <v>2.1943894017120626E-6</v>
      </c>
      <c r="CC54" s="7">
        <f>SUMIFS('fuels and tailpipe emissions'!$F$10:$F$126,'fuels and tailpipe emissions'!$A$10:$A$126,'vehicles specifications'!$F54,'fuels and tailpipe emissions'!$B$10:$B$126,'vehicles specifications'!CC$2)/1000*$AQ54</f>
        <v>4.2668682811067883E-8</v>
      </c>
      <c r="CD54" s="7">
        <f>SUMIFS('fuels and tailpipe emissions'!$F$10:$F$126,'fuels and tailpipe emissions'!$A$10:$A$126,'vehicles specifications'!$F54,'fuels and tailpipe emissions'!$B$10:$B$126,'vehicles specifications'!CD$2)/1000*$AQ54</f>
        <v>1.3206973251044821E-8</v>
      </c>
      <c r="CE54" s="7">
        <f>SUMIFS('fuels and tailpipe emissions'!$F$10:$F$126,'fuels and tailpipe emissions'!$A$10:$A$126,'vehicles specifications'!$F54,'fuels and tailpipe emissions'!$B$10:$B$126,'vehicles specifications'!CE$2)/1000*$AQ54</f>
        <v>1.6254736308978247E-8</v>
      </c>
      <c r="CF54" s="7">
        <f>SUMIFS('fuels and tailpipe emissions'!$F$10:$F$126,'fuels and tailpipe emissions'!$A$10:$A$126,'vehicles specifications'!$F54,'fuels and tailpipe emissions'!$B$10:$B$126,'vehicles specifications'!CF$2)/1000*$AQ54</f>
        <v>3.2509472617956481E-11</v>
      </c>
      <c r="CG54" s="7">
        <f>SUMIFS('fuels and tailpipe emissions'!$F$10:$F$126,'fuels and tailpipe emissions'!$A$10:$A$126,'vehicles specifications'!$F54,'fuels and tailpipe emissions'!$B$10:$B$126,'vehicles specifications'!CG$2)/1000*$AQ54</f>
        <v>8.8385128680069196E-9</v>
      </c>
      <c r="CH54" s="7">
        <f>SUMIFS('fuels and tailpipe emissions'!$F$10:$F$126,'fuels and tailpipe emissions'!$A$10:$A$126,'vehicles specifications'!$F54,'fuels and tailpipe emissions'!$B$10:$B$126,'vehicles specifications'!CH$2)/1000*$AQ54</f>
        <v>1.0971947008560314E-8</v>
      </c>
      <c r="CI54" s="7">
        <f>VLOOKUP(B54,'abrasion emissions'!$A$4:$D$32,4,FALSE)</f>
        <v>6.0000000000000002E-6</v>
      </c>
      <c r="CJ54" s="7">
        <f>VLOOKUP(B54,'abrasion emissions'!$A$4:$D$32,2,FALSE)</f>
        <v>7.3669999999999991E-6</v>
      </c>
      <c r="CK54" s="7">
        <f>VLOOKUP(B54,'abrasion emissions'!$A$4:$D$32,3,FALSE)</f>
        <v>8.3499999999999997E-6</v>
      </c>
    </row>
    <row r="55" spans="1:89" x14ac:dyDescent="0.3">
      <c r="A55" t="str">
        <f t="shared" si="1"/>
        <v>Motorbike, gasoline, 4-11kW, EURO-5 - 2020 - CH</v>
      </c>
      <c r="B55" t="s">
        <v>714</v>
      </c>
      <c r="D55">
        <v>2020</v>
      </c>
      <c r="E55" t="s">
        <v>37</v>
      </c>
      <c r="F55" t="s">
        <v>149</v>
      </c>
      <c r="G55" t="s">
        <v>39</v>
      </c>
      <c r="H55" t="s">
        <v>35</v>
      </c>
      <c r="J55" s="21">
        <v>39800</v>
      </c>
      <c r="K55" s="21">
        <v>2758</v>
      </c>
      <c r="L55" s="2">
        <f t="shared" si="2"/>
        <v>14.430746918056563</v>
      </c>
      <c r="M55">
        <v>1.1000000000000001</v>
      </c>
      <c r="N55">
        <v>70</v>
      </c>
      <c r="O55">
        <v>6</v>
      </c>
      <c r="P55" s="2">
        <f t="shared" si="13"/>
        <v>119.00000583255843</v>
      </c>
      <c r="Q55" s="2">
        <f t="shared" si="3"/>
        <v>202.00000583255843</v>
      </c>
      <c r="R55" s="21">
        <v>9</v>
      </c>
      <c r="S55" s="2">
        <v>65.433826960328489</v>
      </c>
      <c r="T55" s="1">
        <v>0</v>
      </c>
      <c r="U55" s="2">
        <f t="shared" si="32"/>
        <v>65.433826960328489</v>
      </c>
      <c r="V55" s="2">
        <f>0.7*S55</f>
        <v>45.803678872229938</v>
      </c>
      <c r="W55" s="2">
        <v>0</v>
      </c>
      <c r="X55" s="3">
        <v>0</v>
      </c>
      <c r="Y55" s="1">
        <v>0.8</v>
      </c>
      <c r="Z55" s="3">
        <f t="shared" si="5"/>
        <v>0</v>
      </c>
      <c r="AA55" s="3">
        <v>0</v>
      </c>
      <c r="AB55" s="3">
        <v>0</v>
      </c>
      <c r="AC55" s="3">
        <f t="shared" si="7"/>
        <v>0</v>
      </c>
      <c r="AD55" s="3">
        <v>0</v>
      </c>
      <c r="AE55" s="3">
        <v>9</v>
      </c>
      <c r="AF55">
        <f>AE55*'fuels and tailpipe emissions'!$B$3</f>
        <v>6.75</v>
      </c>
      <c r="AG55" s="2">
        <f>AF55*'fuels and tailpipe emissions'!$C$3</f>
        <v>79.5</v>
      </c>
      <c r="AH55" s="3">
        <f t="shared" si="33"/>
        <v>1.0125</v>
      </c>
      <c r="AI55" s="3">
        <v>0</v>
      </c>
      <c r="AJ55" s="3">
        <v>0</v>
      </c>
      <c r="AK55">
        <f t="shared" si="30"/>
        <v>1</v>
      </c>
      <c r="AL55">
        <f t="shared" si="15"/>
        <v>1.0847400313208387E-4</v>
      </c>
      <c r="AM55">
        <v>1.2899999999999999E-3</v>
      </c>
      <c r="AN55" s="2">
        <f t="shared" si="9"/>
        <v>65.433826960328489</v>
      </c>
      <c r="AO55" s="2">
        <f t="shared" si="10"/>
        <v>45.803678872229938</v>
      </c>
      <c r="AP55" s="2">
        <f t="shared" si="11"/>
        <v>0</v>
      </c>
      <c r="AQ55" s="6">
        <v>1.0057618091180287</v>
      </c>
      <c r="AR55" s="6" t="str">
        <f>IF($H55="BEV",SUMPRODUCT(#REF!,#REF!),"")</f>
        <v/>
      </c>
      <c r="AS55" s="2">
        <f>SUM(Z55,AG55)/(SUM(AQ55:AR55)/3.6)</f>
        <v>284.56041719358399</v>
      </c>
      <c r="AT55" s="5">
        <f>IF($H55="ICEV-p",$AQ55/('fuels and tailpipe emissions'!$C$3*3.6)*'fuels and tailpipe emissions'!$D$3,"")</f>
        <v>7.5432135683852153E-2</v>
      </c>
      <c r="AU55" s="7">
        <f>IF($H55="ICEV-p",$AQ55/('fuels and tailpipe emissions'!$C$3*3.6)*'fuels and tailpipe emissions'!$E$3,"")</f>
        <v>3.7953275815774666E-7</v>
      </c>
      <c r="AV55" s="7">
        <f>SUMIFS('fuels and tailpipe emissions'!$F$10:$F$126,'fuels and tailpipe emissions'!$A$10:$A$126,'vehicles specifications'!$F55,'fuels and tailpipe emissions'!$B$10:$B$126,'vehicles specifications'!AV$2)/1000*$AQ55</f>
        <v>3.0028551502939905E-6</v>
      </c>
      <c r="AW55" s="7">
        <f>SUMIFS('fuels and tailpipe emissions'!$F$10:$F$126,'fuels and tailpipe emissions'!$A$10:$A$126,'vehicles specifications'!$F55,'fuels and tailpipe emissions'!$B$10:$B$126,'vehicles specifications'!AW$2)/1000*$AQ55</f>
        <v>5.5743948816324545E-5</v>
      </c>
      <c r="AX55" s="7">
        <f>SUMIFS('fuels and tailpipe emissions'!$F$10:$F$126,'fuels and tailpipe emissions'!$A$10:$A$126,'vehicles specifications'!$F55,'fuels and tailpipe emissions'!$B$10:$B$126,'vehicles specifications'!AX$2)/1000*$AQ55</f>
        <v>7.1242322292383402E-4</v>
      </c>
      <c r="AY55" s="7">
        <f>SUMIFS('fuels and tailpipe emissions'!$F$10:$F$126,'fuels and tailpipe emissions'!$A$10:$A$126,'vehicles specifications'!$F55,'fuels and tailpipe emissions'!$B$10:$B$126,'vehicles specifications'!AY$2)/1000*$AQ55</f>
        <v>1.9908553148687333E-6</v>
      </c>
      <c r="AZ55" s="7">
        <f>SUMIFS('fuels and tailpipe emissions'!$F$10:$F$126,'fuels and tailpipe emissions'!$A$10:$A$126,'vehicles specifications'!$F55,'fuels and tailpipe emissions'!$B$10:$B$126,'vehicles specifications'!AZ$2)/1000*$AQ55</f>
        <v>1.9908553148687333E-6</v>
      </c>
      <c r="BA55" s="7">
        <f>SUMIFS('fuels and tailpipe emissions'!$F$10:$F$126,'fuels and tailpipe emissions'!$A$10:$A$126,'vehicles specifications'!$F55,'fuels and tailpipe emissions'!$B$10:$B$126,'vehicles specifications'!BA$2)/1000*$AQ55</f>
        <v>1.8315516128898121E-5</v>
      </c>
      <c r="BB55" s="7">
        <f>SUMIFS('fuels and tailpipe emissions'!$F$10:$F$126,'fuels and tailpipe emissions'!$A$10:$A$126,'vehicles specifications'!$F55,'fuels and tailpipe emissions'!$B$10:$B$126,'vehicles specifications'!BB$2)/1000*$AQ55</f>
        <v>4.9771382871718332E-6</v>
      </c>
      <c r="BC55" s="7">
        <f>SUMIFS('fuels and tailpipe emissions'!$F$10:$F$126,'fuels and tailpipe emissions'!$A$10:$A$126,'vehicles specifications'!$F55,'fuels and tailpipe emissions'!$B$10:$B$126,'vehicles specifications'!BC$2)/1000*$AQ55</f>
        <v>2.4215537789536568E-5</v>
      </c>
      <c r="BD55" s="7">
        <f>SUMIFS('fuels and tailpipe emissions'!$F$10:$F$126,'fuels and tailpipe emissions'!$A$10:$A$126,'vehicles specifications'!$F55,'fuels and tailpipe emissions'!$B$10:$B$126,'vehicles specifications'!BD$2)/1000*$AQ55</f>
        <v>1.7075058697750144E-6</v>
      </c>
      <c r="BE55" s="7">
        <f>SUMIFS('fuels and tailpipe emissions'!$F$10:$F$126,'fuels and tailpipe emissions'!$A$10:$A$126,'vehicles specifications'!$F55,'fuels and tailpipe emissions'!$B$10:$B$126,'vehicles specifications'!BE$2)/1000*$AQ55</f>
        <v>3.4792439352782425E-7</v>
      </c>
      <c r="BF55" s="7">
        <f>SUMIFS('fuels and tailpipe emissions'!$F$10:$F$126,'fuels and tailpipe emissions'!$A$10:$A$126,'vehicles specifications'!$F55,'fuels and tailpipe emissions'!$B$10:$B$126,'vehicles specifications'!BF$2)/1000*$AQ55</f>
        <v>2.804805880131999E-6</v>
      </c>
      <c r="BG55" s="7">
        <f>SUMIFS('fuels and tailpipe emissions'!$F$10:$F$126,'fuels and tailpipe emissions'!$A$10:$A$126,'vehicles specifications'!$F55,'fuels and tailpipe emissions'!$B$10:$B$126,'vehicles specifications'!BG$2)/1000*$AQ55</f>
        <v>1.1508268401304956E-6</v>
      </c>
      <c r="BH55" s="7">
        <f>SUMIFS('fuels and tailpipe emissions'!$F$10:$F$126,'fuels and tailpipe emissions'!$A$10:$A$126,'vehicles specifications'!$F55,'fuels and tailpipe emissions'!$B$10:$B$126,'vehicles specifications'!BH$2)/1000*$AQ55</f>
        <v>8.6178195935353402E-7</v>
      </c>
      <c r="BI55" s="7">
        <f>SUMIFS('fuels and tailpipe emissions'!$F$10:$F$126,'fuels and tailpipe emissions'!$A$10:$A$126,'vehicles specifications'!$F55,'fuels and tailpipe emissions'!$B$10:$B$126,'vehicles specifications'!BI$2)/1000*$AQ55</f>
        <v>6.1020585941803032E-7</v>
      </c>
      <c r="BJ55" s="7">
        <f>SUMIFS('fuels and tailpipe emissions'!$F$10:$F$126,'fuels and tailpipe emissions'!$A$10:$A$126,'vehicles specifications'!$F55,'fuels and tailpipe emissions'!$B$10:$B$126,'vehicles specifications'!BJ$2)/1000*$AQ55</f>
        <v>3.960985403239846E-7</v>
      </c>
      <c r="BK55" s="7">
        <f>SUMIFS('fuels and tailpipe emissions'!$F$10:$F$126,'fuels and tailpipe emissions'!$A$10:$A$126,'vehicles specifications'!$F55,'fuels and tailpipe emissions'!$B$10:$B$126,'vehicles specifications'!BK$2)/1000*$AQ55</f>
        <v>3.9074585734663338E-6</v>
      </c>
      <c r="BL55" s="7">
        <f>SUMIFS('fuels and tailpipe emissions'!$F$10:$F$126,'fuels and tailpipe emissions'!$A$10:$A$126,'vehicles specifications'!$F55,'fuels and tailpipe emissions'!$B$10:$B$126,'vehicles specifications'!BL$2)/1000*$AQ55</f>
        <v>2.0447248973481361E-6</v>
      </c>
      <c r="BM55" s="7">
        <f>SUMIFS('fuels and tailpipe emissions'!$F$10:$F$126,'fuels and tailpipe emissions'!$A$10:$A$126,'vehicles specifications'!$F55,'fuels and tailpipe emissions'!$B$10:$B$126,'vehicles specifications'!BM$2)/1000*$AQ55</f>
        <v>5.8879512750862572E-8</v>
      </c>
      <c r="BN55" s="7">
        <f>SUMIFS('fuels and tailpipe emissions'!$F$10:$F$126,'fuels and tailpipe emissions'!$A$10:$A$126,'vehicles specifications'!$F55,'fuels and tailpipe emissions'!$B$10:$B$126,'vehicles specifications'!BN$2)/1000*$AQ55</f>
        <v>3.0028551502939905E-6</v>
      </c>
      <c r="BO55" s="7">
        <f>SUMIFS('fuels and tailpipe emissions'!$F$10:$F$126,'fuels and tailpipe emissions'!$A$10:$A$126,'vehicles specifications'!$F55,'fuels and tailpipe emissions'!$B$10:$B$126,'vehicles specifications'!BO$2)/1000*$AQ55</f>
        <v>5.877245909131555E-6</v>
      </c>
      <c r="BP55" s="7">
        <f>SUMIFS('fuels and tailpipe emissions'!$F$10:$F$126,'fuels and tailpipe emissions'!$A$10:$A$126,'vehicles specifications'!$F55,'fuels and tailpipe emissions'!$B$10:$B$126,'vehicles specifications'!BP$2)/1000*$AQ55</f>
        <v>2.9065068567016706E-6</v>
      </c>
      <c r="BQ55" s="7">
        <f>SUMIFS('fuels and tailpipe emissions'!$F$10:$F$126,'fuels and tailpipe emissions'!$A$10:$A$126,'vehicles specifications'!$F55,'fuels and tailpipe emissions'!$B$10:$B$126,'vehicles specifications'!BQ$2)/1000*$AQ55</f>
        <v>1.2097063528813583E-6</v>
      </c>
      <c r="BR55" s="7">
        <f>SUMIFS('fuels and tailpipe emissions'!$F$10:$F$126,'fuels and tailpipe emissions'!$A$10:$A$126,'vehicles specifications'!$F55,'fuels and tailpipe emissions'!$B$10:$B$126,'vehicles specifications'!BR$2)/1000*$AQ55</f>
        <v>9.0995610614969421E-7</v>
      </c>
      <c r="BS55" s="7">
        <f>SUMIFS('fuels and tailpipe emissions'!$F$10:$F$126,'fuels and tailpipe emissions'!$A$10:$A$126,'vehicles specifications'!$F55,'fuels and tailpipe emissions'!$B$10:$B$126,'vehicles specifications'!BS$2)/1000*$AQ55</f>
        <v>4.0145122330133565E-7</v>
      </c>
      <c r="BT55" s="7">
        <f>SUMIFS('fuels and tailpipe emissions'!$F$10:$F$126,'fuels and tailpipe emissions'!$A$10:$A$126,'vehicles specifications'!$F55,'fuels and tailpipe emissions'!$B$10:$B$126,'vehicles specifications'!BT$2)/1000*$AQ55</f>
        <v>1.1775902550172514E-7</v>
      </c>
      <c r="BU55" s="7">
        <f>SUMIFS('fuels and tailpipe emissions'!$F$10:$F$126,'fuels and tailpipe emissions'!$A$10:$A$126,'vehicles specifications'!$F55,'fuels and tailpipe emissions'!$B$10:$B$126,'vehicles specifications'!BU$2)/1000*$AQ55</f>
        <v>3.2651366161841968E-7</v>
      </c>
      <c r="BV55" s="7">
        <f>SUMIFS('fuels and tailpipe emissions'!$F$10:$F$126,'fuels and tailpipe emissions'!$A$10:$A$126,'vehicles specifications'!$F55,'fuels and tailpipe emissions'!$B$10:$B$126,'vehicles specifications'!BV$2)/1000*$AQ55</f>
        <v>0</v>
      </c>
      <c r="BW55" s="7">
        <f>SUMIFS('fuels and tailpipe emissions'!$F$10:$F$126,'fuels and tailpipe emissions'!$A$10:$A$126,'vehicles specifications'!$F55,'fuels and tailpipe emissions'!$B$10:$B$126,'vehicles specifications'!BW$2)/1000*$AQ55</f>
        <v>1.017009765696717E-7</v>
      </c>
      <c r="BX55" s="7">
        <f>SUMIFS('fuels and tailpipe emissions'!$F$10:$F$126,'fuels and tailpipe emissions'!$A$10:$A$126,'vehicles specifications'!$F55,'fuels and tailpipe emissions'!$B$10:$B$126,'vehicles specifications'!BX$2)/1000*$AQ55</f>
        <v>5.4062098071246539E-7</v>
      </c>
      <c r="BY55" s="7">
        <f>SUMIFS('fuels and tailpipe emissions'!$F$10:$F$126,'fuels and tailpipe emissions'!$A$10:$A$126,'vehicles specifications'!$F55,'fuels and tailpipe emissions'!$B$10:$B$126,'vehicles specifications'!BY$2)/1000*$AQ55</f>
        <v>3.5000510957307399E-8</v>
      </c>
      <c r="BZ55" s="7">
        <f>SUMIFS('fuels and tailpipe emissions'!$F$10:$F$126,'fuels and tailpipe emissions'!$A$10:$A$126,'vehicles specifications'!$F55,'fuels and tailpipe emissions'!$B$10:$B$126,'vehicles specifications'!BZ$2)/1000*$AQ55</f>
        <v>3.0172854273540859E-10</v>
      </c>
      <c r="CA55" s="7">
        <f>SUMIFS('fuels and tailpipe emissions'!$F$10:$F$126,'fuels and tailpipe emissions'!$A$10:$A$126,'vehicles specifications'!$F55,'fuels and tailpipe emissions'!$B$10:$B$126,'vehicles specifications'!CA$2)/1000*$AQ55</f>
        <v>2.0115236182360576E-10</v>
      </c>
      <c r="CB55" s="7">
        <f>SUMIFS('fuels and tailpipe emissions'!$F$10:$F$126,'fuels and tailpipe emissions'!$A$10:$A$126,'vehicles specifications'!$F55,'fuels and tailpipe emissions'!$B$10:$B$126,'vehicles specifications'!CB$2)/1000*$AQ55</f>
        <v>2.172445507694942E-6</v>
      </c>
      <c r="CC55" s="7">
        <f>SUMIFS('fuels and tailpipe emissions'!$F$10:$F$126,'fuels and tailpipe emissions'!$A$10:$A$126,'vehicles specifications'!$F55,'fuels and tailpipe emissions'!$B$10:$B$126,'vehicles specifications'!CC$2)/1000*$AQ55</f>
        <v>4.2241995982957202E-8</v>
      </c>
      <c r="CD55" s="7">
        <f>SUMIFS('fuels and tailpipe emissions'!$F$10:$F$126,'fuels and tailpipe emissions'!$A$10:$A$126,'vehicles specifications'!$F55,'fuels and tailpipe emissions'!$B$10:$B$126,'vehicles specifications'!CD$2)/1000*$AQ55</f>
        <v>1.3074903518534373E-8</v>
      </c>
      <c r="CE55" s="7">
        <f>SUMIFS('fuels and tailpipe emissions'!$F$10:$F$126,'fuels and tailpipe emissions'!$A$10:$A$126,'vehicles specifications'!$F55,'fuels and tailpipe emissions'!$B$10:$B$126,'vehicles specifications'!CE$2)/1000*$AQ55</f>
        <v>1.6092188945888465E-8</v>
      </c>
      <c r="CF55" s="7">
        <f>SUMIFS('fuels and tailpipe emissions'!$F$10:$F$126,'fuels and tailpipe emissions'!$A$10:$A$126,'vehicles specifications'!$F55,'fuels and tailpipe emissions'!$B$10:$B$126,'vehicles specifications'!CF$2)/1000*$AQ55</f>
        <v>3.2184377891776916E-11</v>
      </c>
      <c r="CG55" s="7">
        <f>SUMIFS('fuels and tailpipe emissions'!$F$10:$F$126,'fuels and tailpipe emissions'!$A$10:$A$126,'vehicles specifications'!$F55,'fuels and tailpipe emissions'!$B$10:$B$126,'vehicles specifications'!CG$2)/1000*$AQ55</f>
        <v>8.7501277393268496E-9</v>
      </c>
      <c r="CH55" s="7">
        <f>SUMIFS('fuels and tailpipe emissions'!$F$10:$F$126,'fuels and tailpipe emissions'!$A$10:$A$126,'vehicles specifications'!$F55,'fuels and tailpipe emissions'!$B$10:$B$126,'vehicles specifications'!CH$2)/1000*$AQ55</f>
        <v>1.0862227538474711E-8</v>
      </c>
      <c r="CI55" s="7">
        <f>VLOOKUP(B55,'abrasion emissions'!$A$4:$D$32,4,FALSE)</f>
        <v>6.0000000000000002E-6</v>
      </c>
      <c r="CJ55" s="7">
        <f>VLOOKUP(B55,'abrasion emissions'!$A$4:$D$32,2,FALSE)</f>
        <v>7.3669999999999991E-6</v>
      </c>
      <c r="CK55" s="7">
        <f>VLOOKUP(B55,'abrasion emissions'!$A$4:$D$32,3,FALSE)</f>
        <v>8.3499999999999997E-6</v>
      </c>
    </row>
    <row r="56" spans="1:89" x14ac:dyDescent="0.3">
      <c r="A56" t="str">
        <f t="shared" si="1"/>
        <v>Motorbike, gasoline, 4-11kW, EURO-5 - 2030 - CH</v>
      </c>
      <c r="B56" t="s">
        <v>714</v>
      </c>
      <c r="D56">
        <v>2030</v>
      </c>
      <c r="E56" t="s">
        <v>37</v>
      </c>
      <c r="F56" t="s">
        <v>149</v>
      </c>
      <c r="G56" t="s">
        <v>39</v>
      </c>
      <c r="H56" t="s">
        <v>35</v>
      </c>
      <c r="J56" s="21">
        <v>39800</v>
      </c>
      <c r="K56" s="21">
        <v>2758</v>
      </c>
      <c r="L56" s="2">
        <f t="shared" si="2"/>
        <v>14.430746918056563</v>
      </c>
      <c r="M56">
        <v>1.1000000000000001</v>
      </c>
      <c r="N56">
        <v>70</v>
      </c>
      <c r="O56">
        <v>6</v>
      </c>
      <c r="P56" s="2">
        <f t="shared" si="13"/>
        <v>117.03699102374857</v>
      </c>
      <c r="Q56" s="2">
        <f t="shared" si="3"/>
        <v>200.03699102374856</v>
      </c>
      <c r="R56" s="21">
        <v>9</v>
      </c>
      <c r="S56" s="2">
        <v>65.433826960328489</v>
      </c>
      <c r="T56" s="1">
        <v>0.03</v>
      </c>
      <c r="U56" s="2">
        <f t="shared" si="32"/>
        <v>63.470812151518629</v>
      </c>
      <c r="V56" s="2">
        <f t="shared" ref="V56:V64" si="34">0.7*S56</f>
        <v>45.803678872229938</v>
      </c>
      <c r="W56" s="2">
        <v>0</v>
      </c>
      <c r="X56" s="3">
        <v>0</v>
      </c>
      <c r="Y56" s="1">
        <v>0.8</v>
      </c>
      <c r="Z56" s="3">
        <f t="shared" si="5"/>
        <v>0</v>
      </c>
      <c r="AA56" s="3">
        <v>0</v>
      </c>
      <c r="AB56" s="3">
        <v>0</v>
      </c>
      <c r="AC56" s="3">
        <f t="shared" si="7"/>
        <v>0</v>
      </c>
      <c r="AD56" s="3">
        <v>0</v>
      </c>
      <c r="AE56" s="3">
        <v>9</v>
      </c>
      <c r="AF56">
        <f>AE56*'fuels and tailpipe emissions'!$B$3</f>
        <v>6.75</v>
      </c>
      <c r="AG56" s="2">
        <f>AF56*'fuels and tailpipe emissions'!$C$3</f>
        <v>79.5</v>
      </c>
      <c r="AH56" s="3">
        <f t="shared" si="33"/>
        <v>1.0125</v>
      </c>
      <c r="AI56" s="3">
        <v>0</v>
      </c>
      <c r="AJ56" s="3">
        <v>0</v>
      </c>
      <c r="AK56">
        <f t="shared" si="30"/>
        <v>1</v>
      </c>
      <c r="AL56">
        <f t="shared" si="15"/>
        <v>1.0741986417975298E-4</v>
      </c>
      <c r="AM56">
        <v>1.2899999999999999E-3</v>
      </c>
      <c r="AN56" s="2">
        <f t="shared" si="9"/>
        <v>63.470812151518629</v>
      </c>
      <c r="AO56" s="2">
        <f t="shared" si="10"/>
        <v>45.803678872229938</v>
      </c>
      <c r="AP56" s="2">
        <f t="shared" si="11"/>
        <v>0</v>
      </c>
      <c r="AQ56" s="6">
        <v>0.99570419102684837</v>
      </c>
      <c r="AR56" s="6" t="str">
        <f>IF($H56="BEV",SUMPRODUCT(#REF!,#REF!),"")</f>
        <v/>
      </c>
      <c r="AS56" s="2">
        <f>SUM(Z56,AG56)/(SUM(AQ56:AR56)/3.6)</f>
        <v>287.43476484200397</v>
      </c>
      <c r="AT56" s="5">
        <f>IF($H56="ICEV-p",$AQ56/('fuels and tailpipe emissions'!$C$3*3.6)*'fuels and tailpipe emissions'!$D$3,"")</f>
        <v>7.4677814327013634E-2</v>
      </c>
      <c r="AU56" s="7">
        <f>IF($H56="ICEV-p",$AQ56/('fuels and tailpipe emissions'!$C$3*3.6)*'fuels and tailpipe emissions'!$E$3,"")</f>
        <v>3.7573743057616917E-7</v>
      </c>
      <c r="AV56" s="7">
        <f>SUMIFS('fuels and tailpipe emissions'!$F$10:$F$126,'fuels and tailpipe emissions'!$A$10:$A$126,'vehicles specifications'!$F56,'fuels and tailpipe emissions'!$B$10:$B$126,'vehicles specifications'!AV$2)/1000*$AQ56</f>
        <v>2.9728265987910503E-6</v>
      </c>
      <c r="AW56" s="7">
        <f>SUMIFS('fuels and tailpipe emissions'!$F$10:$F$126,'fuels and tailpipe emissions'!$A$10:$A$126,'vehicles specifications'!$F56,'fuels and tailpipe emissions'!$B$10:$B$126,'vehicles specifications'!AW$2)/1000*$AQ56</f>
        <v>5.5186509328161295E-5</v>
      </c>
      <c r="AX56" s="7">
        <f>SUMIFS('fuels and tailpipe emissions'!$F$10:$F$126,'fuels and tailpipe emissions'!$A$10:$A$126,'vehicles specifications'!$F56,'fuels and tailpipe emissions'!$B$10:$B$126,'vehicles specifications'!AX$2)/1000*$AQ56</f>
        <v>7.0529899069459573E-4</v>
      </c>
      <c r="AY56" s="7">
        <f>SUMIFS('fuels and tailpipe emissions'!$F$10:$F$126,'fuels and tailpipe emissions'!$A$10:$A$126,'vehicles specifications'!$F56,'fuels and tailpipe emissions'!$B$10:$B$126,'vehicles specifications'!AY$2)/1000*$AQ56</f>
        <v>1.9709467617200459E-6</v>
      </c>
      <c r="AZ56" s="7">
        <f>SUMIFS('fuels and tailpipe emissions'!$F$10:$F$126,'fuels and tailpipe emissions'!$A$10:$A$126,'vehicles specifications'!$F56,'fuels and tailpipe emissions'!$B$10:$B$126,'vehicles specifications'!AZ$2)/1000*$AQ56</f>
        <v>1.9709467617200459E-6</v>
      </c>
      <c r="BA56" s="7">
        <f>SUMIFS('fuels and tailpipe emissions'!$F$10:$F$126,'fuels and tailpipe emissions'!$A$10:$A$126,'vehicles specifications'!$F56,'fuels and tailpipe emissions'!$B$10:$B$126,'vehicles specifications'!BA$2)/1000*$AQ56</f>
        <v>1.8132360967609141E-5</v>
      </c>
      <c r="BB56" s="7">
        <f>SUMIFS('fuels and tailpipe emissions'!$F$10:$F$126,'fuels and tailpipe emissions'!$A$10:$A$126,'vehicles specifications'!$F56,'fuels and tailpipe emissions'!$B$10:$B$126,'vehicles specifications'!BB$2)/1000*$AQ56</f>
        <v>4.9273669043001146E-6</v>
      </c>
      <c r="BC56" s="7">
        <f>SUMIFS('fuels and tailpipe emissions'!$F$10:$F$126,'fuels and tailpipe emissions'!$A$10:$A$126,'vehicles specifications'!$F56,'fuels and tailpipe emissions'!$B$10:$B$126,'vehicles specifications'!BC$2)/1000*$AQ56</f>
        <v>2.3973382411641201E-5</v>
      </c>
      <c r="BD56" s="7">
        <f>SUMIFS('fuels and tailpipe emissions'!$F$10:$F$126,'fuels and tailpipe emissions'!$A$10:$A$126,'vehicles specifications'!$F56,'fuels and tailpipe emissions'!$B$10:$B$126,'vehicles specifications'!BD$2)/1000*$AQ56</f>
        <v>1.690430811077264E-6</v>
      </c>
      <c r="BE56" s="7">
        <f>SUMIFS('fuels and tailpipe emissions'!$F$10:$F$126,'fuels and tailpipe emissions'!$A$10:$A$126,'vehicles specifications'!$F56,'fuels and tailpipe emissions'!$B$10:$B$126,'vehicles specifications'!BE$2)/1000*$AQ56</f>
        <v>3.44445149592546E-7</v>
      </c>
      <c r="BF56" s="7">
        <f>SUMIFS('fuels and tailpipe emissions'!$F$10:$F$126,'fuels and tailpipe emissions'!$A$10:$A$126,'vehicles specifications'!$F56,'fuels and tailpipe emissions'!$B$10:$B$126,'vehicles specifications'!BF$2)/1000*$AQ56</f>
        <v>2.7767578213306791E-6</v>
      </c>
      <c r="BG56" s="7">
        <f>SUMIFS('fuels and tailpipe emissions'!$F$10:$F$126,'fuels and tailpipe emissions'!$A$10:$A$126,'vehicles specifications'!$F56,'fuels and tailpipe emissions'!$B$10:$B$126,'vehicles specifications'!BG$2)/1000*$AQ56</f>
        <v>1.1393185717291907E-6</v>
      </c>
      <c r="BH56" s="7">
        <f>SUMIFS('fuels and tailpipe emissions'!$F$10:$F$126,'fuels and tailpipe emissions'!$A$10:$A$126,'vehicles specifications'!$F56,'fuels and tailpipe emissions'!$B$10:$B$126,'vehicles specifications'!BH$2)/1000*$AQ56</f>
        <v>8.5316413975999859E-7</v>
      </c>
      <c r="BI56" s="7">
        <f>SUMIFS('fuels and tailpipe emissions'!$F$10:$F$126,'fuels and tailpipe emissions'!$A$10:$A$126,'vehicles specifications'!$F56,'fuels and tailpipe emissions'!$B$10:$B$126,'vehicles specifications'!BI$2)/1000*$AQ56</f>
        <v>6.0410380082384996E-7</v>
      </c>
      <c r="BJ56" s="7">
        <f>SUMIFS('fuels and tailpipe emissions'!$F$10:$F$126,'fuels and tailpipe emissions'!$A$10:$A$126,'vehicles specifications'!$F56,'fuels and tailpipe emissions'!$B$10:$B$126,'vehicles specifications'!BJ$2)/1000*$AQ56</f>
        <v>3.921375549207447E-7</v>
      </c>
      <c r="BK56" s="7">
        <f>SUMIFS('fuels and tailpipe emissions'!$F$10:$F$126,'fuels and tailpipe emissions'!$A$10:$A$126,'vehicles specifications'!$F56,'fuels and tailpipe emissions'!$B$10:$B$126,'vehicles specifications'!BK$2)/1000*$AQ56</f>
        <v>3.868383987731671E-6</v>
      </c>
      <c r="BL56" s="7">
        <f>SUMIFS('fuels and tailpipe emissions'!$F$10:$F$126,'fuels and tailpipe emissions'!$A$10:$A$126,'vehicles specifications'!$F56,'fuels and tailpipe emissions'!$B$10:$B$126,'vehicles specifications'!BL$2)/1000*$AQ56</f>
        <v>2.0242776483746546E-6</v>
      </c>
      <c r="BM56" s="7">
        <f>SUMIFS('fuels and tailpipe emissions'!$F$10:$F$126,'fuels and tailpipe emissions'!$A$10:$A$126,'vehicles specifications'!$F56,'fuels and tailpipe emissions'!$B$10:$B$126,'vehicles specifications'!BM$2)/1000*$AQ56</f>
        <v>5.8290717623353947E-8</v>
      </c>
      <c r="BN56" s="7">
        <f>SUMIFS('fuels and tailpipe emissions'!$F$10:$F$126,'fuels and tailpipe emissions'!$A$10:$A$126,'vehicles specifications'!$F56,'fuels and tailpipe emissions'!$B$10:$B$126,'vehicles specifications'!BN$2)/1000*$AQ56</f>
        <v>2.9728265987910503E-6</v>
      </c>
      <c r="BO56" s="7">
        <f>SUMIFS('fuels and tailpipe emissions'!$F$10:$F$126,'fuels and tailpipe emissions'!$A$10:$A$126,'vehicles specifications'!$F56,'fuels and tailpipe emissions'!$B$10:$B$126,'vehicles specifications'!BO$2)/1000*$AQ56</f>
        <v>5.8184734500402395E-6</v>
      </c>
      <c r="BP56" s="7">
        <f>SUMIFS('fuels and tailpipe emissions'!$F$10:$F$126,'fuels and tailpipe emissions'!$A$10:$A$126,'vehicles specifications'!$F56,'fuels and tailpipe emissions'!$B$10:$B$126,'vehicles specifications'!BP$2)/1000*$AQ56</f>
        <v>2.8774417881346538E-6</v>
      </c>
      <c r="BQ56" s="7">
        <f>SUMIFS('fuels and tailpipe emissions'!$F$10:$F$126,'fuels and tailpipe emissions'!$A$10:$A$126,'vehicles specifications'!$F56,'fuels and tailpipe emissions'!$B$10:$B$126,'vehicles specifications'!BQ$2)/1000*$AQ56</f>
        <v>1.1976092893525445E-6</v>
      </c>
      <c r="BR56" s="7">
        <f>SUMIFS('fuels and tailpipe emissions'!$F$10:$F$126,'fuels and tailpipe emissions'!$A$10:$A$126,'vehicles specifications'!$F56,'fuels and tailpipe emissions'!$B$10:$B$126,'vehicles specifications'!BR$2)/1000*$AQ56</f>
        <v>9.0085654508819725E-7</v>
      </c>
      <c r="BS56" s="7">
        <f>SUMIFS('fuels and tailpipe emissions'!$F$10:$F$126,'fuels and tailpipe emissions'!$A$10:$A$126,'vehicles specifications'!$F56,'fuels and tailpipe emissions'!$B$10:$B$126,'vehicles specifications'!BS$2)/1000*$AQ56</f>
        <v>3.9743671106832228E-7</v>
      </c>
      <c r="BT56" s="7">
        <f>SUMIFS('fuels and tailpipe emissions'!$F$10:$F$126,'fuels and tailpipe emissions'!$A$10:$A$126,'vehicles specifications'!$F56,'fuels and tailpipe emissions'!$B$10:$B$126,'vehicles specifications'!BT$2)/1000*$AQ56</f>
        <v>1.1658143524670789E-7</v>
      </c>
      <c r="BU56" s="7">
        <f>SUMIFS('fuels and tailpipe emissions'!$F$10:$F$126,'fuels and tailpipe emissions'!$A$10:$A$126,'vehicles specifications'!$F56,'fuels and tailpipe emissions'!$B$10:$B$126,'vehicles specifications'!BU$2)/1000*$AQ56</f>
        <v>3.2324852500223546E-7</v>
      </c>
      <c r="BV56" s="7">
        <f>SUMIFS('fuels and tailpipe emissions'!$F$10:$F$126,'fuels and tailpipe emissions'!$A$10:$A$126,'vehicles specifications'!$F56,'fuels and tailpipe emissions'!$B$10:$B$126,'vehicles specifications'!BV$2)/1000*$AQ56</f>
        <v>0</v>
      </c>
      <c r="BW56" s="7">
        <f>SUMIFS('fuels and tailpipe emissions'!$F$10:$F$126,'fuels and tailpipe emissions'!$A$10:$A$126,'vehicles specifications'!$F56,'fuels and tailpipe emissions'!$B$10:$B$126,'vehicles specifications'!BW$2)/1000*$AQ56</f>
        <v>1.0068396680397498E-7</v>
      </c>
      <c r="BX56" s="7">
        <f>SUMIFS('fuels and tailpipe emissions'!$F$10:$F$126,'fuels and tailpipe emissions'!$A$10:$A$126,'vehicles specifications'!$F56,'fuels and tailpipe emissions'!$B$10:$B$126,'vehicles specifications'!BX$2)/1000*$AQ56</f>
        <v>5.3521477090534066E-7</v>
      </c>
      <c r="BY56" s="7">
        <f>SUMIFS('fuels and tailpipe emissions'!$F$10:$F$126,'fuels and tailpipe emissions'!$A$10:$A$126,'vehicles specifications'!$F56,'fuels and tailpipe emissions'!$B$10:$B$126,'vehicles specifications'!BY$2)/1000*$AQ56</f>
        <v>3.4650505847734325E-8</v>
      </c>
      <c r="BZ56" s="7">
        <f>SUMIFS('fuels and tailpipe emissions'!$F$10:$F$126,'fuels and tailpipe emissions'!$A$10:$A$126,'vehicles specifications'!$F56,'fuels and tailpipe emissions'!$B$10:$B$126,'vehicles specifications'!BZ$2)/1000*$AQ56</f>
        <v>2.9871125730805451E-10</v>
      </c>
      <c r="CA56" s="7">
        <f>SUMIFS('fuels and tailpipe emissions'!$F$10:$F$126,'fuels and tailpipe emissions'!$A$10:$A$126,'vehicles specifications'!$F56,'fuels and tailpipe emissions'!$B$10:$B$126,'vehicles specifications'!CA$2)/1000*$AQ56</f>
        <v>1.9914083820536969E-10</v>
      </c>
      <c r="CB56" s="7">
        <f>SUMIFS('fuels and tailpipe emissions'!$F$10:$F$126,'fuels and tailpipe emissions'!$A$10:$A$126,'vehicles specifications'!$F56,'fuels and tailpipe emissions'!$B$10:$B$126,'vehicles specifications'!CB$2)/1000*$AQ56</f>
        <v>2.1507210526179924E-6</v>
      </c>
      <c r="CC56" s="7">
        <f>SUMIFS('fuels and tailpipe emissions'!$F$10:$F$126,'fuels and tailpipe emissions'!$A$10:$A$126,'vehicles specifications'!$F56,'fuels and tailpipe emissions'!$B$10:$B$126,'vehicles specifications'!CC$2)/1000*$AQ56</f>
        <v>4.181957602312763E-8</v>
      </c>
      <c r="CD56" s="7">
        <f>SUMIFS('fuels and tailpipe emissions'!$F$10:$F$126,'fuels and tailpipe emissions'!$A$10:$A$126,'vehicles specifications'!$F56,'fuels and tailpipe emissions'!$B$10:$B$126,'vehicles specifications'!CD$2)/1000*$AQ56</f>
        <v>1.2944154483349029E-8</v>
      </c>
      <c r="CE56" s="7">
        <f>SUMIFS('fuels and tailpipe emissions'!$F$10:$F$126,'fuels and tailpipe emissions'!$A$10:$A$126,'vehicles specifications'!$F56,'fuels and tailpipe emissions'!$B$10:$B$126,'vehicles specifications'!CE$2)/1000*$AQ56</f>
        <v>1.5931267056429578E-8</v>
      </c>
      <c r="CF56" s="7">
        <f>SUMIFS('fuels and tailpipe emissions'!$F$10:$F$126,'fuels and tailpipe emissions'!$A$10:$A$126,'vehicles specifications'!$F56,'fuels and tailpipe emissions'!$B$10:$B$126,'vehicles specifications'!CF$2)/1000*$AQ56</f>
        <v>3.1862534112859149E-11</v>
      </c>
      <c r="CG56" s="7">
        <f>SUMIFS('fuels and tailpipe emissions'!$F$10:$F$126,'fuels and tailpipe emissions'!$A$10:$A$126,'vehicles specifications'!$F56,'fuels and tailpipe emissions'!$B$10:$B$126,'vehicles specifications'!CG$2)/1000*$AQ56</f>
        <v>8.6626264619335813E-9</v>
      </c>
      <c r="CH56" s="7">
        <f>SUMIFS('fuels and tailpipe emissions'!$F$10:$F$126,'fuels and tailpipe emissions'!$A$10:$A$126,'vehicles specifications'!$F56,'fuels and tailpipe emissions'!$B$10:$B$126,'vehicles specifications'!CH$2)/1000*$AQ56</f>
        <v>1.0753605263089963E-8</v>
      </c>
      <c r="CI56" s="7">
        <f>VLOOKUP(B56,'abrasion emissions'!$A$4:$D$32,4,FALSE)</f>
        <v>6.0000000000000002E-6</v>
      </c>
      <c r="CJ56" s="7">
        <f>VLOOKUP(B56,'abrasion emissions'!$A$4:$D$32,2,FALSE)</f>
        <v>7.3669999999999991E-6</v>
      </c>
      <c r="CK56" s="7">
        <f>VLOOKUP(B56,'abrasion emissions'!$A$4:$D$32,3,FALSE)</f>
        <v>8.3499999999999997E-6</v>
      </c>
    </row>
    <row r="57" spans="1:89" x14ac:dyDescent="0.3">
      <c r="A57" t="str">
        <f t="shared" si="1"/>
        <v>Motorbike, gasoline, 4-11kW, EURO-5 - 2040 - CH</v>
      </c>
      <c r="B57" t="s">
        <v>714</v>
      </c>
      <c r="D57">
        <v>2040</v>
      </c>
      <c r="E57" t="s">
        <v>37</v>
      </c>
      <c r="F57" t="s">
        <v>149</v>
      </c>
      <c r="G57" t="s">
        <v>39</v>
      </c>
      <c r="H57" t="s">
        <v>35</v>
      </c>
      <c r="J57" s="21">
        <v>39800</v>
      </c>
      <c r="K57" s="21">
        <v>2758</v>
      </c>
      <c r="L57" s="2">
        <f t="shared" si="2"/>
        <v>14.430746918056563</v>
      </c>
      <c r="M57">
        <v>1.1000000000000001</v>
      </c>
      <c r="N57">
        <v>70</v>
      </c>
      <c r="O57">
        <v>6</v>
      </c>
      <c r="P57" s="2">
        <f t="shared" si="13"/>
        <v>115.728314484542</v>
      </c>
      <c r="Q57" s="2">
        <f t="shared" si="3"/>
        <v>198.72831448454201</v>
      </c>
      <c r="R57" s="21">
        <v>9</v>
      </c>
      <c r="S57" s="2">
        <v>65.433826960328489</v>
      </c>
      <c r="T57" s="1">
        <v>0.05</v>
      </c>
      <c r="U57" s="2">
        <f t="shared" si="32"/>
        <v>62.162135612312063</v>
      </c>
      <c r="V57" s="2">
        <f t="shared" si="34"/>
        <v>45.803678872229938</v>
      </c>
      <c r="W57" s="2">
        <v>0</v>
      </c>
      <c r="X57" s="3">
        <v>0</v>
      </c>
      <c r="Y57" s="1">
        <v>0.8</v>
      </c>
      <c r="Z57" s="3">
        <f t="shared" si="5"/>
        <v>0</v>
      </c>
      <c r="AA57" s="3">
        <v>0</v>
      </c>
      <c r="AB57" s="3">
        <v>0</v>
      </c>
      <c r="AC57" s="3">
        <f t="shared" si="7"/>
        <v>0</v>
      </c>
      <c r="AD57" s="3">
        <v>0</v>
      </c>
      <c r="AE57" s="3">
        <v>9</v>
      </c>
      <c r="AF57">
        <f>AE57*'fuels and tailpipe emissions'!$B$3</f>
        <v>6.75</v>
      </c>
      <c r="AG57" s="2">
        <f>AF57*'fuels and tailpipe emissions'!$C$3</f>
        <v>79.5</v>
      </c>
      <c r="AH57" s="3">
        <f t="shared" si="33"/>
        <v>1.0125</v>
      </c>
      <c r="AI57" s="3">
        <v>0</v>
      </c>
      <c r="AJ57" s="3">
        <v>0</v>
      </c>
      <c r="AK57">
        <f t="shared" si="30"/>
        <v>1</v>
      </c>
      <c r="AL57">
        <f t="shared" si="15"/>
        <v>1.0671710487819906E-4</v>
      </c>
      <c r="AM57">
        <v>1.2899999999999999E-3</v>
      </c>
      <c r="AN57" s="2">
        <f t="shared" si="9"/>
        <v>62.162135612312063</v>
      </c>
      <c r="AO57" s="2">
        <f t="shared" si="10"/>
        <v>45.803678872229938</v>
      </c>
      <c r="AP57" s="2">
        <f t="shared" si="11"/>
        <v>0</v>
      </c>
      <c r="AQ57" s="6">
        <v>0.9857471491165799</v>
      </c>
      <c r="AR57" s="6" t="str">
        <f>IF($H57="BEV",SUMPRODUCT(#REF!,#REF!),"")</f>
        <v/>
      </c>
      <c r="AS57" s="2">
        <f>SUM(Z57,AG57)/(SUM(AQ57:AR57)/3.6)</f>
        <v>290.33814630505458</v>
      </c>
      <c r="AT57" s="5">
        <f>IF($H57="ICEV-p",$AQ57/('fuels and tailpipe emissions'!$C$3*3.6)*'fuels and tailpipe emissions'!$D$3,"")</f>
        <v>7.3931036183743498E-2</v>
      </c>
      <c r="AU57" s="7">
        <f>IF($H57="ICEV-p",$AQ57/('fuels and tailpipe emissions'!$C$3*3.6)*'fuels and tailpipe emissions'!$E$3,"")</f>
        <v>3.719800562704075E-7</v>
      </c>
      <c r="AV57" s="7">
        <f>SUMIFS('fuels and tailpipe emissions'!$F$10:$F$126,'fuels and tailpipe emissions'!$A$10:$A$126,'vehicles specifications'!$F57,'fuels and tailpipe emissions'!$B$10:$B$126,'vehicles specifications'!AV$2)/1000*$AQ57</f>
        <v>2.9430983328031398E-6</v>
      </c>
      <c r="AW57" s="7">
        <f>SUMIFS('fuels and tailpipe emissions'!$F$10:$F$126,'fuels and tailpipe emissions'!$A$10:$A$126,'vehicles specifications'!$F57,'fuels and tailpipe emissions'!$B$10:$B$126,'vehicles specifications'!AW$2)/1000*$AQ57</f>
        <v>5.4634644234879682E-5</v>
      </c>
      <c r="AX57" s="7">
        <f>SUMIFS('fuels and tailpipe emissions'!$F$10:$F$126,'fuels and tailpipe emissions'!$A$10:$A$126,'vehicles specifications'!$F57,'fuels and tailpipe emissions'!$B$10:$B$126,'vehicles specifications'!AX$2)/1000*$AQ57</f>
        <v>6.982460007876497E-4</v>
      </c>
      <c r="AY57" s="7">
        <f>SUMIFS('fuels and tailpipe emissions'!$F$10:$F$126,'fuels and tailpipe emissions'!$A$10:$A$126,'vehicles specifications'!$F57,'fuels and tailpipe emissions'!$B$10:$B$126,'vehicles specifications'!AY$2)/1000*$AQ57</f>
        <v>1.9512372941028455E-6</v>
      </c>
      <c r="AZ57" s="7">
        <f>SUMIFS('fuels and tailpipe emissions'!$F$10:$F$126,'fuels and tailpipe emissions'!$A$10:$A$126,'vehicles specifications'!$F57,'fuels and tailpipe emissions'!$B$10:$B$126,'vehicles specifications'!AZ$2)/1000*$AQ57</f>
        <v>1.9512372941028455E-6</v>
      </c>
      <c r="BA57" s="7">
        <f>SUMIFS('fuels and tailpipe emissions'!$F$10:$F$126,'fuels and tailpipe emissions'!$A$10:$A$126,'vehicles specifications'!$F57,'fuels and tailpipe emissions'!$B$10:$B$126,'vehicles specifications'!BA$2)/1000*$AQ57</f>
        <v>1.795103735793305E-5</v>
      </c>
      <c r="BB57" s="7">
        <f>SUMIFS('fuels and tailpipe emissions'!$F$10:$F$126,'fuels and tailpipe emissions'!$A$10:$A$126,'vehicles specifications'!$F57,'fuels and tailpipe emissions'!$B$10:$B$126,'vehicles specifications'!BB$2)/1000*$AQ57</f>
        <v>4.8780932352571135E-6</v>
      </c>
      <c r="BC57" s="7">
        <f>SUMIFS('fuels and tailpipe emissions'!$F$10:$F$126,'fuels and tailpipe emissions'!$A$10:$A$126,'vehicles specifications'!$F57,'fuels and tailpipe emissions'!$B$10:$B$126,'vehicles specifications'!BC$2)/1000*$AQ57</f>
        <v>2.3733648587524791E-5</v>
      </c>
      <c r="BD57" s="7">
        <f>SUMIFS('fuels and tailpipe emissions'!$F$10:$F$126,'fuels and tailpipe emissions'!$A$10:$A$126,'vehicles specifications'!$F57,'fuels and tailpipe emissions'!$B$10:$B$126,'vehicles specifications'!BD$2)/1000*$AQ57</f>
        <v>1.6735265029664914E-6</v>
      </c>
      <c r="BE57" s="7">
        <f>SUMIFS('fuels and tailpipe emissions'!$F$10:$F$126,'fuels and tailpipe emissions'!$A$10:$A$126,'vehicles specifications'!$F57,'fuels and tailpipe emissions'!$B$10:$B$126,'vehicles specifications'!BE$2)/1000*$AQ57</f>
        <v>3.4100069809662051E-7</v>
      </c>
      <c r="BF57" s="7">
        <f>SUMIFS('fuels and tailpipe emissions'!$F$10:$F$126,'fuels and tailpipe emissions'!$A$10:$A$126,'vehicles specifications'!$F57,'fuels and tailpipe emissions'!$B$10:$B$126,'vehicles specifications'!BF$2)/1000*$AQ57</f>
        <v>2.7489902431173722E-6</v>
      </c>
      <c r="BG57" s="7">
        <f>SUMIFS('fuels and tailpipe emissions'!$F$10:$F$126,'fuels and tailpipe emissions'!$A$10:$A$126,'vehicles specifications'!$F57,'fuels and tailpipe emissions'!$B$10:$B$126,'vehicles specifications'!BG$2)/1000*$AQ57</f>
        <v>1.1279253860118987E-6</v>
      </c>
      <c r="BH57" s="7">
        <f>SUMIFS('fuels and tailpipe emissions'!$F$10:$F$126,'fuels and tailpipe emissions'!$A$10:$A$126,'vehicles specifications'!$F57,'fuels and tailpipe emissions'!$B$10:$B$126,'vehicles specifications'!BH$2)/1000*$AQ57</f>
        <v>8.4463249836239867E-7</v>
      </c>
      <c r="BI57" s="7">
        <f>SUMIFS('fuels and tailpipe emissions'!$F$10:$F$126,'fuels and tailpipe emissions'!$A$10:$A$126,'vehicles specifications'!$F57,'fuels and tailpipe emissions'!$B$10:$B$126,'vehicles specifications'!BI$2)/1000*$AQ57</f>
        <v>5.9806276281561148E-7</v>
      </c>
      <c r="BJ57" s="7">
        <f>SUMIFS('fuels and tailpipe emissions'!$F$10:$F$126,'fuels and tailpipe emissions'!$A$10:$A$126,'vehicles specifications'!$F57,'fuels and tailpipe emissions'!$B$10:$B$126,'vehicles specifications'!BJ$2)/1000*$AQ57</f>
        <v>3.8821617937153727E-7</v>
      </c>
      <c r="BK57" s="7">
        <f>SUMIFS('fuels and tailpipe emissions'!$F$10:$F$126,'fuels and tailpipe emissions'!$A$10:$A$126,'vehicles specifications'!$F57,'fuels and tailpipe emissions'!$B$10:$B$126,'vehicles specifications'!BK$2)/1000*$AQ57</f>
        <v>3.8297001478543544E-6</v>
      </c>
      <c r="BL57" s="7">
        <f>SUMIFS('fuels and tailpipe emissions'!$F$10:$F$126,'fuels and tailpipe emissions'!$A$10:$A$126,'vehicles specifications'!$F57,'fuels and tailpipe emissions'!$B$10:$B$126,'vehicles specifications'!BL$2)/1000*$AQ57</f>
        <v>2.0040348718909082E-6</v>
      </c>
      <c r="BM57" s="7">
        <f>SUMIFS('fuels and tailpipe emissions'!$F$10:$F$126,'fuels and tailpipe emissions'!$A$10:$A$126,'vehicles specifications'!$F57,'fuels and tailpipe emissions'!$B$10:$B$126,'vehicles specifications'!BM$2)/1000*$AQ57</f>
        <v>5.7707810447120405E-8</v>
      </c>
      <c r="BN57" s="7">
        <f>SUMIFS('fuels and tailpipe emissions'!$F$10:$F$126,'fuels and tailpipe emissions'!$A$10:$A$126,'vehicles specifications'!$F57,'fuels and tailpipe emissions'!$B$10:$B$126,'vehicles specifications'!BN$2)/1000*$AQ57</f>
        <v>2.9430983328031398E-6</v>
      </c>
      <c r="BO57" s="7">
        <f>SUMIFS('fuels and tailpipe emissions'!$F$10:$F$126,'fuels and tailpipe emissions'!$A$10:$A$126,'vehicles specifications'!$F57,'fuels and tailpipe emissions'!$B$10:$B$126,'vehicles specifications'!BO$2)/1000*$AQ57</f>
        <v>5.7602887155398365E-6</v>
      </c>
      <c r="BP57" s="7">
        <f>SUMIFS('fuels and tailpipe emissions'!$F$10:$F$126,'fuels and tailpipe emissions'!$A$10:$A$126,'vehicles specifications'!$F57,'fuels and tailpipe emissions'!$B$10:$B$126,'vehicles specifications'!BP$2)/1000*$AQ57</f>
        <v>2.8486673702533073E-6</v>
      </c>
      <c r="BQ57" s="7">
        <f>SUMIFS('fuels and tailpipe emissions'!$F$10:$F$126,'fuels and tailpipe emissions'!$A$10:$A$126,'vehicles specifications'!$F57,'fuels and tailpipe emissions'!$B$10:$B$126,'vehicles specifications'!BQ$2)/1000*$AQ57</f>
        <v>1.1856331964590191E-6</v>
      </c>
      <c r="BR57" s="7">
        <f>SUMIFS('fuels and tailpipe emissions'!$F$10:$F$126,'fuels and tailpipe emissions'!$A$10:$A$126,'vehicles specifications'!$F57,'fuels and tailpipe emissions'!$B$10:$B$126,'vehicles specifications'!BR$2)/1000*$AQ57</f>
        <v>8.9184797963731528E-7</v>
      </c>
      <c r="BS57" s="7">
        <f>SUMIFS('fuels and tailpipe emissions'!$F$10:$F$126,'fuels and tailpipe emissions'!$A$10:$A$126,'vehicles specifications'!$F57,'fuels and tailpipe emissions'!$B$10:$B$126,'vehicles specifications'!BS$2)/1000*$AQ57</f>
        <v>3.9346234395763905E-7</v>
      </c>
      <c r="BT57" s="7">
        <f>SUMIFS('fuels and tailpipe emissions'!$F$10:$F$126,'fuels and tailpipe emissions'!$A$10:$A$126,'vehicles specifications'!$F57,'fuels and tailpipe emissions'!$B$10:$B$126,'vehicles specifications'!BT$2)/1000*$AQ57</f>
        <v>1.1541562089424081E-7</v>
      </c>
      <c r="BU57" s="7">
        <f>SUMIFS('fuels and tailpipe emissions'!$F$10:$F$126,'fuels and tailpipe emissions'!$A$10:$A$126,'vehicles specifications'!$F57,'fuels and tailpipe emissions'!$B$10:$B$126,'vehicles specifications'!BU$2)/1000*$AQ57</f>
        <v>3.2001603975221312E-7</v>
      </c>
      <c r="BV57" s="7">
        <f>SUMIFS('fuels and tailpipe emissions'!$F$10:$F$126,'fuels and tailpipe emissions'!$A$10:$A$126,'vehicles specifications'!$F57,'fuels and tailpipe emissions'!$B$10:$B$126,'vehicles specifications'!BV$2)/1000*$AQ57</f>
        <v>0</v>
      </c>
      <c r="BW57" s="7">
        <f>SUMIFS('fuels and tailpipe emissions'!$F$10:$F$126,'fuels and tailpipe emissions'!$A$10:$A$126,'vehicles specifications'!$F57,'fuels and tailpipe emissions'!$B$10:$B$126,'vehicles specifications'!BW$2)/1000*$AQ57</f>
        <v>9.9677127135935233E-8</v>
      </c>
      <c r="BX57" s="7">
        <f>SUMIFS('fuels and tailpipe emissions'!$F$10:$F$126,'fuels and tailpipe emissions'!$A$10:$A$126,'vehicles specifications'!$F57,'fuels and tailpipe emissions'!$B$10:$B$126,'vehicles specifications'!BX$2)/1000*$AQ57</f>
        <v>5.2986262319628733E-7</v>
      </c>
      <c r="BY57" s="7">
        <f>SUMIFS('fuels and tailpipe emissions'!$F$10:$F$126,'fuels and tailpipe emissions'!$A$10:$A$126,'vehicles specifications'!$F57,'fuels and tailpipe emissions'!$B$10:$B$126,'vehicles specifications'!BY$2)/1000*$AQ57</f>
        <v>3.4304000789256983E-8</v>
      </c>
      <c r="BZ57" s="7">
        <f>SUMIFS('fuels and tailpipe emissions'!$F$10:$F$126,'fuels and tailpipe emissions'!$A$10:$A$126,'vehicles specifications'!$F57,'fuels and tailpipe emissions'!$B$10:$B$126,'vehicles specifications'!BZ$2)/1000*$AQ57</f>
        <v>2.9572414473497396E-10</v>
      </c>
      <c r="CA57" s="7">
        <f>SUMIFS('fuels and tailpipe emissions'!$F$10:$F$126,'fuels and tailpipe emissions'!$A$10:$A$126,'vehicles specifications'!$F57,'fuels and tailpipe emissions'!$B$10:$B$126,'vehicles specifications'!CA$2)/1000*$AQ57</f>
        <v>1.9714942982331598E-10</v>
      </c>
      <c r="CB57" s="7">
        <f>SUMIFS('fuels and tailpipe emissions'!$F$10:$F$126,'fuels and tailpipe emissions'!$A$10:$A$126,'vehicles specifications'!$F57,'fuels and tailpipe emissions'!$B$10:$B$126,'vehicles specifications'!CB$2)/1000*$AQ57</f>
        <v>2.1292138420918128E-6</v>
      </c>
      <c r="CC57" s="7">
        <f>SUMIFS('fuels and tailpipe emissions'!$F$10:$F$126,'fuels and tailpipe emissions'!$A$10:$A$126,'vehicles specifications'!$F57,'fuels and tailpipe emissions'!$B$10:$B$126,'vehicles specifications'!CC$2)/1000*$AQ57</f>
        <v>4.1401380262896352E-8</v>
      </c>
      <c r="CD57" s="7">
        <f>SUMIFS('fuels and tailpipe emissions'!$F$10:$F$126,'fuels and tailpipe emissions'!$A$10:$A$126,'vehicles specifications'!$F57,'fuels and tailpipe emissions'!$B$10:$B$126,'vehicles specifications'!CD$2)/1000*$AQ57</f>
        <v>1.281471293851554E-8</v>
      </c>
      <c r="CE57" s="7">
        <f>SUMIFS('fuels and tailpipe emissions'!$F$10:$F$126,'fuels and tailpipe emissions'!$A$10:$A$126,'vehicles specifications'!$F57,'fuels and tailpipe emissions'!$B$10:$B$126,'vehicles specifications'!CE$2)/1000*$AQ57</f>
        <v>1.5771954385865283E-8</v>
      </c>
      <c r="CF57" s="7">
        <f>SUMIFS('fuels and tailpipe emissions'!$F$10:$F$126,'fuels and tailpipe emissions'!$A$10:$A$126,'vehicles specifications'!$F57,'fuels and tailpipe emissions'!$B$10:$B$126,'vehicles specifications'!CF$2)/1000*$AQ57</f>
        <v>3.1543908771730556E-11</v>
      </c>
      <c r="CG57" s="7">
        <f>SUMIFS('fuels and tailpipe emissions'!$F$10:$F$126,'fuels and tailpipe emissions'!$A$10:$A$126,'vehicles specifications'!$F57,'fuels and tailpipe emissions'!$B$10:$B$126,'vehicles specifications'!CG$2)/1000*$AQ57</f>
        <v>8.5760001973142457E-9</v>
      </c>
      <c r="CH57" s="7">
        <f>SUMIFS('fuels and tailpipe emissions'!$F$10:$F$126,'fuels and tailpipe emissions'!$A$10:$A$126,'vehicles specifications'!$F57,'fuels and tailpipe emissions'!$B$10:$B$126,'vehicles specifications'!CH$2)/1000*$AQ57</f>
        <v>1.0646069210459064E-8</v>
      </c>
      <c r="CI57" s="7">
        <f>VLOOKUP(B57,'abrasion emissions'!$A$4:$D$32,4,FALSE)</f>
        <v>6.0000000000000002E-6</v>
      </c>
      <c r="CJ57" s="7">
        <f>VLOOKUP(B57,'abrasion emissions'!$A$4:$D$32,2,FALSE)</f>
        <v>7.3669999999999991E-6</v>
      </c>
      <c r="CK57" s="7">
        <f>VLOOKUP(B57,'abrasion emissions'!$A$4:$D$32,3,FALSE)</f>
        <v>8.3499999999999997E-6</v>
      </c>
    </row>
    <row r="58" spans="1:89" x14ac:dyDescent="0.3">
      <c r="A58" t="str">
        <f t="shared" ref="A58:A86" si="35">B58&amp;" - "&amp;D58&amp;" - "&amp;E58</f>
        <v>Motorbike, gasoline, 4-11kW, EURO-5 - 2050 - CH</v>
      </c>
      <c r="B58" t="s">
        <v>714</v>
      </c>
      <c r="D58">
        <v>2050</v>
      </c>
      <c r="E58" t="s">
        <v>37</v>
      </c>
      <c r="F58" t="s">
        <v>149</v>
      </c>
      <c r="G58" t="s">
        <v>39</v>
      </c>
      <c r="H58" t="s">
        <v>35</v>
      </c>
      <c r="J58" s="21">
        <v>39800</v>
      </c>
      <c r="K58" s="21">
        <v>2758</v>
      </c>
      <c r="L58" s="2">
        <f t="shared" ref="L58:L86" si="36">J58/K58</f>
        <v>14.430746918056563</v>
      </c>
      <c r="M58">
        <v>1.1000000000000001</v>
      </c>
      <c r="N58">
        <v>70</v>
      </c>
      <c r="O58">
        <v>6</v>
      </c>
      <c r="P58" s="2">
        <f t="shared" si="13"/>
        <v>114.41963794533542</v>
      </c>
      <c r="Q58" s="2">
        <f t="shared" ref="Q58:Q86" si="37">P58+(M58*N58)+O58</f>
        <v>197.41963794533541</v>
      </c>
      <c r="R58" s="21">
        <v>9</v>
      </c>
      <c r="S58" s="2">
        <v>65.433826960328489</v>
      </c>
      <c r="T58" s="1">
        <v>7.0000000000000007E-2</v>
      </c>
      <c r="U58" s="2">
        <f t="shared" si="32"/>
        <v>60.853459073105491</v>
      </c>
      <c r="V58" s="2">
        <f t="shared" si="34"/>
        <v>45.803678872229938</v>
      </c>
      <c r="W58" s="2">
        <v>0</v>
      </c>
      <c r="X58" s="3">
        <v>0</v>
      </c>
      <c r="Y58" s="1">
        <v>0.8</v>
      </c>
      <c r="Z58" s="3">
        <f t="shared" ref="Z58:Z86" si="38">Y58*X58</f>
        <v>0</v>
      </c>
      <c r="AA58" s="3">
        <v>0</v>
      </c>
      <c r="AB58" s="3">
        <v>0</v>
      </c>
      <c r="AC58" s="3">
        <f t="shared" ref="AC58:AC86" si="39">AB58+AA58</f>
        <v>0</v>
      </c>
      <c r="AD58" s="3">
        <v>0</v>
      </c>
      <c r="AE58" s="3">
        <v>9</v>
      </c>
      <c r="AF58">
        <f>AE58*'fuels and tailpipe emissions'!$B$3</f>
        <v>6.75</v>
      </c>
      <c r="AG58" s="2">
        <f>AF58*'fuels and tailpipe emissions'!$C$3</f>
        <v>79.5</v>
      </c>
      <c r="AH58" s="3">
        <f t="shared" si="33"/>
        <v>1.0125</v>
      </c>
      <c r="AI58" s="3">
        <v>0</v>
      </c>
      <c r="AJ58" s="3">
        <v>0</v>
      </c>
      <c r="AK58">
        <f t="shared" si="30"/>
        <v>1</v>
      </c>
      <c r="AL58">
        <f t="shared" si="15"/>
        <v>1.0601434557664512E-4</v>
      </c>
      <c r="AM58">
        <v>1.2899999999999999E-3</v>
      </c>
      <c r="AN58" s="2">
        <f t="shared" ref="AN58:AN86" si="40">U58</f>
        <v>60.853459073105491</v>
      </c>
      <c r="AO58" s="2">
        <f t="shared" ref="AO58:AO86" si="41">SUM(V58:W58)</f>
        <v>45.803678872229938</v>
      </c>
      <c r="AP58" s="2">
        <f t="shared" ref="AP58:AP86" si="42">AC58</f>
        <v>0</v>
      </c>
      <c r="AQ58" s="6">
        <v>0.97588967762541412</v>
      </c>
      <c r="AR58" s="6" t="str">
        <f>IF($H58="BEV",SUMPRODUCT(#REF!,#REF!),"")</f>
        <v/>
      </c>
      <c r="AS58" s="2">
        <f>SUM(Z58,AG58)/(SUM(AQ58:AR58)/3.6)</f>
        <v>293.27085485359044</v>
      </c>
      <c r="AT58" s="5">
        <f>IF($H58="ICEV-p",$AQ58/('fuels and tailpipe emissions'!$C$3*3.6)*'fuels and tailpipe emissions'!$D$3,"")</f>
        <v>7.3191725821906056E-2</v>
      </c>
      <c r="AU58" s="7">
        <f>IF($H58="ICEV-p",$AQ58/('fuels and tailpipe emissions'!$C$3*3.6)*'fuels and tailpipe emissions'!$E$3,"")</f>
        <v>3.682602557077034E-7</v>
      </c>
      <c r="AV58" s="7">
        <f>SUMIFS('fuels and tailpipe emissions'!$F$10:$F$126,'fuels and tailpipe emissions'!$A$10:$A$126,'vehicles specifications'!$F58,'fuels and tailpipe emissions'!$B$10:$B$126,'vehicles specifications'!AV$2)/1000*$AQ58</f>
        <v>2.9136673494751086E-6</v>
      </c>
      <c r="AW58" s="7">
        <f>SUMIFS('fuels and tailpipe emissions'!$F$10:$F$126,'fuels and tailpipe emissions'!$A$10:$A$126,'vehicles specifications'!$F58,'fuels and tailpipe emissions'!$B$10:$B$126,'vehicles specifications'!AW$2)/1000*$AQ58</f>
        <v>5.4088297792530884E-5</v>
      </c>
      <c r="AX58" s="7">
        <f>SUMIFS('fuels and tailpipe emissions'!$F$10:$F$126,'fuels and tailpipe emissions'!$A$10:$A$126,'vehicles specifications'!$F58,'fuels and tailpipe emissions'!$B$10:$B$126,'vehicles specifications'!AX$2)/1000*$AQ58</f>
        <v>6.912635407797733E-4</v>
      </c>
      <c r="AY58" s="7">
        <f>SUMIFS('fuels and tailpipe emissions'!$F$10:$F$126,'fuels and tailpipe emissions'!$A$10:$A$126,'vehicles specifications'!$F58,'fuels and tailpipe emissions'!$B$10:$B$126,'vehicles specifications'!AY$2)/1000*$AQ58</f>
        <v>1.9317249211618169E-6</v>
      </c>
      <c r="AZ58" s="7">
        <f>SUMIFS('fuels and tailpipe emissions'!$F$10:$F$126,'fuels and tailpipe emissions'!$A$10:$A$126,'vehicles specifications'!$F58,'fuels and tailpipe emissions'!$B$10:$B$126,'vehicles specifications'!AZ$2)/1000*$AQ58</f>
        <v>1.9317249211618169E-6</v>
      </c>
      <c r="BA58" s="7">
        <f>SUMIFS('fuels and tailpipe emissions'!$F$10:$F$126,'fuels and tailpipe emissions'!$A$10:$A$126,'vehicles specifications'!$F58,'fuels and tailpipe emissions'!$B$10:$B$126,'vehicles specifications'!BA$2)/1000*$AQ58</f>
        <v>1.7771526984353721E-5</v>
      </c>
      <c r="BB58" s="7">
        <f>SUMIFS('fuels and tailpipe emissions'!$F$10:$F$126,'fuels and tailpipe emissions'!$A$10:$A$126,'vehicles specifications'!$F58,'fuels and tailpipe emissions'!$B$10:$B$126,'vehicles specifications'!BB$2)/1000*$AQ58</f>
        <v>4.8293123029045427E-6</v>
      </c>
      <c r="BC58" s="7">
        <f>SUMIFS('fuels and tailpipe emissions'!$F$10:$F$126,'fuels and tailpipe emissions'!$A$10:$A$126,'vehicles specifications'!$F58,'fuels and tailpipe emissions'!$B$10:$B$126,'vehicles specifications'!BC$2)/1000*$AQ58</f>
        <v>2.3496312101649541E-5</v>
      </c>
      <c r="BD58" s="7">
        <f>SUMIFS('fuels and tailpipe emissions'!$F$10:$F$126,'fuels and tailpipe emissions'!$A$10:$A$126,'vehicles specifications'!$F58,'fuels and tailpipe emissions'!$B$10:$B$126,'vehicles specifications'!BD$2)/1000*$AQ58</f>
        <v>1.6567912379368265E-6</v>
      </c>
      <c r="BE58" s="7">
        <f>SUMIFS('fuels and tailpipe emissions'!$F$10:$F$126,'fuels and tailpipe emissions'!$A$10:$A$126,'vehicles specifications'!$F58,'fuels and tailpipe emissions'!$B$10:$B$126,'vehicles specifications'!BE$2)/1000*$AQ58</f>
        <v>3.3759069111565431E-7</v>
      </c>
      <c r="BF58" s="7">
        <f>SUMIFS('fuels and tailpipe emissions'!$F$10:$F$126,'fuels and tailpipe emissions'!$A$10:$A$126,'vehicles specifications'!$F58,'fuels and tailpipe emissions'!$B$10:$B$126,'vehicles specifications'!BF$2)/1000*$AQ58</f>
        <v>2.7215003406861984E-6</v>
      </c>
      <c r="BG58" s="7">
        <f>SUMIFS('fuels and tailpipe emissions'!$F$10:$F$126,'fuels and tailpipe emissions'!$A$10:$A$126,'vehicles specifications'!$F58,'fuels and tailpipe emissions'!$B$10:$B$126,'vehicles specifications'!BG$2)/1000*$AQ58</f>
        <v>1.1166461321517797E-6</v>
      </c>
      <c r="BH58" s="7">
        <f>SUMIFS('fuels and tailpipe emissions'!$F$10:$F$126,'fuels and tailpipe emissions'!$A$10:$A$126,'vehicles specifications'!$F58,'fuels and tailpipe emissions'!$B$10:$B$126,'vehicles specifications'!BH$2)/1000*$AQ58</f>
        <v>8.3618617337877467E-7</v>
      </c>
      <c r="BI58" s="7">
        <f>SUMIFS('fuels and tailpipe emissions'!$F$10:$F$126,'fuels and tailpipe emissions'!$A$10:$A$126,'vehicles specifications'!$F58,'fuels and tailpipe emissions'!$B$10:$B$126,'vehicles specifications'!BI$2)/1000*$AQ58</f>
        <v>5.9208213518745539E-7</v>
      </c>
      <c r="BJ58" s="7">
        <f>SUMIFS('fuels and tailpipe emissions'!$F$10:$F$126,'fuels and tailpipe emissions'!$A$10:$A$126,'vehicles specifications'!$F58,'fuels and tailpipe emissions'!$B$10:$B$126,'vehicles specifications'!BJ$2)/1000*$AQ58</f>
        <v>3.8433401757782191E-7</v>
      </c>
      <c r="BK58" s="7">
        <f>SUMIFS('fuels and tailpipe emissions'!$F$10:$F$126,'fuels and tailpipe emissions'!$A$10:$A$126,'vehicles specifications'!$F58,'fuels and tailpipe emissions'!$B$10:$B$126,'vehicles specifications'!BK$2)/1000*$AQ58</f>
        <v>3.7914031463758107E-6</v>
      </c>
      <c r="BL58" s="7">
        <f>SUMIFS('fuels and tailpipe emissions'!$F$10:$F$126,'fuels and tailpipe emissions'!$A$10:$A$126,'vehicles specifications'!$F58,'fuels and tailpipe emissions'!$B$10:$B$126,'vehicles specifications'!BL$2)/1000*$AQ58</f>
        <v>1.9839945231719991E-6</v>
      </c>
      <c r="BM58" s="7">
        <f>SUMIFS('fuels and tailpipe emissions'!$F$10:$F$126,'fuels and tailpipe emissions'!$A$10:$A$126,'vehicles specifications'!$F58,'fuels and tailpipe emissions'!$B$10:$B$126,'vehicles specifications'!BM$2)/1000*$AQ58</f>
        <v>5.7130732342649204E-8</v>
      </c>
      <c r="BN58" s="7">
        <f>SUMIFS('fuels and tailpipe emissions'!$F$10:$F$126,'fuels and tailpipe emissions'!$A$10:$A$126,'vehicles specifications'!$F58,'fuels and tailpipe emissions'!$B$10:$B$126,'vehicles specifications'!BN$2)/1000*$AQ58</f>
        <v>2.9136673494751086E-6</v>
      </c>
      <c r="BO58" s="7">
        <f>SUMIFS('fuels and tailpipe emissions'!$F$10:$F$126,'fuels and tailpipe emissions'!$A$10:$A$126,'vehicles specifications'!$F58,'fuels and tailpipe emissions'!$B$10:$B$126,'vehicles specifications'!BO$2)/1000*$AQ58</f>
        <v>5.7026858283844389E-6</v>
      </c>
      <c r="BP58" s="7">
        <f>SUMIFS('fuels and tailpipe emissions'!$F$10:$F$126,'fuels and tailpipe emissions'!$A$10:$A$126,'vehicles specifications'!$F58,'fuels and tailpipe emissions'!$B$10:$B$126,'vehicles specifications'!BP$2)/1000*$AQ58</f>
        <v>2.8201806965507743E-6</v>
      </c>
      <c r="BQ58" s="7">
        <f>SUMIFS('fuels and tailpipe emissions'!$F$10:$F$126,'fuels and tailpipe emissions'!$A$10:$A$126,'vehicles specifications'!$F58,'fuels and tailpipe emissions'!$B$10:$B$126,'vehicles specifications'!BQ$2)/1000*$AQ58</f>
        <v>1.173776864494429E-6</v>
      </c>
      <c r="BR58" s="7">
        <f>SUMIFS('fuels and tailpipe emissions'!$F$10:$F$126,'fuels and tailpipe emissions'!$A$10:$A$126,'vehicles specifications'!$F58,'fuels and tailpipe emissions'!$B$10:$B$126,'vehicles specifications'!BR$2)/1000*$AQ58</f>
        <v>8.8292949984094216E-7</v>
      </c>
      <c r="BS58" s="7">
        <f>SUMIFS('fuels and tailpipe emissions'!$F$10:$F$126,'fuels and tailpipe emissions'!$A$10:$A$126,'vehicles specifications'!$F58,'fuels and tailpipe emissions'!$B$10:$B$126,'vehicles specifications'!BS$2)/1000*$AQ58</f>
        <v>3.8952772051806267E-7</v>
      </c>
      <c r="BT58" s="7">
        <f>SUMIFS('fuels and tailpipe emissions'!$F$10:$F$126,'fuels and tailpipe emissions'!$A$10:$A$126,'vehicles specifications'!$F58,'fuels and tailpipe emissions'!$B$10:$B$126,'vehicles specifications'!BT$2)/1000*$AQ58</f>
        <v>1.1426146468529841E-7</v>
      </c>
      <c r="BU58" s="7">
        <f>SUMIFS('fuels and tailpipe emissions'!$F$10:$F$126,'fuels and tailpipe emissions'!$A$10:$A$126,'vehicles specifications'!$F58,'fuels and tailpipe emissions'!$B$10:$B$126,'vehicles specifications'!BU$2)/1000*$AQ58</f>
        <v>3.16815879354691E-7</v>
      </c>
      <c r="BV58" s="7">
        <f>SUMIFS('fuels and tailpipe emissions'!$F$10:$F$126,'fuels and tailpipe emissions'!$A$10:$A$126,'vehicles specifications'!$F58,'fuels and tailpipe emissions'!$B$10:$B$126,'vehicles specifications'!BV$2)/1000*$AQ58</f>
        <v>0</v>
      </c>
      <c r="BW58" s="7">
        <f>SUMIFS('fuels and tailpipe emissions'!$F$10:$F$126,'fuels and tailpipe emissions'!$A$10:$A$126,'vehicles specifications'!$F58,'fuels and tailpipe emissions'!$B$10:$B$126,'vehicles specifications'!BW$2)/1000*$AQ58</f>
        <v>9.8680355864575885E-8</v>
      </c>
      <c r="BX58" s="7">
        <f>SUMIFS('fuels and tailpipe emissions'!$F$10:$F$126,'fuels and tailpipe emissions'!$A$10:$A$126,'vehicles specifications'!$F58,'fuels and tailpipe emissions'!$B$10:$B$126,'vehicles specifications'!BX$2)/1000*$AQ58</f>
        <v>5.2456399696432443E-7</v>
      </c>
      <c r="BY58" s="7">
        <f>SUMIFS('fuels and tailpipe emissions'!$F$10:$F$126,'fuels and tailpipe emissions'!$A$10:$A$126,'vehicles specifications'!$F58,'fuels and tailpipe emissions'!$B$10:$B$126,'vehicles specifications'!BY$2)/1000*$AQ58</f>
        <v>3.3960960781364411E-8</v>
      </c>
      <c r="BZ58" s="7">
        <f>SUMIFS('fuels and tailpipe emissions'!$F$10:$F$126,'fuels and tailpipe emissions'!$A$10:$A$126,'vehicles specifications'!$F58,'fuels and tailpipe emissions'!$B$10:$B$126,'vehicles specifications'!BZ$2)/1000*$AQ58</f>
        <v>2.9276690328762423E-10</v>
      </c>
      <c r="CA58" s="7">
        <f>SUMIFS('fuels and tailpipe emissions'!$F$10:$F$126,'fuels and tailpipe emissions'!$A$10:$A$126,'vehicles specifications'!$F58,'fuels and tailpipe emissions'!$B$10:$B$126,'vehicles specifications'!CA$2)/1000*$AQ58</f>
        <v>1.9517793552508282E-10</v>
      </c>
      <c r="CB58" s="7">
        <f>SUMIFS('fuels and tailpipe emissions'!$F$10:$F$126,'fuels and tailpipe emissions'!$A$10:$A$126,'vehicles specifications'!$F58,'fuels and tailpipe emissions'!$B$10:$B$126,'vehicles specifications'!CB$2)/1000*$AQ58</f>
        <v>2.1079217036708944E-6</v>
      </c>
      <c r="CC58" s="7">
        <f>SUMIFS('fuels and tailpipe emissions'!$F$10:$F$126,'fuels and tailpipe emissions'!$A$10:$A$126,'vehicles specifications'!$F58,'fuels and tailpipe emissions'!$B$10:$B$126,'vehicles specifications'!CC$2)/1000*$AQ58</f>
        <v>4.0987366460267393E-8</v>
      </c>
      <c r="CD58" s="7">
        <f>SUMIFS('fuels and tailpipe emissions'!$F$10:$F$126,'fuels and tailpipe emissions'!$A$10:$A$126,'vehicles specifications'!$F58,'fuels and tailpipe emissions'!$B$10:$B$126,'vehicles specifications'!CD$2)/1000*$AQ58</f>
        <v>1.2686565809130383E-8</v>
      </c>
      <c r="CE58" s="7">
        <f>SUMIFS('fuels and tailpipe emissions'!$F$10:$F$126,'fuels and tailpipe emissions'!$A$10:$A$126,'vehicles specifications'!$F58,'fuels and tailpipe emissions'!$B$10:$B$126,'vehicles specifications'!CE$2)/1000*$AQ58</f>
        <v>1.5614234842006629E-8</v>
      </c>
      <c r="CF58" s="7">
        <f>SUMIFS('fuels and tailpipe emissions'!$F$10:$F$126,'fuels and tailpipe emissions'!$A$10:$A$126,'vehicles specifications'!$F58,'fuels and tailpipe emissions'!$B$10:$B$126,'vehicles specifications'!CF$2)/1000*$AQ58</f>
        <v>3.1228469684013252E-11</v>
      </c>
      <c r="CG58" s="7">
        <f>SUMIFS('fuels and tailpipe emissions'!$F$10:$F$126,'fuels and tailpipe emissions'!$A$10:$A$126,'vehicles specifications'!$F58,'fuels and tailpipe emissions'!$B$10:$B$126,'vehicles specifications'!CG$2)/1000*$AQ58</f>
        <v>8.4902401953411028E-9</v>
      </c>
      <c r="CH58" s="7">
        <f>SUMIFS('fuels and tailpipe emissions'!$F$10:$F$126,'fuels and tailpipe emissions'!$A$10:$A$126,'vehicles specifications'!$F58,'fuels and tailpipe emissions'!$B$10:$B$126,'vehicles specifications'!CH$2)/1000*$AQ58</f>
        <v>1.0539608518354472E-8</v>
      </c>
      <c r="CI58" s="7">
        <f>VLOOKUP(B58,'abrasion emissions'!$A$4:$D$32,4,FALSE)</f>
        <v>6.0000000000000002E-6</v>
      </c>
      <c r="CJ58" s="7">
        <f>VLOOKUP(B58,'abrasion emissions'!$A$4:$D$32,2,FALSE)</f>
        <v>7.3669999999999991E-6</v>
      </c>
      <c r="CK58" s="7">
        <f>VLOOKUP(B58,'abrasion emissions'!$A$4:$D$32,3,FALSE)</f>
        <v>8.3499999999999997E-6</v>
      </c>
    </row>
    <row r="59" spans="1:89" x14ac:dyDescent="0.3">
      <c r="A59" t="str">
        <f t="shared" si="35"/>
        <v>Motorbike, gasoline, 11-35kW, EURO-3 - 2006 - CH</v>
      </c>
      <c r="B59" t="s">
        <v>694</v>
      </c>
      <c r="D59">
        <v>2006</v>
      </c>
      <c r="E59" t="s">
        <v>37</v>
      </c>
      <c r="F59" t="s">
        <v>147</v>
      </c>
      <c r="G59" t="s">
        <v>39</v>
      </c>
      <c r="H59" t="s">
        <v>35</v>
      </c>
      <c r="J59" s="21">
        <v>62100</v>
      </c>
      <c r="K59">
        <v>4592</v>
      </c>
      <c r="L59" s="2">
        <f t="shared" si="36"/>
        <v>13.523519163763066</v>
      </c>
      <c r="M59">
        <v>1.1000000000000001</v>
      </c>
      <c r="N59">
        <v>70</v>
      </c>
      <c r="O59">
        <v>6</v>
      </c>
      <c r="P59" s="2">
        <f t="shared" si="13"/>
        <v>159.98750000000001</v>
      </c>
      <c r="Q59" s="2">
        <f t="shared" si="37"/>
        <v>242.98750000000001</v>
      </c>
      <c r="R59" s="21">
        <v>20</v>
      </c>
      <c r="S59" s="2">
        <v>81</v>
      </c>
      <c r="T59" s="1">
        <v>-0.05</v>
      </c>
      <c r="U59" s="2">
        <f t="shared" si="32"/>
        <v>85.05</v>
      </c>
      <c r="V59" s="2">
        <v>62</v>
      </c>
      <c r="W59" s="2">
        <v>0</v>
      </c>
      <c r="X59" s="3">
        <v>0</v>
      </c>
      <c r="Y59" s="1">
        <v>0.8</v>
      </c>
      <c r="Z59" s="3">
        <f t="shared" si="38"/>
        <v>0</v>
      </c>
      <c r="AA59" s="3">
        <v>0</v>
      </c>
      <c r="AB59" s="3">
        <v>0</v>
      </c>
      <c r="AC59" s="3">
        <f t="shared" si="39"/>
        <v>0</v>
      </c>
      <c r="AD59" s="3">
        <v>0</v>
      </c>
      <c r="AE59" s="3">
        <v>15</v>
      </c>
      <c r="AF59">
        <f>AE59*'fuels and tailpipe emissions'!$B$3</f>
        <v>11.25</v>
      </c>
      <c r="AG59" s="2">
        <f>AF59*'fuels and tailpipe emissions'!$C$3</f>
        <v>132.5</v>
      </c>
      <c r="AH59" s="3">
        <f t="shared" si="33"/>
        <v>1.6875</v>
      </c>
      <c r="AI59" s="3">
        <v>0</v>
      </c>
      <c r="AJ59" s="3">
        <v>0</v>
      </c>
      <c r="AK59">
        <f t="shared" si="30"/>
        <v>1.242</v>
      </c>
      <c r="AL59">
        <f t="shared" si="15"/>
        <v>1.3048428750000001E-4</v>
      </c>
      <c r="AM59">
        <v>1.2899999999999999E-3</v>
      </c>
      <c r="AN59" s="2">
        <f t="shared" si="40"/>
        <v>85.05</v>
      </c>
      <c r="AO59" s="2">
        <f t="shared" si="41"/>
        <v>62</v>
      </c>
      <c r="AP59" s="2">
        <f t="shared" si="42"/>
        <v>0</v>
      </c>
      <c r="AQ59" s="6">
        <v>1.4882481487614572</v>
      </c>
      <c r="AR59" s="6" t="str">
        <f>IF($H59="BEV",SUMPRODUCT(#REF!,#REF!),"")</f>
        <v/>
      </c>
      <c r="AS59" s="2">
        <f>SUM(Z59,AG59)/(SUM(AQ59:AR59)/3.6)</f>
        <v>320.51106557529852</v>
      </c>
      <c r="AT59" s="5">
        <f>IF($H59="ICEV-p",$AQ59/('fuels and tailpipe emissions'!$C$3*3.6)*'fuels and tailpipe emissions'!$D$3,"")</f>
        <v>0.1116186111571093</v>
      </c>
      <c r="AU59" s="7">
        <f>IF($H59="ICEV-p",$AQ59/('fuels and tailpipe emissions'!$C$3*3.6)*'fuels and tailpipe emissions'!$E$3,"")</f>
        <v>5.6160307500432345E-7</v>
      </c>
      <c r="AV59" s="7">
        <f>SUMIFS('fuels and tailpipe emissions'!$G$10:$G$126,'fuels and tailpipe emissions'!$A$10:$A$126,'vehicles specifications'!$F59,'fuels and tailpipe emissions'!$B$10:$B$126,'vehicles specifications'!AV$2)/1000*$AQ59</f>
        <v>5.4417962719780696E-6</v>
      </c>
      <c r="AW59" s="7">
        <f>SUMIFS('fuels and tailpipe emissions'!$G$10:$G$126,'fuels and tailpipe emissions'!$A$10:$A$126,'vehicles specifications'!$F59,'fuels and tailpipe emissions'!$B$10:$B$126,'vehicles specifications'!AW$2)/1000*$AQ59</f>
        <v>2.203769637337727E-5</v>
      </c>
      <c r="AX59" s="7">
        <f>SUMIFS('fuels and tailpipe emissions'!$G$10:$G$126,'fuels and tailpipe emissions'!$A$10:$A$126,'vehicles specifications'!$F59,'fuels and tailpipe emissions'!$B$10:$B$126,'vehicles specifications'!AX$2)/1000*$AQ59</f>
        <v>2.2122455045910314E-4</v>
      </c>
      <c r="AY59" s="7">
        <f>SUMIFS('fuels and tailpipe emissions'!$G$10:$G$126,'fuels and tailpipe emissions'!$A$10:$A$126,'vehicles specifications'!$F59,'fuels and tailpipe emissions'!$B$10:$B$126,'vehicles specifications'!AY$2)/1000*$AQ59</f>
        <v>6.627878608534517E-7</v>
      </c>
      <c r="AZ59" s="7">
        <f>SUMIFS('fuels and tailpipe emissions'!$G$10:$G$126,'fuels and tailpipe emissions'!$A$10:$A$126,'vehicles specifications'!$F59,'fuels and tailpipe emissions'!$B$10:$B$126,'vehicles specifications'!AZ$2)/1000*$AQ59</f>
        <v>6.627878608534517E-7</v>
      </c>
      <c r="BA59" s="7">
        <f>SUMIFS('fuels and tailpipe emissions'!$G$10:$G$126,'fuels and tailpipe emissions'!$A$10:$A$126,'vehicles specifications'!$F59,'fuels and tailpipe emissions'!$B$10:$B$126,'vehicles specifications'!BA$2)/1000*$AQ59</f>
        <v>2.6220817193601416E-5</v>
      </c>
      <c r="BB59" s="7">
        <f>SUMIFS('fuels and tailpipe emissions'!$G$10:$G$126,'fuels and tailpipe emissions'!$A$10:$A$126,'vehicles specifications'!$F59,'fuels and tailpipe emissions'!$B$10:$B$126,'vehicles specifications'!BB$2)/1000*$AQ59</f>
        <v>1.6569696521336294E-6</v>
      </c>
      <c r="BC59" s="7">
        <f>SUMIFS('fuels and tailpipe emissions'!$G$10:$G$126,'fuels and tailpipe emissions'!$A$10:$A$126,'vehicles specifications'!$F59,'fuels and tailpipe emissions'!$B$10:$B$126,'vehicles specifications'!BC$2)/1000*$AQ59</f>
        <v>4.3883576353705504E-5</v>
      </c>
      <c r="BD59" s="7">
        <f>SUMIFS('fuels and tailpipe emissions'!$G$10:$G$126,'fuels and tailpipe emissions'!$A$10:$A$126,'vehicles specifications'!$F59,'fuels and tailpipe emissions'!$B$10:$B$126,'vehicles specifications'!BD$2)/1000*$AQ59</f>
        <v>3.09435474288949E-6</v>
      </c>
      <c r="BE59" s="7">
        <f>SUMIFS('fuels and tailpipe emissions'!$G$10:$G$126,'fuels and tailpipe emissions'!$A$10:$A$126,'vehicles specifications'!$F59,'fuels and tailpipe emissions'!$B$10:$B$126,'vehicles specifications'!BE$2)/1000*$AQ59</f>
        <v>6.3051115450726299E-7</v>
      </c>
      <c r="BF59" s="7">
        <f>SUMIFS('fuels and tailpipe emissions'!$G$10:$G$126,'fuels and tailpipe emissions'!$A$10:$A$126,'vehicles specifications'!$F59,'fuels and tailpipe emissions'!$B$10:$B$126,'vehicles specifications'!BF$2)/1000*$AQ59</f>
        <v>5.0828899224893196E-6</v>
      </c>
      <c r="BG59" s="7">
        <f>SUMIFS('fuels and tailpipe emissions'!$G$10:$G$126,'fuels and tailpipe emissions'!$A$10:$A$126,'vehicles specifications'!$F59,'fuels and tailpipe emissions'!$B$10:$B$126,'vehicles specifications'!BG$2)/1000*$AQ59</f>
        <v>2.0855368956778698E-6</v>
      </c>
      <c r="BH59" s="7">
        <f>SUMIFS('fuels and tailpipe emissions'!$G$10:$G$126,'fuels and tailpipe emissions'!$A$10:$A$126,'vehicles specifications'!$F59,'fuels and tailpipe emissions'!$B$10:$B$126,'vehicles specifications'!BH$2)/1000*$AQ59</f>
        <v>1.5617276288564514E-6</v>
      </c>
      <c r="BI59" s="7">
        <f>SUMIFS('fuels and tailpipe emissions'!$G$10:$G$126,'fuels and tailpipe emissions'!$A$10:$A$126,'vehicles specifications'!$F59,'fuels and tailpipe emissions'!$B$10:$B$126,'vehicles specifications'!BI$2)/1000*$AQ59</f>
        <v>1.1058195632896611E-6</v>
      </c>
      <c r="BJ59" s="7">
        <f>SUMIFS('fuels and tailpipe emissions'!$G$10:$G$126,'fuels and tailpipe emissions'!$A$10:$A$126,'vehicles specifications'!$F59,'fuels and tailpipe emissions'!$B$10:$B$126,'vehicles specifications'!BJ$2)/1000*$AQ59</f>
        <v>7.1781269897749935E-7</v>
      </c>
      <c r="BK59" s="7">
        <f>SUMIFS('fuels and tailpipe emissions'!$G$10:$G$126,'fuels and tailpipe emissions'!$A$10:$A$126,'vehicles specifications'!$F59,'fuels and tailpipe emissions'!$B$10:$B$126,'vehicles specifications'!BK$2)/1000*$AQ59</f>
        <v>7.0811252736969535E-6</v>
      </c>
      <c r="BL59" s="7">
        <f>SUMIFS('fuels and tailpipe emissions'!$G$10:$G$126,'fuels and tailpipe emissions'!$A$10:$A$126,'vehicles specifications'!$F59,'fuels and tailpipe emissions'!$B$10:$B$126,'vehicles specifications'!BL$2)/1000*$AQ59</f>
        <v>3.7054655541811453E-6</v>
      </c>
      <c r="BM59" s="7">
        <f>SUMIFS('fuels and tailpipe emissions'!$G$10:$G$126,'fuels and tailpipe emissions'!$A$10:$A$126,'vehicles specifications'!$F59,'fuels and tailpipe emissions'!$B$10:$B$126,'vehicles specifications'!BM$2)/1000*$AQ59</f>
        <v>1.0670188768584451E-7</v>
      </c>
      <c r="BN59" s="7">
        <f>SUMIFS('fuels and tailpipe emissions'!$G$10:$G$126,'fuels and tailpipe emissions'!$A$10:$A$126,'vehicles specifications'!$F59,'fuels and tailpipe emissions'!$B$10:$B$126,'vehicles specifications'!BN$2)/1000*$AQ59</f>
        <v>5.4417962719780696E-6</v>
      </c>
      <c r="BO59" s="7">
        <f>SUMIFS('fuels and tailpipe emissions'!$G$10:$G$126,'fuels and tailpipe emissions'!$A$10:$A$126,'vehicles specifications'!$F59,'fuels and tailpipe emissions'!$B$10:$B$126,'vehicles specifications'!BO$2)/1000*$AQ59</f>
        <v>1.0650788425368842E-5</v>
      </c>
      <c r="BP59" s="7">
        <f>SUMIFS('fuels and tailpipe emissions'!$G$10:$G$126,'fuels and tailpipe emissions'!$A$10:$A$126,'vehicles specifications'!$F59,'fuels and tailpipe emissions'!$B$10:$B$126,'vehicles specifications'!BP$2)/1000*$AQ59</f>
        <v>5.2671931830375969E-6</v>
      </c>
      <c r="BQ59" s="7">
        <f>SUMIFS('fuels and tailpipe emissions'!$G$10:$G$126,'fuels and tailpipe emissions'!$A$10:$A$126,'vehicles specifications'!$F59,'fuels and tailpipe emissions'!$B$10:$B$126,'vehicles specifications'!BQ$2)/1000*$AQ59</f>
        <v>2.192238783363714E-6</v>
      </c>
      <c r="BR59" s="7">
        <f>SUMIFS('fuels and tailpipe emissions'!$G$10:$G$126,'fuels and tailpipe emissions'!$A$10:$A$126,'vehicles specifications'!$F59,'fuels and tailpipe emissions'!$B$10:$B$126,'vehicles specifications'!BR$2)/1000*$AQ59</f>
        <v>1.649029173326688E-6</v>
      </c>
      <c r="BS59" s="7">
        <f>SUMIFS('fuels and tailpipe emissions'!$G$10:$G$126,'fuels and tailpipe emissions'!$A$10:$A$126,'vehicles specifications'!$F59,'fuels and tailpipe emissions'!$B$10:$B$126,'vehicles specifications'!BS$2)/1000*$AQ59</f>
        <v>7.2751287058530338E-7</v>
      </c>
      <c r="BT59" s="7">
        <f>SUMIFS('fuels and tailpipe emissions'!$G$10:$G$126,'fuels and tailpipe emissions'!$A$10:$A$126,'vehicles specifications'!$F59,'fuels and tailpipe emissions'!$B$10:$B$126,'vehicles specifications'!BT$2)/1000*$AQ59</f>
        <v>2.1340377537168902E-7</v>
      </c>
      <c r="BU59" s="7">
        <f>SUMIFS('fuels and tailpipe emissions'!$G$10:$G$126,'fuels and tailpipe emissions'!$A$10:$A$126,'vehicles specifications'!$F59,'fuels and tailpipe emissions'!$B$10:$B$126,'vehicles specifications'!BU$2)/1000*$AQ59</f>
        <v>5.9171046807604678E-7</v>
      </c>
      <c r="BV59" s="7">
        <f>SUMIFS('fuels and tailpipe emissions'!$G$10:$G$126,'fuels and tailpipe emissions'!$A$10:$A$126,'vehicles specifications'!$F59,'fuels and tailpipe emissions'!$B$10:$B$126,'vehicles specifications'!BV$2)/1000*$AQ59</f>
        <v>4.8500858039020227E-8</v>
      </c>
      <c r="BW59" s="7">
        <f>SUMIFS('fuels and tailpipe emissions'!$G$10:$G$126,'fuels and tailpipe emissions'!$A$10:$A$126,'vehicles specifications'!$F59,'fuels and tailpipe emissions'!$B$10:$B$126,'vehicles specifications'!BW$2)/1000*$AQ59</f>
        <v>1.8430326054827685E-7</v>
      </c>
      <c r="BX59" s="7">
        <f>SUMIFS('fuels and tailpipe emissions'!$G$10:$G$126,'fuels and tailpipe emissions'!$A$10:$A$126,'vehicles specifications'!$F59,'fuels and tailpipe emissions'!$B$10:$B$126,'vehicles specifications'!BX$2)/1000*$AQ59</f>
        <v>9.7971733238820843E-7</v>
      </c>
      <c r="BY59" s="7">
        <f>SUMIFS('fuels and tailpipe emissions'!$G$10:$G$126,'fuels and tailpipe emissions'!$A$10:$A$126,'vehicles specifications'!$F59,'fuels and tailpipe emissions'!$B$10:$B$126,'vehicles specifications'!BY$2)/1000*$AQ59</f>
        <v>5.1791035576898713E-8</v>
      </c>
      <c r="BZ59" s="7">
        <f>SUMIFS('fuels and tailpipe emissions'!$G$10:$G$126,'fuels and tailpipe emissions'!$A$10:$A$126,'vehicles specifications'!$F59,'fuels and tailpipe emissions'!$B$10:$B$126,'vehicles specifications'!BZ$2)/1000*$AQ59</f>
        <v>4.4647444462843715E-10</v>
      </c>
      <c r="CA59" s="7">
        <f>SUMIFS('fuels and tailpipe emissions'!$G$10:$G$126,'fuels and tailpipe emissions'!$A$10:$A$126,'vehicles specifications'!$F59,'fuels and tailpipe emissions'!$B$10:$B$126,'vehicles specifications'!CA$2)/1000*$AQ59</f>
        <v>2.9764962975229147E-10</v>
      </c>
      <c r="CB59" s="7">
        <f>SUMIFS('fuels and tailpipe emissions'!$G$10:$G$126,'fuels and tailpipe emissions'!$A$10:$A$126,'vehicles specifications'!$F59,'fuels and tailpipe emissions'!$B$10:$B$126,'vehicles specifications'!CB$2)/1000*$AQ59</f>
        <v>3.2146160013247478E-6</v>
      </c>
      <c r="CC59" s="7">
        <f>SUMIFS('fuels and tailpipe emissions'!$G$10:$G$126,'fuels and tailpipe emissions'!$A$10:$A$126,'vehicles specifications'!$F59,'fuels and tailpipe emissions'!$B$10:$B$126,'vehicles specifications'!CC$2)/1000*$AQ59</f>
        <v>6.2506422247981203E-8</v>
      </c>
      <c r="CD59" s="7">
        <f>SUMIFS('fuels and tailpipe emissions'!$G$10:$G$126,'fuels and tailpipe emissions'!$A$10:$A$126,'vehicles specifications'!$F59,'fuels and tailpipe emissions'!$B$10:$B$126,'vehicles specifications'!CD$2)/1000*$AQ59</f>
        <v>1.9347225933898945E-8</v>
      </c>
      <c r="CE59" s="7">
        <f>SUMIFS('fuels and tailpipe emissions'!$G$10:$G$126,'fuels and tailpipe emissions'!$A$10:$A$126,'vehicles specifications'!$F59,'fuels and tailpipe emissions'!$B$10:$B$126,'vehicles specifications'!CE$2)/1000*$AQ59</f>
        <v>2.3811970380183322E-8</v>
      </c>
      <c r="CF59" s="7">
        <f>SUMIFS('fuels and tailpipe emissions'!$G$10:$G$126,'fuels and tailpipe emissions'!$A$10:$A$126,'vehicles specifications'!$F59,'fuels and tailpipe emissions'!$B$10:$B$126,'vehicles specifications'!CF$2)/1000*$AQ59</f>
        <v>4.7623940760366629E-11</v>
      </c>
      <c r="CG59" s="7">
        <f>SUMIFS('fuels and tailpipe emissions'!$G$10:$G$126,'fuels and tailpipe emissions'!$A$10:$A$126,'vehicles specifications'!$F59,'fuels and tailpipe emissions'!$B$10:$B$126,'vehicles specifications'!CG$2)/1000*$AQ59</f>
        <v>1.2947758894224678E-8</v>
      </c>
      <c r="CH59" s="7">
        <f>SUMIFS('fuels and tailpipe emissions'!$G$10:$G$126,'fuels and tailpipe emissions'!$A$10:$A$126,'vehicles specifications'!$F59,'fuels and tailpipe emissions'!$B$10:$B$126,'vehicles specifications'!CH$2)/1000*$AQ59</f>
        <v>1.6073080006623738E-8</v>
      </c>
      <c r="CI59" s="7">
        <f>VLOOKUP(B59,'abrasion emissions'!$A$4:$D$32,4,FALSE)</f>
        <v>6.0000000000000002E-6</v>
      </c>
      <c r="CJ59" s="7">
        <f>VLOOKUP(B59,'abrasion emissions'!$A$4:$D$32,2,FALSE)</f>
        <v>7.3669999999999991E-6</v>
      </c>
      <c r="CK59" s="7">
        <f>VLOOKUP(B59,'abrasion emissions'!$A$4:$D$32,3,FALSE)</f>
        <v>8.3499999999999997E-6</v>
      </c>
    </row>
    <row r="60" spans="1:89" x14ac:dyDescent="0.3">
      <c r="A60" t="str">
        <f t="shared" si="35"/>
        <v>Motorbike, gasoline, 11-35kW, EURO-4 - 2016 - CH</v>
      </c>
      <c r="B60" t="s">
        <v>695</v>
      </c>
      <c r="D60">
        <v>2016</v>
      </c>
      <c r="E60" t="s">
        <v>37</v>
      </c>
      <c r="F60" t="s">
        <v>148</v>
      </c>
      <c r="G60" t="s">
        <v>39</v>
      </c>
      <c r="H60" t="s">
        <v>35</v>
      </c>
      <c r="J60" s="21">
        <v>62100</v>
      </c>
      <c r="K60" s="21">
        <v>4592</v>
      </c>
      <c r="L60" s="2">
        <f t="shared" si="36"/>
        <v>13.523519163763066</v>
      </c>
      <c r="M60">
        <v>1.1000000000000001</v>
      </c>
      <c r="N60">
        <v>70</v>
      </c>
      <c r="O60">
        <v>6</v>
      </c>
      <c r="P60" s="2">
        <f t="shared" si="13"/>
        <v>157.5575</v>
      </c>
      <c r="Q60" s="2">
        <f t="shared" si="37"/>
        <v>240.5575</v>
      </c>
      <c r="R60" s="21">
        <v>20</v>
      </c>
      <c r="S60" s="2">
        <v>81</v>
      </c>
      <c r="T60" s="1">
        <v>-0.02</v>
      </c>
      <c r="U60" s="2">
        <f t="shared" si="32"/>
        <v>82.62</v>
      </c>
      <c r="V60" s="2">
        <v>62</v>
      </c>
      <c r="W60" s="2">
        <v>0</v>
      </c>
      <c r="X60" s="3">
        <v>0</v>
      </c>
      <c r="Y60" s="1">
        <v>0.8</v>
      </c>
      <c r="Z60" s="3">
        <f t="shared" si="38"/>
        <v>0</v>
      </c>
      <c r="AA60" s="3">
        <v>0</v>
      </c>
      <c r="AB60" s="3">
        <v>0</v>
      </c>
      <c r="AC60" s="3">
        <f t="shared" si="39"/>
        <v>0</v>
      </c>
      <c r="AD60" s="3">
        <v>0</v>
      </c>
      <c r="AE60" s="3">
        <v>15</v>
      </c>
      <c r="AF60">
        <f>AE60*'fuels and tailpipe emissions'!$B$3</f>
        <v>11.25</v>
      </c>
      <c r="AG60" s="2">
        <f>AF60*'fuels and tailpipe emissions'!$C$3</f>
        <v>132.5</v>
      </c>
      <c r="AH60" s="3">
        <f t="shared" si="33"/>
        <v>1.6875</v>
      </c>
      <c r="AI60" s="3">
        <v>0</v>
      </c>
      <c r="AJ60" s="3">
        <v>0</v>
      </c>
      <c r="AK60">
        <f t="shared" si="30"/>
        <v>1.242</v>
      </c>
      <c r="AL60">
        <f t="shared" si="15"/>
        <v>1.291793775E-4</v>
      </c>
      <c r="AM60">
        <v>1.2899999999999999E-3</v>
      </c>
      <c r="AN60" s="2">
        <f t="shared" si="40"/>
        <v>82.62</v>
      </c>
      <c r="AO60" s="2">
        <f t="shared" si="41"/>
        <v>62</v>
      </c>
      <c r="AP60" s="2">
        <f t="shared" si="42"/>
        <v>0</v>
      </c>
      <c r="AQ60" s="6">
        <v>1.4735130185757002</v>
      </c>
      <c r="AR60" s="6" t="str">
        <f>IF($H60="BEV",SUMPRODUCT(#REF!,#REF!),"")</f>
        <v/>
      </c>
      <c r="AS60" s="2">
        <f>SUM(Z60,AG60)/(SUM(AQ60:AR60)/3.6)</f>
        <v>323.71617623105146</v>
      </c>
      <c r="AT60" s="5">
        <f>IF($H60="ICEV-p",$AQ60/('fuels and tailpipe emissions'!$C$3*3.6)*'fuels and tailpipe emissions'!$D$3,"")</f>
        <v>0.11051347639317753</v>
      </c>
      <c r="AU60" s="7">
        <f>IF($H60="ICEV-p",$AQ60/('fuels and tailpipe emissions'!$C$3*3.6)*'fuels and tailpipe emissions'!$E$3,"")</f>
        <v>5.5604264851913217E-7</v>
      </c>
      <c r="AV60" s="7">
        <f>SUMIFS('fuels and tailpipe emissions'!$G$10:$G$126,'fuels and tailpipe emissions'!$A$10:$A$126,'vehicles specifications'!$F60,'fuels and tailpipe emissions'!$B$10:$B$126,'vehicles specifications'!AV$2)/1000*$AQ60</f>
        <v>1.9073617591137917E-6</v>
      </c>
      <c r="AW60" s="7">
        <f>SUMIFS('fuels and tailpipe emissions'!$G$10:$G$126,'fuels and tailpipe emissions'!$A$10:$A$126,'vehicles specifications'!$F60,'fuels and tailpipe emissions'!$B$10:$B$126,'vehicles specifications'!AW$2)/1000*$AQ60</f>
        <v>2.7697735778460602E-5</v>
      </c>
      <c r="AX60" s="7">
        <f>SUMIFS('fuels and tailpipe emissions'!$G$10:$G$126,'fuels and tailpipe emissions'!$A$10:$A$126,'vehicles specifications'!$F60,'fuels and tailpipe emissions'!$B$10:$B$126,'vehicles specifications'!AX$2)/1000*$AQ60</f>
        <v>1.4020599038117664E-4</v>
      </c>
      <c r="AY60" s="7">
        <f>SUMIFS('fuels and tailpipe emissions'!$G$10:$G$126,'fuels and tailpipe emissions'!$A$10:$A$126,'vehicles specifications'!$F60,'fuels and tailpipe emissions'!$B$10:$B$126,'vehicles specifications'!AY$2)/1000*$AQ60</f>
        <v>8.3301460987851437E-7</v>
      </c>
      <c r="AZ60" s="7">
        <f>SUMIFS('fuels and tailpipe emissions'!$G$10:$G$126,'fuels and tailpipe emissions'!$A$10:$A$126,'vehicles specifications'!$F60,'fuels and tailpipe emissions'!$B$10:$B$126,'vehicles specifications'!AZ$2)/1000*$AQ60</f>
        <v>8.3301460987851437E-7</v>
      </c>
      <c r="BA60" s="7">
        <f>SUMIFS('fuels and tailpipe emissions'!$G$10:$G$126,'fuels and tailpipe emissions'!$A$10:$A$126,'vehicles specifications'!$F60,'fuels and tailpipe emissions'!$B$10:$B$126,'vehicles specifications'!BA$2)/1000*$AQ60</f>
        <v>1.3603299444488674E-5</v>
      </c>
      <c r="BB60" s="7">
        <f>SUMIFS('fuels and tailpipe emissions'!$G$10:$G$126,'fuels and tailpipe emissions'!$A$10:$A$126,'vehicles specifications'!$F60,'fuels and tailpipe emissions'!$B$10:$B$126,'vehicles specifications'!BB$2)/1000*$AQ60</f>
        <v>2.082536524696286E-6</v>
      </c>
      <c r="BC60" s="7">
        <f>SUMIFS('fuels and tailpipe emissions'!$G$10:$G$126,'fuels and tailpipe emissions'!$A$10:$A$126,'vehicles specifications'!$F60,'fuels and tailpipe emissions'!$B$10:$B$126,'vehicles specifications'!BC$2)/1000*$AQ60</f>
        <v>1.5381291618949722E-5</v>
      </c>
      <c r="BD60" s="7">
        <f>SUMIFS('fuels and tailpipe emissions'!$G$10:$G$126,'fuels and tailpipe emissions'!$A$10:$A$126,'vehicles specifications'!$F60,'fuels and tailpipe emissions'!$B$10:$B$126,'vehicles specifications'!BD$2)/1000*$AQ60</f>
        <v>1.084578255182352E-6</v>
      </c>
      <c r="BE60" s="7">
        <f>SUMIFS('fuels and tailpipe emissions'!$G$10:$G$126,'fuels and tailpipe emissions'!$A$10:$A$126,'vehicles specifications'!$F60,'fuels and tailpipe emissions'!$B$10:$B$126,'vehicles specifications'!BE$2)/1000*$AQ60</f>
        <v>2.2099556923778335E-7</v>
      </c>
      <c r="BF60" s="7">
        <f>SUMIFS('fuels and tailpipe emissions'!$G$10:$G$126,'fuels and tailpipe emissions'!$A$10:$A$126,'vehicles specifications'!$F60,'fuels and tailpipe emissions'!$B$10:$B$126,'vehicles specifications'!BF$2)/1000*$AQ60</f>
        <v>1.7815642812399767E-6</v>
      </c>
      <c r="BG60" s="7">
        <f>SUMIFS('fuels and tailpipe emissions'!$G$10:$G$126,'fuels and tailpipe emissions'!$A$10:$A$126,'vehicles specifications'!$F60,'fuels and tailpipe emissions'!$B$10:$B$126,'vehicles specifications'!BG$2)/1000*$AQ60</f>
        <v>7.3098534440189867E-7</v>
      </c>
      <c r="BH60" s="7">
        <f>SUMIFS('fuels and tailpipe emissions'!$G$10:$G$126,'fuels and tailpipe emissions'!$A$10:$A$126,'vehicles specifications'!$F60,'fuels and tailpipe emissions'!$B$10:$B$126,'vehicles specifications'!BH$2)/1000*$AQ60</f>
        <v>5.4738902534281725E-7</v>
      </c>
      <c r="BI60" s="7">
        <f>SUMIFS('fuels and tailpipe emissions'!$G$10:$G$126,'fuels and tailpipe emissions'!$A$10:$A$126,'vehicles specifications'!$F60,'fuels and tailpipe emissions'!$B$10:$B$126,'vehicles specifications'!BI$2)/1000*$AQ60</f>
        <v>3.875922291247277E-7</v>
      </c>
      <c r="BJ60" s="7">
        <f>SUMIFS('fuels and tailpipe emissions'!$G$10:$G$126,'fuels and tailpipe emissions'!$A$10:$A$126,'vehicles specifications'!$F60,'fuels and tailpipe emissions'!$B$10:$B$126,'vehicles specifications'!BJ$2)/1000*$AQ60</f>
        <v>2.5159495574763026E-7</v>
      </c>
      <c r="BK60" s="7">
        <f>SUMIFS('fuels and tailpipe emissions'!$G$10:$G$126,'fuels and tailpipe emissions'!$A$10:$A$126,'vehicles specifications'!$F60,'fuels and tailpipe emissions'!$B$10:$B$126,'vehicles specifications'!BK$2)/1000*$AQ60</f>
        <v>2.481950239132028E-6</v>
      </c>
      <c r="BL60" s="7">
        <f>SUMIFS('fuels and tailpipe emissions'!$G$10:$G$126,'fuels and tailpipe emissions'!$A$10:$A$126,'vehicles specifications'!$F60,'fuels and tailpipe emissions'!$B$10:$B$126,'vehicles specifications'!BL$2)/1000*$AQ60</f>
        <v>1.2987739607512805E-6</v>
      </c>
      <c r="BM60" s="7">
        <f>SUMIFS('fuels and tailpipe emissions'!$G$10:$G$126,'fuels and tailpipe emissions'!$A$10:$A$126,'vehicles specifications'!$F60,'fuels and tailpipe emissions'!$B$10:$B$126,'vehicles specifications'!BM$2)/1000*$AQ60</f>
        <v>3.73992501787018E-8</v>
      </c>
      <c r="BN60" s="7">
        <f>SUMIFS('fuels and tailpipe emissions'!$G$10:$G$126,'fuels and tailpipe emissions'!$A$10:$A$126,'vehicles specifications'!$F60,'fuels and tailpipe emissions'!$B$10:$B$126,'vehicles specifications'!BN$2)/1000*$AQ60</f>
        <v>1.9073617591137917E-6</v>
      </c>
      <c r="BO60" s="7">
        <f>SUMIFS('fuels and tailpipe emissions'!$G$10:$G$126,'fuels and tailpipe emissions'!$A$10:$A$126,'vehicles specifications'!$F60,'fuels and tailpipe emissions'!$B$10:$B$126,'vehicles specifications'!BO$2)/1000*$AQ60</f>
        <v>3.7331251542013252E-6</v>
      </c>
      <c r="BP60" s="7">
        <f>SUMIFS('fuels and tailpipe emissions'!$G$10:$G$126,'fuels and tailpipe emissions'!$A$10:$A$126,'vehicles specifications'!$F60,'fuels and tailpipe emissions'!$B$10:$B$126,'vehicles specifications'!BP$2)/1000*$AQ60</f>
        <v>1.8461629860940981E-6</v>
      </c>
      <c r="BQ60" s="7">
        <f>SUMIFS('fuels and tailpipe emissions'!$G$10:$G$126,'fuels and tailpipe emissions'!$A$10:$A$126,'vehicles specifications'!$F60,'fuels and tailpipe emissions'!$B$10:$B$126,'vehicles specifications'!BQ$2)/1000*$AQ60</f>
        <v>7.6838459458060058E-7</v>
      </c>
      <c r="BR60" s="7">
        <f>SUMIFS('fuels and tailpipe emissions'!$G$10:$G$126,'fuels and tailpipe emissions'!$A$10:$A$126,'vehicles specifications'!$F60,'fuels and tailpipe emissions'!$B$10:$B$126,'vehicles specifications'!BR$2)/1000*$AQ60</f>
        <v>5.7798841185266424E-7</v>
      </c>
      <c r="BS60" s="7">
        <f>SUMIFS('fuels and tailpipe emissions'!$G$10:$G$126,'fuels and tailpipe emissions'!$A$10:$A$126,'vehicles specifications'!$F60,'fuels and tailpipe emissions'!$B$10:$B$126,'vehicles specifications'!BS$2)/1000*$AQ60</f>
        <v>2.5499488758205772E-7</v>
      </c>
      <c r="BT60" s="7">
        <f>SUMIFS('fuels and tailpipe emissions'!$G$10:$G$126,'fuels and tailpipe emissions'!$A$10:$A$126,'vehicles specifications'!$F60,'fuels and tailpipe emissions'!$B$10:$B$126,'vehicles specifications'!BT$2)/1000*$AQ60</f>
        <v>7.47985003574036E-8</v>
      </c>
      <c r="BU60" s="7">
        <f>SUMIFS('fuels and tailpipe emissions'!$G$10:$G$126,'fuels and tailpipe emissions'!$A$10:$A$126,'vehicles specifications'!$F60,'fuels and tailpipe emissions'!$B$10:$B$126,'vehicles specifications'!BU$2)/1000*$AQ60</f>
        <v>2.0739584190007364E-7</v>
      </c>
      <c r="BV60" s="7">
        <f>SUMIFS('fuels and tailpipe emissions'!$G$10:$G$126,'fuels and tailpipe emissions'!$A$10:$A$126,'vehicles specifications'!$F60,'fuels and tailpipe emissions'!$B$10:$B$126,'vehicles specifications'!BV$2)/1000*$AQ60</f>
        <v>0</v>
      </c>
      <c r="BW60" s="7">
        <f>SUMIFS('fuels and tailpipe emissions'!$G$10:$G$126,'fuels and tailpipe emissions'!$A$10:$A$126,'vehicles specifications'!$F60,'fuels and tailpipe emissions'!$B$10:$B$126,'vehicles specifications'!BW$2)/1000*$AQ60</f>
        <v>6.4598704854121283E-8</v>
      </c>
      <c r="BX60" s="7">
        <f>SUMIFS('fuels and tailpipe emissions'!$G$10:$G$126,'fuels and tailpipe emissions'!$A$10:$A$126,'vehicles specifications'!$F60,'fuels and tailpipe emissions'!$B$10:$B$126,'vehicles specifications'!BX$2)/1000*$AQ60</f>
        <v>3.4339311527717102E-7</v>
      </c>
      <c r="BY60" s="7">
        <f>SUMIFS('fuels and tailpipe emissions'!$G$10:$G$126,'fuels and tailpipe emissions'!$A$10:$A$126,'vehicles specifications'!$F60,'fuels and tailpipe emissions'!$B$10:$B$126,'vehicles specifications'!BY$2)/1000*$AQ60</f>
        <v>5.1278253046434368E-8</v>
      </c>
      <c r="BZ60" s="7">
        <f>SUMIFS('fuels and tailpipe emissions'!$G$10:$G$126,'fuels and tailpipe emissions'!$A$10:$A$126,'vehicles specifications'!$F60,'fuels and tailpipe emissions'!$B$10:$B$126,'vehicles specifications'!BZ$2)/1000*$AQ60</f>
        <v>4.4205390557271004E-10</v>
      </c>
      <c r="CA60" s="7">
        <f>SUMIFS('fuels and tailpipe emissions'!$G$10:$G$126,'fuels and tailpipe emissions'!$A$10:$A$126,'vehicles specifications'!$F60,'fuels and tailpipe emissions'!$B$10:$B$126,'vehicles specifications'!CA$2)/1000*$AQ60</f>
        <v>2.9470260371514004E-10</v>
      </c>
      <c r="CB60" s="7">
        <f>SUMIFS('fuels and tailpipe emissions'!$G$10:$G$126,'fuels and tailpipe emissions'!$A$10:$A$126,'vehicles specifications'!$F60,'fuels and tailpipe emissions'!$B$10:$B$126,'vehicles specifications'!CB$2)/1000*$AQ60</f>
        <v>3.1827881201235126E-6</v>
      </c>
      <c r="CC60" s="7">
        <f>SUMIFS('fuels and tailpipe emissions'!$G$10:$G$126,'fuels and tailpipe emissions'!$A$10:$A$126,'vehicles specifications'!$F60,'fuels and tailpipe emissions'!$B$10:$B$126,'vehicles specifications'!CC$2)/1000*$AQ60</f>
        <v>6.1887546780179402E-8</v>
      </c>
      <c r="CD60" s="7">
        <f>SUMIFS('fuels and tailpipe emissions'!$G$10:$G$126,'fuels and tailpipe emissions'!$A$10:$A$126,'vehicles specifications'!$F60,'fuels and tailpipe emissions'!$B$10:$B$126,'vehicles specifications'!CD$2)/1000*$AQ60</f>
        <v>1.9155669241484104E-8</v>
      </c>
      <c r="CE60" s="7">
        <f>SUMIFS('fuels and tailpipe emissions'!$G$10:$G$126,'fuels and tailpipe emissions'!$A$10:$A$126,'vehicles specifications'!$F60,'fuels and tailpipe emissions'!$B$10:$B$126,'vehicles specifications'!CE$2)/1000*$AQ60</f>
        <v>2.3576208297211208E-8</v>
      </c>
      <c r="CF60" s="7">
        <f>SUMIFS('fuels and tailpipe emissions'!$G$10:$G$126,'fuels and tailpipe emissions'!$A$10:$A$126,'vehicles specifications'!$F60,'fuels and tailpipe emissions'!$B$10:$B$126,'vehicles specifications'!CF$2)/1000*$AQ60</f>
        <v>4.7152416594422404E-11</v>
      </c>
      <c r="CG60" s="7">
        <f>SUMIFS('fuels and tailpipe emissions'!$G$10:$G$126,'fuels and tailpipe emissions'!$A$10:$A$126,'vehicles specifications'!$F60,'fuels and tailpipe emissions'!$B$10:$B$126,'vehicles specifications'!CG$2)/1000*$AQ60</f>
        <v>1.2819563261608592E-8</v>
      </c>
      <c r="CH60" s="7">
        <f>SUMIFS('fuels and tailpipe emissions'!$G$10:$G$126,'fuels and tailpipe emissions'!$A$10:$A$126,'vehicles specifications'!$F60,'fuels and tailpipe emissions'!$B$10:$B$126,'vehicles specifications'!CH$2)/1000*$AQ60</f>
        <v>1.5913940600617563E-8</v>
      </c>
      <c r="CI60" s="7">
        <f>VLOOKUP(B60,'abrasion emissions'!$A$4:$D$32,4,FALSE)</f>
        <v>6.0000000000000002E-6</v>
      </c>
      <c r="CJ60" s="7">
        <f>VLOOKUP(B60,'abrasion emissions'!$A$4:$D$32,2,FALSE)</f>
        <v>7.3669999999999991E-6</v>
      </c>
      <c r="CK60" s="7">
        <f>VLOOKUP(B60,'abrasion emissions'!$A$4:$D$32,3,FALSE)</f>
        <v>8.3499999999999997E-6</v>
      </c>
    </row>
    <row r="61" spans="1:89" x14ac:dyDescent="0.3">
      <c r="A61" t="str">
        <f t="shared" si="35"/>
        <v>Motorbike, gasoline, 11-35kW, EURO-5 - 2020 - CH</v>
      </c>
      <c r="B61" t="s">
        <v>696</v>
      </c>
      <c r="D61">
        <v>2020</v>
      </c>
      <c r="E61" t="s">
        <v>37</v>
      </c>
      <c r="F61" t="s">
        <v>149</v>
      </c>
      <c r="G61" t="s">
        <v>39</v>
      </c>
      <c r="H61" t="s">
        <v>35</v>
      </c>
      <c r="J61" s="21">
        <v>62100</v>
      </c>
      <c r="K61" s="21">
        <v>4592</v>
      </c>
      <c r="L61" s="2">
        <f t="shared" si="36"/>
        <v>13.523519163763066</v>
      </c>
      <c r="M61">
        <v>1.1000000000000001</v>
      </c>
      <c r="N61">
        <v>70</v>
      </c>
      <c r="O61">
        <v>6</v>
      </c>
      <c r="P61" s="2">
        <f t="shared" si="13"/>
        <v>155.9375</v>
      </c>
      <c r="Q61" s="2">
        <f t="shared" si="37"/>
        <v>238.9375</v>
      </c>
      <c r="R61" s="21">
        <v>20</v>
      </c>
      <c r="S61" s="2">
        <v>81</v>
      </c>
      <c r="T61" s="1">
        <v>0</v>
      </c>
      <c r="U61" s="2">
        <f t="shared" si="32"/>
        <v>81</v>
      </c>
      <c r="V61" s="2">
        <v>62</v>
      </c>
      <c r="W61" s="2">
        <v>0</v>
      </c>
      <c r="X61" s="3">
        <v>0</v>
      </c>
      <c r="Y61" s="1">
        <v>0.8</v>
      </c>
      <c r="Z61" s="3">
        <f t="shared" si="38"/>
        <v>0</v>
      </c>
      <c r="AA61" s="3">
        <v>0</v>
      </c>
      <c r="AB61" s="3">
        <v>0</v>
      </c>
      <c r="AC61" s="3">
        <f t="shared" si="39"/>
        <v>0</v>
      </c>
      <c r="AD61" s="3">
        <v>0</v>
      </c>
      <c r="AE61" s="3">
        <v>15</v>
      </c>
      <c r="AF61">
        <f>AE61*'fuels and tailpipe emissions'!$B$3</f>
        <v>11.25</v>
      </c>
      <c r="AG61" s="2">
        <f>AF61*'fuels and tailpipe emissions'!$C$3</f>
        <v>132.5</v>
      </c>
      <c r="AH61" s="3">
        <f t="shared" si="33"/>
        <v>1.6875</v>
      </c>
      <c r="AI61" s="3">
        <v>0</v>
      </c>
      <c r="AJ61" s="3">
        <v>0</v>
      </c>
      <c r="AK61">
        <f t="shared" si="30"/>
        <v>1.242</v>
      </c>
      <c r="AL61">
        <f t="shared" si="15"/>
        <v>1.2830943749999999E-4</v>
      </c>
      <c r="AM61">
        <v>1.2899999999999999E-3</v>
      </c>
      <c r="AN61" s="2">
        <f t="shared" si="40"/>
        <v>81</v>
      </c>
      <c r="AO61" s="2">
        <f t="shared" si="41"/>
        <v>62</v>
      </c>
      <c r="AP61" s="2">
        <f t="shared" si="42"/>
        <v>0</v>
      </c>
      <c r="AQ61" s="6">
        <v>1.4587778883899432</v>
      </c>
      <c r="AR61" s="6" t="str">
        <f>IF($H61="BEV",SUMPRODUCT(#REF!,#REF!),"")</f>
        <v/>
      </c>
      <c r="AS61" s="2">
        <f>SUM(Z61,AG61)/(SUM(AQ61:AR61)/3.6)</f>
        <v>326.98603659702172</v>
      </c>
      <c r="AT61" s="5">
        <f>IF($H61="ICEV-p",$AQ61/('fuels and tailpipe emissions'!$C$3*3.6)*'fuels and tailpipe emissions'!$D$3,"")</f>
        <v>0.10940834162924575</v>
      </c>
      <c r="AU61" s="7">
        <f>IF($H61="ICEV-p",$AQ61/('fuels and tailpipe emissions'!$C$3*3.6)*'fuels and tailpipe emissions'!$E$3,"")</f>
        <v>5.5048222203394077E-7</v>
      </c>
      <c r="AV61" s="7">
        <f>SUMIFS('fuels and tailpipe emissions'!$G$10:$G$126,'fuels and tailpipe emissions'!$A$10:$A$126,'vehicles specifications'!$F61,'fuels and tailpipe emissions'!$B$10:$B$126,'vehicles specifications'!AV$2)/1000*$AQ61</f>
        <v>1.1120861815633757E-6</v>
      </c>
      <c r="AW61" s="7">
        <f>SUMIFS('fuels and tailpipe emissions'!$G$10:$G$126,'fuels and tailpipe emissions'!$A$10:$A$126,'vehicles specifications'!$F61,'fuels and tailpipe emissions'!$B$10:$B$126,'vehicles specifications'!AW$2)/1000*$AQ61</f>
        <v>2.7420758420675998E-5</v>
      </c>
      <c r="AX61" s="7">
        <f>SUMIFS('fuels and tailpipe emissions'!$G$10:$G$126,'fuels and tailpipe emissions'!$A$10:$A$126,'vehicles specifications'!$F61,'fuels and tailpipe emissions'!$B$10:$B$126,'vehicles specifications'!AX$2)/1000*$AQ61</f>
        <v>1.217425302427384E-4</v>
      </c>
      <c r="AY61" s="7">
        <f>SUMIFS('fuels and tailpipe emissions'!$G$10:$G$126,'fuels and tailpipe emissions'!$A$10:$A$126,'vehicles specifications'!$F61,'fuels and tailpipe emissions'!$B$10:$B$126,'vehicles specifications'!AY$2)/1000*$AQ61</f>
        <v>8.2468446377972918E-7</v>
      </c>
      <c r="AZ61" s="7">
        <f>SUMIFS('fuels and tailpipe emissions'!$G$10:$G$126,'fuels and tailpipe emissions'!$A$10:$A$126,'vehicles specifications'!$F61,'fuels and tailpipe emissions'!$B$10:$B$126,'vehicles specifications'!AZ$2)/1000*$AQ61</f>
        <v>8.2468446377972918E-7</v>
      </c>
      <c r="BA61" s="7">
        <f>SUMIFS('fuels and tailpipe emissions'!$G$10:$G$126,'fuels and tailpipe emissions'!$A$10:$A$126,'vehicles specifications'!$F61,'fuels and tailpipe emissions'!$B$10:$B$126,'vehicles specifications'!BA$2)/1000*$AQ61</f>
        <v>8.9890099189194488E-6</v>
      </c>
      <c r="BB61" s="7">
        <f>SUMIFS('fuels and tailpipe emissions'!$G$10:$G$126,'fuels and tailpipe emissions'!$A$10:$A$126,'vehicles specifications'!$F61,'fuels and tailpipe emissions'!$B$10:$B$126,'vehicles specifications'!BB$2)/1000*$AQ61</f>
        <v>2.0617111594493231E-6</v>
      </c>
      <c r="BC61" s="7">
        <f>SUMIFS('fuels and tailpipe emissions'!$G$10:$G$126,'fuels and tailpipe emissions'!$A$10:$A$126,'vehicles specifications'!$F61,'fuels and tailpipe emissions'!$B$10:$B$126,'vehicles specifications'!BC$2)/1000*$AQ61</f>
        <v>8.9680532716447633E-6</v>
      </c>
      <c r="BD61" s="7">
        <f>SUMIFS('fuels and tailpipe emissions'!$G$10:$G$126,'fuels and tailpipe emissions'!$A$10:$A$126,'vehicles specifications'!$F61,'fuels and tailpipe emissions'!$B$10:$B$126,'vehicles specifications'!BD$2)/1000*$AQ61</f>
        <v>6.3236273069289983E-7</v>
      </c>
      <c r="BE61" s="7">
        <f>SUMIFS('fuels and tailpipe emissions'!$G$10:$G$126,'fuels and tailpipe emissions'!$A$10:$A$126,'vehicles specifications'!$F61,'fuels and tailpipe emissions'!$B$10:$B$126,'vehicles specifications'!BE$2)/1000*$AQ61</f>
        <v>1.2885134010983853E-7</v>
      </c>
      <c r="BF61" s="7">
        <f>SUMIFS('fuels and tailpipe emissions'!$G$10:$G$126,'fuels and tailpipe emissions'!$A$10:$A$126,'vehicles specifications'!$F61,'fuels and tailpipe emissions'!$B$10:$B$126,'vehicles specifications'!BF$2)/1000*$AQ61</f>
        <v>1.0387400341162367E-6</v>
      </c>
      <c r="BG61" s="7">
        <f>SUMIFS('fuels and tailpipe emissions'!$G$10:$G$126,'fuels and tailpipe emissions'!$A$10:$A$126,'vehicles specifications'!$F61,'fuels and tailpipe emissions'!$B$10:$B$126,'vehicles specifications'!BG$2)/1000*$AQ61</f>
        <v>4.2620058651715824E-7</v>
      </c>
      <c r="BH61" s="7">
        <f>SUMIFS('fuels and tailpipe emissions'!$G$10:$G$126,'fuels and tailpipe emissions'!$A$10:$A$126,'vehicles specifications'!$F61,'fuels and tailpipe emissions'!$B$10:$B$126,'vehicles specifications'!BH$2)/1000*$AQ61</f>
        <v>3.1915485781052317E-7</v>
      </c>
      <c r="BI61" s="7">
        <f>SUMIFS('fuels and tailpipe emissions'!$G$10:$G$126,'fuels and tailpipe emissions'!$A$10:$A$126,'vehicles specifications'!$F61,'fuels and tailpipe emissions'!$B$10:$B$126,'vehicles specifications'!BI$2)/1000*$AQ61</f>
        <v>2.2598542726956295E-7</v>
      </c>
      <c r="BJ61" s="7">
        <f>SUMIFS('fuels and tailpipe emissions'!$G$10:$G$126,'fuels and tailpipe emissions'!$A$10:$A$126,'vehicles specifications'!$F61,'fuels and tailpipe emissions'!$B$10:$B$126,'vehicles specifications'!BJ$2)/1000*$AQ61</f>
        <v>1.4669229489427773E-7</v>
      </c>
      <c r="BK61" s="7">
        <f>SUMIFS('fuels and tailpipe emissions'!$G$10:$G$126,'fuels and tailpipe emissions'!$A$10:$A$126,'vehicles specifications'!$F61,'fuels and tailpipe emissions'!$B$10:$B$126,'vehicles specifications'!BK$2)/1000*$AQ61</f>
        <v>1.4470996658489557E-6</v>
      </c>
      <c r="BL61" s="7">
        <f>SUMIFS('fuels and tailpipe emissions'!$G$10:$G$126,'fuels and tailpipe emissions'!$A$10:$A$126,'vehicles specifications'!$F61,'fuels and tailpipe emissions'!$B$10:$B$126,'vehicles specifications'!BL$2)/1000*$AQ61</f>
        <v>7.572494141839741E-7</v>
      </c>
      <c r="BM61" s="7">
        <f>SUMIFS('fuels and tailpipe emissions'!$G$10:$G$126,'fuels and tailpipe emissions'!$A$10:$A$126,'vehicles specifications'!$F61,'fuels and tailpipe emissions'!$B$10:$B$126,'vehicles specifications'!BM$2)/1000*$AQ61</f>
        <v>2.1805611403203451E-8</v>
      </c>
      <c r="BN61" s="7">
        <f>SUMIFS('fuels and tailpipe emissions'!$G$10:$G$126,'fuels and tailpipe emissions'!$A$10:$A$126,'vehicles specifications'!$F61,'fuels and tailpipe emissions'!$B$10:$B$126,'vehicles specifications'!BN$2)/1000*$AQ61</f>
        <v>1.1120861815633757E-6</v>
      </c>
      <c r="BO61" s="7">
        <f>SUMIFS('fuels and tailpipe emissions'!$G$10:$G$126,'fuels and tailpipe emissions'!$A$10:$A$126,'vehicles specifications'!$F61,'fuels and tailpipe emissions'!$B$10:$B$126,'vehicles specifications'!BO$2)/1000*$AQ61</f>
        <v>2.1765964837015801E-6</v>
      </c>
      <c r="BP61" s="7">
        <f>SUMIFS('fuels and tailpipe emissions'!$G$10:$G$126,'fuels and tailpipe emissions'!$A$10:$A$126,'vehicles specifications'!$F61,'fuels and tailpipe emissions'!$B$10:$B$126,'vehicles specifications'!BP$2)/1000*$AQ61</f>
        <v>1.0764042719944975E-6</v>
      </c>
      <c r="BQ61" s="7">
        <f>SUMIFS('fuels and tailpipe emissions'!$G$10:$G$126,'fuels and tailpipe emissions'!$A$10:$A$126,'vehicles specifications'!$F61,'fuels and tailpipe emissions'!$B$10:$B$126,'vehicles specifications'!BQ$2)/1000*$AQ61</f>
        <v>4.4800619792036162E-7</v>
      </c>
      <c r="BR61" s="7">
        <f>SUMIFS('fuels and tailpipe emissions'!$G$10:$G$126,'fuels and tailpipe emissions'!$A$10:$A$126,'vehicles specifications'!$F61,'fuels and tailpipe emissions'!$B$10:$B$126,'vehicles specifications'!BR$2)/1000*$AQ61</f>
        <v>3.3699581259496236E-7</v>
      </c>
      <c r="BS61" s="7">
        <f>SUMIFS('fuels and tailpipe emissions'!$G$10:$G$126,'fuels and tailpipe emissions'!$A$10:$A$126,'vehicles specifications'!$F61,'fuels and tailpipe emissions'!$B$10:$B$126,'vehicles specifications'!BS$2)/1000*$AQ61</f>
        <v>1.4867462320365984E-7</v>
      </c>
      <c r="BT61" s="7">
        <f>SUMIFS('fuels and tailpipe emissions'!$G$10:$G$126,'fuels and tailpipe emissions'!$A$10:$A$126,'vehicles specifications'!$F61,'fuels and tailpipe emissions'!$B$10:$B$126,'vehicles specifications'!BT$2)/1000*$AQ61</f>
        <v>4.3611222806406902E-8</v>
      </c>
      <c r="BU61" s="7">
        <f>SUMIFS('fuels and tailpipe emissions'!$G$10:$G$126,'fuels and tailpipe emissions'!$A$10:$A$126,'vehicles specifications'!$F61,'fuels and tailpipe emissions'!$B$10:$B$126,'vehicles specifications'!BU$2)/1000*$AQ61</f>
        <v>1.2092202687231004E-7</v>
      </c>
      <c r="BV61" s="7">
        <f>SUMIFS('fuels and tailpipe emissions'!$G$10:$G$126,'fuels and tailpipe emissions'!$A$10:$A$126,'vehicles specifications'!$F61,'fuels and tailpipe emissions'!$B$10:$B$126,'vehicles specifications'!BV$2)/1000*$AQ61</f>
        <v>0</v>
      </c>
      <c r="BW61" s="7">
        <f>SUMIFS('fuels and tailpipe emissions'!$G$10:$G$126,'fuels and tailpipe emissions'!$A$10:$A$126,'vehicles specifications'!$F61,'fuels and tailpipe emissions'!$B$10:$B$126,'vehicles specifications'!BW$2)/1000*$AQ61</f>
        <v>3.7664237878260496E-8</v>
      </c>
      <c r="BX61" s="7">
        <f>SUMIFS('fuels and tailpipe emissions'!$G$10:$G$126,'fuels and tailpipe emissions'!$A$10:$A$126,'vehicles specifications'!$F61,'fuels and tailpipe emissions'!$B$10:$B$126,'vehicles specifications'!BX$2)/1000*$AQ61</f>
        <v>2.0021515924759527E-7</v>
      </c>
      <c r="BY61" s="7">
        <f>SUMIFS('fuels and tailpipe emissions'!$G$10:$G$126,'fuels and tailpipe emissions'!$A$10:$A$126,'vehicles specifications'!$F61,'fuels and tailpipe emissions'!$B$10:$B$126,'vehicles specifications'!BY$2)/1000*$AQ61</f>
        <v>5.0765470515970023E-8</v>
      </c>
      <c r="BZ61" s="7">
        <f>SUMIFS('fuels and tailpipe emissions'!$G$10:$G$126,'fuels and tailpipe emissions'!$A$10:$A$126,'vehicles specifications'!$F61,'fuels and tailpipe emissions'!$B$10:$B$126,'vehicles specifications'!BZ$2)/1000*$AQ61</f>
        <v>4.3763336651698293E-10</v>
      </c>
      <c r="CA61" s="7">
        <f>SUMIFS('fuels and tailpipe emissions'!$G$10:$G$126,'fuels and tailpipe emissions'!$A$10:$A$126,'vehicles specifications'!$F61,'fuels and tailpipe emissions'!$B$10:$B$126,'vehicles specifications'!CA$2)/1000*$AQ61</f>
        <v>2.9175557767798862E-10</v>
      </c>
      <c r="CB61" s="7">
        <f>SUMIFS('fuels and tailpipe emissions'!$G$10:$G$126,'fuels and tailpipe emissions'!$A$10:$A$126,'vehicles specifications'!$F61,'fuels and tailpipe emissions'!$B$10:$B$126,'vehicles specifications'!CB$2)/1000*$AQ61</f>
        <v>3.1509602389222774E-6</v>
      </c>
      <c r="CC61" s="7">
        <f>SUMIFS('fuels and tailpipe emissions'!$G$10:$G$126,'fuels and tailpipe emissions'!$A$10:$A$126,'vehicles specifications'!$F61,'fuels and tailpipe emissions'!$B$10:$B$126,'vehicles specifications'!CC$2)/1000*$AQ61</f>
        <v>6.1268671312377613E-8</v>
      </c>
      <c r="CD61" s="7">
        <f>SUMIFS('fuels and tailpipe emissions'!$G$10:$G$126,'fuels and tailpipe emissions'!$A$10:$A$126,'vehicles specifications'!$F61,'fuels and tailpipe emissions'!$B$10:$B$126,'vehicles specifications'!CD$2)/1000*$AQ61</f>
        <v>1.8964112549069262E-8</v>
      </c>
      <c r="CE61" s="7">
        <f>SUMIFS('fuels and tailpipe emissions'!$G$10:$G$126,'fuels and tailpipe emissions'!$A$10:$A$126,'vehicles specifications'!$F61,'fuels and tailpipe emissions'!$B$10:$B$126,'vehicles specifications'!CE$2)/1000*$AQ61</f>
        <v>2.3340446214239096E-8</v>
      </c>
      <c r="CF61" s="7">
        <f>SUMIFS('fuels and tailpipe emissions'!$G$10:$G$126,'fuels and tailpipe emissions'!$A$10:$A$126,'vehicles specifications'!$F61,'fuels and tailpipe emissions'!$B$10:$B$126,'vehicles specifications'!CF$2)/1000*$AQ61</f>
        <v>4.6680892428478179E-11</v>
      </c>
      <c r="CG61" s="7">
        <f>SUMIFS('fuels and tailpipe emissions'!$G$10:$G$126,'fuels and tailpipe emissions'!$A$10:$A$126,'vehicles specifications'!$F61,'fuels and tailpipe emissions'!$B$10:$B$126,'vehicles specifications'!CG$2)/1000*$AQ61</f>
        <v>1.2691367628992506E-8</v>
      </c>
      <c r="CH61" s="7">
        <f>SUMIFS('fuels and tailpipe emissions'!$G$10:$G$126,'fuels and tailpipe emissions'!$A$10:$A$126,'vehicles specifications'!$F61,'fuels and tailpipe emissions'!$B$10:$B$126,'vehicles specifications'!CH$2)/1000*$AQ61</f>
        <v>1.5754801194611389E-8</v>
      </c>
      <c r="CI61" s="7">
        <f>VLOOKUP(B61,'abrasion emissions'!$A$4:$D$32,4,FALSE)</f>
        <v>6.0000000000000002E-6</v>
      </c>
      <c r="CJ61" s="7">
        <f>VLOOKUP(B61,'abrasion emissions'!$A$4:$D$32,2,FALSE)</f>
        <v>7.3669999999999991E-6</v>
      </c>
      <c r="CK61" s="7">
        <f>VLOOKUP(B61,'abrasion emissions'!$A$4:$D$32,3,FALSE)</f>
        <v>8.3499999999999997E-6</v>
      </c>
    </row>
    <row r="62" spans="1:89" x14ac:dyDescent="0.3">
      <c r="A62" t="str">
        <f t="shared" si="35"/>
        <v>Motorbike, gasoline, 11-35kW, EURO-5 - 2030 - CH</v>
      </c>
      <c r="B62" t="s">
        <v>696</v>
      </c>
      <c r="D62">
        <v>2030</v>
      </c>
      <c r="E62" t="s">
        <v>37</v>
      </c>
      <c r="F62" t="s">
        <v>149</v>
      </c>
      <c r="G62" t="s">
        <v>39</v>
      </c>
      <c r="H62" t="s">
        <v>35</v>
      </c>
      <c r="J62" s="21">
        <v>62100</v>
      </c>
      <c r="K62" s="21">
        <v>4592</v>
      </c>
      <c r="L62" s="2">
        <f t="shared" si="36"/>
        <v>13.523519163763066</v>
      </c>
      <c r="M62">
        <v>1.1000000000000001</v>
      </c>
      <c r="N62">
        <v>70</v>
      </c>
      <c r="O62">
        <v>6</v>
      </c>
      <c r="P62" s="2">
        <f t="shared" si="13"/>
        <v>153.50749999999999</v>
      </c>
      <c r="Q62" s="2">
        <f t="shared" si="37"/>
        <v>236.50749999999999</v>
      </c>
      <c r="R62" s="21">
        <v>20</v>
      </c>
      <c r="S62" s="2">
        <v>81</v>
      </c>
      <c r="T62" s="1">
        <v>0.03</v>
      </c>
      <c r="U62" s="2">
        <f t="shared" si="32"/>
        <v>78.569999999999993</v>
      </c>
      <c r="V62" s="2">
        <v>62</v>
      </c>
      <c r="W62" s="2">
        <v>0</v>
      </c>
      <c r="X62" s="3">
        <v>0</v>
      </c>
      <c r="Y62" s="1">
        <v>0.8</v>
      </c>
      <c r="Z62" s="3">
        <f t="shared" si="38"/>
        <v>0</v>
      </c>
      <c r="AA62" s="3">
        <v>0</v>
      </c>
      <c r="AB62" s="3">
        <v>0</v>
      </c>
      <c r="AC62" s="3">
        <f t="shared" si="39"/>
        <v>0</v>
      </c>
      <c r="AD62" s="3">
        <v>0</v>
      </c>
      <c r="AE62" s="3">
        <v>15</v>
      </c>
      <c r="AF62">
        <f>AE62*'fuels and tailpipe emissions'!$B$3</f>
        <v>11.25</v>
      </c>
      <c r="AG62" s="2">
        <f>AF62*'fuels and tailpipe emissions'!$C$3</f>
        <v>132.5</v>
      </c>
      <c r="AH62" s="3">
        <f t="shared" si="33"/>
        <v>1.6875</v>
      </c>
      <c r="AI62" s="3">
        <v>0</v>
      </c>
      <c r="AJ62" s="3">
        <v>0</v>
      </c>
      <c r="AK62">
        <f t="shared" si="30"/>
        <v>1.242</v>
      </c>
      <c r="AL62">
        <f t="shared" si="15"/>
        <v>1.2700452749999999E-4</v>
      </c>
      <c r="AM62">
        <v>1.2899999999999999E-3</v>
      </c>
      <c r="AN62" s="2">
        <f t="shared" si="40"/>
        <v>78.569999999999993</v>
      </c>
      <c r="AO62" s="2">
        <f t="shared" si="41"/>
        <v>62</v>
      </c>
      <c r="AP62" s="2">
        <f t="shared" si="42"/>
        <v>0</v>
      </c>
      <c r="AQ62" s="6">
        <v>1.4441901095060437</v>
      </c>
      <c r="AR62" s="6" t="str">
        <f>IF($H62="BEV",SUMPRODUCT(#REF!,#REF!),"")</f>
        <v/>
      </c>
      <c r="AS62" s="2">
        <f>SUM(Z62,AG62)/(SUM(AQ62:AR62)/3.6)</f>
        <v>330.28892585557753</v>
      </c>
      <c r="AT62" s="5">
        <f>IF($H62="ICEV-p",$AQ62/('fuels and tailpipe emissions'!$C$3*3.6)*'fuels and tailpipe emissions'!$D$3,"")</f>
        <v>0.10831425821295328</v>
      </c>
      <c r="AU62" s="7">
        <f>IF($H62="ICEV-p",$AQ62/('fuels and tailpipe emissions'!$C$3*3.6)*'fuels and tailpipe emissions'!$E$3,"")</f>
        <v>5.4497739981360134E-7</v>
      </c>
      <c r="AV62" s="7">
        <f>SUMIFS('fuels and tailpipe emissions'!$G$10:$G$126,'fuels and tailpipe emissions'!$A$10:$A$126,'vehicles specifications'!$F62,'fuels and tailpipe emissions'!$B$10:$B$126,'vehicles specifications'!AV$2)/1000*$AQ62</f>
        <v>1.1009653197477418E-6</v>
      </c>
      <c r="AW62" s="7">
        <f>SUMIFS('fuels and tailpipe emissions'!$G$10:$G$126,'fuels and tailpipe emissions'!$A$10:$A$126,'vehicles specifications'!$F62,'fuels and tailpipe emissions'!$B$10:$B$126,'vehicles specifications'!AW$2)/1000*$AQ62</f>
        <v>2.7146550836469235E-5</v>
      </c>
      <c r="AX62" s="7">
        <f>SUMIFS('fuels and tailpipe emissions'!$G$10:$G$126,'fuels and tailpipe emissions'!$A$10:$A$126,'vehicles specifications'!$F62,'fuels and tailpipe emissions'!$B$10:$B$126,'vehicles specifications'!AX$2)/1000*$AQ62</f>
        <v>1.2052510494031101E-4</v>
      </c>
      <c r="AY62" s="7">
        <f>SUMIFS('fuels and tailpipe emissions'!$G$10:$G$126,'fuels and tailpipe emissions'!$A$10:$A$126,'vehicles specifications'!$F62,'fuels and tailpipe emissions'!$B$10:$B$126,'vehicles specifications'!AY$2)/1000*$AQ62</f>
        <v>8.1643761914193182E-7</v>
      </c>
      <c r="AZ62" s="7">
        <f>SUMIFS('fuels and tailpipe emissions'!$G$10:$G$126,'fuels and tailpipe emissions'!$A$10:$A$126,'vehicles specifications'!$F62,'fuels and tailpipe emissions'!$B$10:$B$126,'vehicles specifications'!AZ$2)/1000*$AQ62</f>
        <v>8.1643761914193182E-7</v>
      </c>
      <c r="BA62" s="7">
        <f>SUMIFS('fuels and tailpipe emissions'!$G$10:$G$126,'fuels and tailpipe emissions'!$A$10:$A$126,'vehicles specifications'!$F62,'fuels and tailpipe emissions'!$B$10:$B$126,'vehicles specifications'!BA$2)/1000*$AQ62</f>
        <v>8.8991198197302526E-6</v>
      </c>
      <c r="BB62" s="7">
        <f>SUMIFS('fuels and tailpipe emissions'!$G$10:$G$126,'fuels and tailpipe emissions'!$A$10:$A$126,'vehicles specifications'!$F62,'fuels and tailpipe emissions'!$B$10:$B$126,'vehicles specifications'!BB$2)/1000*$AQ62</f>
        <v>2.0410940478548298E-6</v>
      </c>
      <c r="BC62" s="7">
        <f>SUMIFS('fuels and tailpipe emissions'!$G$10:$G$126,'fuels and tailpipe emissions'!$A$10:$A$126,'vehicles specifications'!$F62,'fuels and tailpipe emissions'!$B$10:$B$126,'vehicles specifications'!BC$2)/1000*$AQ62</f>
        <v>8.8783727389283155E-6</v>
      </c>
      <c r="BD62" s="7">
        <f>SUMIFS('fuels and tailpipe emissions'!$G$10:$G$126,'fuels and tailpipe emissions'!$A$10:$A$126,'vehicles specifications'!$F62,'fuels and tailpipe emissions'!$B$10:$B$126,'vehicles specifications'!BD$2)/1000*$AQ62</f>
        <v>6.2603910338597077E-7</v>
      </c>
      <c r="BE62" s="7">
        <f>SUMIFS('fuels and tailpipe emissions'!$G$10:$G$126,'fuels and tailpipe emissions'!$A$10:$A$126,'vehicles specifications'!$F62,'fuels and tailpipe emissions'!$B$10:$B$126,'vehicles specifications'!BE$2)/1000*$AQ62</f>
        <v>1.2756282670874015E-7</v>
      </c>
      <c r="BF62" s="7">
        <f>SUMIFS('fuels and tailpipe emissions'!$G$10:$G$126,'fuels and tailpipe emissions'!$A$10:$A$126,'vehicles specifications'!$F62,'fuels and tailpipe emissions'!$B$10:$B$126,'vehicles specifications'!BF$2)/1000*$AQ62</f>
        <v>1.0283526337750743E-6</v>
      </c>
      <c r="BG62" s="7">
        <f>SUMIFS('fuels and tailpipe emissions'!$G$10:$G$126,'fuels and tailpipe emissions'!$A$10:$A$126,'vehicles specifications'!$F62,'fuels and tailpipe emissions'!$B$10:$B$126,'vehicles specifications'!BG$2)/1000*$AQ62</f>
        <v>4.2193858065198663E-7</v>
      </c>
      <c r="BH62" s="7">
        <f>SUMIFS('fuels and tailpipe emissions'!$G$10:$G$126,'fuels and tailpipe emissions'!$A$10:$A$126,'vehicles specifications'!$F62,'fuels and tailpipe emissions'!$B$10:$B$126,'vehicles specifications'!BH$2)/1000*$AQ62</f>
        <v>3.1596330923241792E-7</v>
      </c>
      <c r="BI62" s="7">
        <f>SUMIFS('fuels and tailpipe emissions'!$G$10:$G$126,'fuels and tailpipe emissions'!$A$10:$A$126,'vehicles specifications'!$F62,'fuels and tailpipe emissions'!$B$10:$B$126,'vehicles specifications'!BI$2)/1000*$AQ62</f>
        <v>2.2372557299686732E-7</v>
      </c>
      <c r="BJ62" s="7">
        <f>SUMIFS('fuels and tailpipe emissions'!$G$10:$G$126,'fuels and tailpipe emissions'!$A$10:$A$126,'vehicles specifications'!$F62,'fuels and tailpipe emissions'!$B$10:$B$126,'vehicles specifications'!BJ$2)/1000*$AQ62</f>
        <v>1.4522537194533496E-7</v>
      </c>
      <c r="BK62" s="7">
        <f>SUMIFS('fuels and tailpipe emissions'!$G$10:$G$126,'fuels and tailpipe emissions'!$A$10:$A$126,'vehicles specifications'!$F62,'fuels and tailpipe emissions'!$B$10:$B$126,'vehicles specifications'!BK$2)/1000*$AQ62</f>
        <v>1.4326286691904661E-6</v>
      </c>
      <c r="BL62" s="7">
        <f>SUMIFS('fuels and tailpipe emissions'!$G$10:$G$126,'fuels and tailpipe emissions'!$A$10:$A$126,'vehicles specifications'!$F62,'fuels and tailpipe emissions'!$B$10:$B$126,'vehicles specifications'!BL$2)/1000*$AQ62</f>
        <v>7.4967692004213441E-7</v>
      </c>
      <c r="BM62" s="7">
        <f>SUMIFS('fuels and tailpipe emissions'!$G$10:$G$126,'fuels and tailpipe emissions'!$A$10:$A$126,'vehicles specifications'!$F62,'fuels and tailpipe emissions'!$B$10:$B$126,'vehicles specifications'!BM$2)/1000*$AQ62</f>
        <v>2.1587555289171415E-8</v>
      </c>
      <c r="BN62" s="7">
        <f>SUMIFS('fuels and tailpipe emissions'!$G$10:$G$126,'fuels and tailpipe emissions'!$A$10:$A$126,'vehicles specifications'!$F62,'fuels and tailpipe emissions'!$B$10:$B$126,'vehicles specifications'!BN$2)/1000*$AQ62</f>
        <v>1.1009653197477418E-6</v>
      </c>
      <c r="BO62" s="7">
        <f>SUMIFS('fuels and tailpipe emissions'!$G$10:$G$126,'fuels and tailpipe emissions'!$A$10:$A$126,'vehicles specifications'!$F62,'fuels and tailpipe emissions'!$B$10:$B$126,'vehicles specifications'!BO$2)/1000*$AQ62</f>
        <v>2.154830518864564E-6</v>
      </c>
      <c r="BP62" s="7">
        <f>SUMIFS('fuels and tailpipe emissions'!$G$10:$G$126,'fuels and tailpipe emissions'!$A$10:$A$126,'vehicles specifications'!$F62,'fuels and tailpipe emissions'!$B$10:$B$126,'vehicles specifications'!BP$2)/1000*$AQ62</f>
        <v>1.0656402292745523E-6</v>
      </c>
      <c r="BQ62" s="7">
        <f>SUMIFS('fuels and tailpipe emissions'!$G$10:$G$126,'fuels and tailpipe emissions'!$A$10:$A$126,'vehicles specifications'!$F62,'fuels and tailpipe emissions'!$B$10:$B$126,'vehicles specifications'!BQ$2)/1000*$AQ62</f>
        <v>4.4352613594115801E-7</v>
      </c>
      <c r="BR62" s="7">
        <f>SUMIFS('fuels and tailpipe emissions'!$G$10:$G$126,'fuels and tailpipe emissions'!$A$10:$A$126,'vehicles specifications'!$F62,'fuels and tailpipe emissions'!$B$10:$B$126,'vehicles specifications'!BR$2)/1000*$AQ62</f>
        <v>3.3362585446901273E-7</v>
      </c>
      <c r="BS62" s="7">
        <f>SUMIFS('fuels and tailpipe emissions'!$G$10:$G$126,'fuels and tailpipe emissions'!$A$10:$A$126,'vehicles specifications'!$F62,'fuels and tailpipe emissions'!$B$10:$B$126,'vehicles specifications'!BS$2)/1000*$AQ62</f>
        <v>1.4718787697162324E-7</v>
      </c>
      <c r="BT62" s="7">
        <f>SUMIFS('fuels and tailpipe emissions'!$G$10:$G$126,'fuels and tailpipe emissions'!$A$10:$A$126,'vehicles specifications'!$F62,'fuels and tailpipe emissions'!$B$10:$B$126,'vehicles specifications'!BT$2)/1000*$AQ62</f>
        <v>4.317511057834283E-8</v>
      </c>
      <c r="BU62" s="7">
        <f>SUMIFS('fuels and tailpipe emissions'!$G$10:$G$126,'fuels and tailpipe emissions'!$A$10:$A$126,'vehicles specifications'!$F62,'fuels and tailpipe emissions'!$B$10:$B$126,'vehicles specifications'!BU$2)/1000*$AQ62</f>
        <v>1.1971280660358694E-7</v>
      </c>
      <c r="BV62" s="7">
        <f>SUMIFS('fuels and tailpipe emissions'!$G$10:$G$126,'fuels and tailpipe emissions'!$A$10:$A$126,'vehicles specifications'!$F62,'fuels and tailpipe emissions'!$B$10:$B$126,'vehicles specifications'!BV$2)/1000*$AQ62</f>
        <v>0</v>
      </c>
      <c r="BW62" s="7">
        <f>SUMIFS('fuels and tailpipe emissions'!$G$10:$G$126,'fuels and tailpipe emissions'!$A$10:$A$126,'vehicles specifications'!$F62,'fuels and tailpipe emissions'!$B$10:$B$126,'vehicles specifications'!BW$2)/1000*$AQ62</f>
        <v>3.7287595499477888E-8</v>
      </c>
      <c r="BX62" s="7">
        <f>SUMIFS('fuels and tailpipe emissions'!$G$10:$G$126,'fuels and tailpipe emissions'!$A$10:$A$126,'vehicles specifications'!$F62,'fuels and tailpipe emissions'!$B$10:$B$126,'vehicles specifications'!BX$2)/1000*$AQ62</f>
        <v>1.9821300765511932E-7</v>
      </c>
      <c r="BY62" s="7">
        <f>SUMIFS('fuels and tailpipe emissions'!$G$10:$G$126,'fuels and tailpipe emissions'!$A$10:$A$126,'vehicles specifications'!$F62,'fuels and tailpipe emissions'!$B$10:$B$126,'vehicles specifications'!BY$2)/1000*$AQ62</f>
        <v>5.0257815810810321E-8</v>
      </c>
      <c r="BZ62" s="7">
        <f>SUMIFS('fuels and tailpipe emissions'!$G$10:$G$126,'fuels and tailpipe emissions'!$A$10:$A$126,'vehicles specifications'!$F62,'fuels and tailpipe emissions'!$B$10:$B$126,'vehicles specifications'!BZ$2)/1000*$AQ62</f>
        <v>4.3325703285181307E-10</v>
      </c>
      <c r="CA62" s="7">
        <f>SUMIFS('fuels and tailpipe emissions'!$G$10:$G$126,'fuels and tailpipe emissions'!$A$10:$A$126,'vehicles specifications'!$F62,'fuels and tailpipe emissions'!$B$10:$B$126,'vehicles specifications'!CA$2)/1000*$AQ62</f>
        <v>2.8883802190120875E-10</v>
      </c>
      <c r="CB62" s="7">
        <f>SUMIFS('fuels and tailpipe emissions'!$G$10:$G$126,'fuels and tailpipe emissions'!$A$10:$A$126,'vehicles specifications'!$F62,'fuels and tailpipe emissions'!$B$10:$B$126,'vehicles specifications'!CB$2)/1000*$AQ62</f>
        <v>3.1194506365330544E-6</v>
      </c>
      <c r="CC62" s="7">
        <f>SUMIFS('fuels and tailpipe emissions'!$G$10:$G$126,'fuels and tailpipe emissions'!$A$10:$A$126,'vehicles specifications'!$F62,'fuels and tailpipe emissions'!$B$10:$B$126,'vehicles specifications'!CC$2)/1000*$AQ62</f>
        <v>6.0655984599253833E-8</v>
      </c>
      <c r="CD62" s="7">
        <f>SUMIFS('fuels and tailpipe emissions'!$G$10:$G$126,'fuels and tailpipe emissions'!$A$10:$A$126,'vehicles specifications'!$F62,'fuels and tailpipe emissions'!$B$10:$B$126,'vehicles specifications'!CD$2)/1000*$AQ62</f>
        <v>1.877447142357857E-8</v>
      </c>
      <c r="CE62" s="7">
        <f>SUMIFS('fuels and tailpipe emissions'!$G$10:$G$126,'fuels and tailpipe emissions'!$A$10:$A$126,'vehicles specifications'!$F62,'fuels and tailpipe emissions'!$B$10:$B$126,'vehicles specifications'!CE$2)/1000*$AQ62</f>
        <v>2.3107041752096703E-8</v>
      </c>
      <c r="CF62" s="7">
        <f>SUMIFS('fuels and tailpipe emissions'!$G$10:$G$126,'fuels and tailpipe emissions'!$A$10:$A$126,'vehicles specifications'!$F62,'fuels and tailpipe emissions'!$B$10:$B$126,'vehicles specifications'!CF$2)/1000*$AQ62</f>
        <v>4.6214083504193395E-11</v>
      </c>
      <c r="CG62" s="7">
        <f>SUMIFS('fuels and tailpipe emissions'!$G$10:$G$126,'fuels and tailpipe emissions'!$A$10:$A$126,'vehicles specifications'!$F62,'fuels and tailpipe emissions'!$B$10:$B$126,'vehicles specifications'!CG$2)/1000*$AQ62</f>
        <v>1.256445395270258E-8</v>
      </c>
      <c r="CH62" s="7">
        <f>SUMIFS('fuels and tailpipe emissions'!$G$10:$G$126,'fuels and tailpipe emissions'!$A$10:$A$126,'vehicles specifications'!$F62,'fuels and tailpipe emissions'!$B$10:$B$126,'vehicles specifications'!CH$2)/1000*$AQ62</f>
        <v>1.5597253182665274E-8</v>
      </c>
      <c r="CI62" s="7">
        <f>VLOOKUP(B62,'abrasion emissions'!$A$4:$D$32,4,FALSE)</f>
        <v>6.0000000000000002E-6</v>
      </c>
      <c r="CJ62" s="7">
        <f>VLOOKUP(B62,'abrasion emissions'!$A$4:$D$32,2,FALSE)</f>
        <v>7.3669999999999991E-6</v>
      </c>
      <c r="CK62" s="7">
        <f>VLOOKUP(B62,'abrasion emissions'!$A$4:$D$32,3,FALSE)</f>
        <v>8.3499999999999997E-6</v>
      </c>
    </row>
    <row r="63" spans="1:89" x14ac:dyDescent="0.3">
      <c r="A63" t="str">
        <f t="shared" si="35"/>
        <v>Motorbike, gasoline, 11-35kW, EURO-5 - 2040 - CH</v>
      </c>
      <c r="B63" t="s">
        <v>696</v>
      </c>
      <c r="D63">
        <v>2040</v>
      </c>
      <c r="E63" t="s">
        <v>37</v>
      </c>
      <c r="F63" t="s">
        <v>149</v>
      </c>
      <c r="G63" t="s">
        <v>39</v>
      </c>
      <c r="H63" t="s">
        <v>35</v>
      </c>
      <c r="J63" s="21">
        <v>62100</v>
      </c>
      <c r="K63" s="21">
        <v>4592</v>
      </c>
      <c r="L63" s="2">
        <f t="shared" si="36"/>
        <v>13.523519163763066</v>
      </c>
      <c r="M63">
        <v>1.1000000000000001</v>
      </c>
      <c r="N63">
        <v>70</v>
      </c>
      <c r="O63">
        <v>6</v>
      </c>
      <c r="P63" s="2">
        <f t="shared" si="13"/>
        <v>151.88749999999999</v>
      </c>
      <c r="Q63" s="2">
        <f t="shared" si="37"/>
        <v>234.88749999999999</v>
      </c>
      <c r="R63" s="21">
        <v>20</v>
      </c>
      <c r="S63" s="2">
        <v>81</v>
      </c>
      <c r="T63" s="1">
        <v>0.05</v>
      </c>
      <c r="U63" s="2">
        <f t="shared" si="32"/>
        <v>76.95</v>
      </c>
      <c r="V63" s="2">
        <v>62</v>
      </c>
      <c r="W63" s="2">
        <v>0</v>
      </c>
      <c r="X63" s="3">
        <v>0</v>
      </c>
      <c r="Y63" s="1">
        <v>0.8</v>
      </c>
      <c r="Z63" s="3">
        <f t="shared" si="38"/>
        <v>0</v>
      </c>
      <c r="AA63" s="3">
        <v>0</v>
      </c>
      <c r="AB63" s="3">
        <v>0</v>
      </c>
      <c r="AC63" s="3">
        <f t="shared" si="39"/>
        <v>0</v>
      </c>
      <c r="AD63" s="3">
        <v>0</v>
      </c>
      <c r="AE63" s="3">
        <v>15</v>
      </c>
      <c r="AF63">
        <f>AE63*'fuels and tailpipe emissions'!$B$3</f>
        <v>11.25</v>
      </c>
      <c r="AG63" s="2">
        <f>AF63*'fuels and tailpipe emissions'!$C$3</f>
        <v>132.5</v>
      </c>
      <c r="AH63" s="3">
        <f t="shared" si="33"/>
        <v>1.6875</v>
      </c>
      <c r="AI63" s="3">
        <v>0</v>
      </c>
      <c r="AJ63" s="3">
        <v>0</v>
      </c>
      <c r="AK63">
        <f t="shared" si="30"/>
        <v>1.242</v>
      </c>
      <c r="AL63">
        <f t="shared" si="15"/>
        <v>1.2613458750000001E-4</v>
      </c>
      <c r="AM63">
        <v>1.2899999999999999E-3</v>
      </c>
      <c r="AN63" s="2">
        <f t="shared" si="40"/>
        <v>76.95</v>
      </c>
      <c r="AO63" s="2">
        <f t="shared" si="41"/>
        <v>62</v>
      </c>
      <c r="AP63" s="2">
        <f t="shared" si="42"/>
        <v>0</v>
      </c>
      <c r="AQ63" s="6">
        <v>1.4297482084109832</v>
      </c>
      <c r="AR63" s="6" t="str">
        <f>IF($H63="BEV",SUMPRODUCT(#REF!,#REF!),"")</f>
        <v/>
      </c>
      <c r="AS63" s="2">
        <f>SUM(Z63,AG63)/(SUM(AQ63:AR63)/3.6)</f>
        <v>333.62517763189646</v>
      </c>
      <c r="AT63" s="5">
        <f>IF($H63="ICEV-p",$AQ63/('fuels and tailpipe emissions'!$C$3*3.6)*'fuels and tailpipe emissions'!$D$3,"")</f>
        <v>0.10723111563082374</v>
      </c>
      <c r="AU63" s="7">
        <f>IF($H63="ICEV-p",$AQ63/('fuels and tailpipe emissions'!$C$3*3.6)*'fuels and tailpipe emissions'!$E$3,"")</f>
        <v>5.3952762581546533E-7</v>
      </c>
      <c r="AV63" s="7">
        <f>SUMIFS('fuels and tailpipe emissions'!$G$10:$G$126,'fuels and tailpipe emissions'!$A$10:$A$126,'vehicles specifications'!$F63,'fuels and tailpipe emissions'!$B$10:$B$126,'vehicles specifications'!AV$2)/1000*$AQ63</f>
        <v>1.0899556665502644E-6</v>
      </c>
      <c r="AW63" s="7">
        <f>SUMIFS('fuels and tailpipe emissions'!$G$10:$G$126,'fuels and tailpipe emissions'!$A$10:$A$126,'vehicles specifications'!$F63,'fuels and tailpipe emissions'!$B$10:$B$126,'vehicles specifications'!AW$2)/1000*$AQ63</f>
        <v>2.6875085328104543E-5</v>
      </c>
      <c r="AX63" s="7">
        <f>SUMIFS('fuels and tailpipe emissions'!$G$10:$G$126,'fuels and tailpipe emissions'!$A$10:$A$126,'vehicles specifications'!$F63,'fuels and tailpipe emissions'!$B$10:$B$126,'vehicles specifications'!AX$2)/1000*$AQ63</f>
        <v>1.1931985389090789E-4</v>
      </c>
      <c r="AY63" s="7">
        <f>SUMIFS('fuels and tailpipe emissions'!$G$10:$G$126,'fuels and tailpipe emissions'!$A$10:$A$126,'vehicles specifications'!$F63,'fuels and tailpipe emissions'!$B$10:$B$126,'vehicles specifications'!AY$2)/1000*$AQ63</f>
        <v>8.0827324295051251E-7</v>
      </c>
      <c r="AZ63" s="7">
        <f>SUMIFS('fuels and tailpipe emissions'!$G$10:$G$126,'fuels and tailpipe emissions'!$A$10:$A$126,'vehicles specifications'!$F63,'fuels and tailpipe emissions'!$B$10:$B$126,'vehicles specifications'!AZ$2)/1000*$AQ63</f>
        <v>8.0827324295051251E-7</v>
      </c>
      <c r="BA63" s="7">
        <f>SUMIFS('fuels and tailpipe emissions'!$G$10:$G$126,'fuels and tailpipe emissions'!$A$10:$A$126,'vehicles specifications'!$F63,'fuels and tailpipe emissions'!$B$10:$B$126,'vehicles specifications'!BA$2)/1000*$AQ63</f>
        <v>8.8101286215329498E-6</v>
      </c>
      <c r="BB63" s="7">
        <f>SUMIFS('fuels and tailpipe emissions'!$G$10:$G$126,'fuels and tailpipe emissions'!$A$10:$A$126,'vehicles specifications'!$F63,'fuels and tailpipe emissions'!$B$10:$B$126,'vehicles specifications'!BB$2)/1000*$AQ63</f>
        <v>2.0206831073762815E-6</v>
      </c>
      <c r="BC63" s="7">
        <f>SUMIFS('fuels and tailpipe emissions'!$G$10:$G$126,'fuels and tailpipe emissions'!$A$10:$A$126,'vehicles specifications'!$F63,'fuels and tailpipe emissions'!$B$10:$B$126,'vehicles specifications'!BC$2)/1000*$AQ63</f>
        <v>8.7895890115390312E-6</v>
      </c>
      <c r="BD63" s="7">
        <f>SUMIFS('fuels and tailpipe emissions'!$G$10:$G$126,'fuels and tailpipe emissions'!$A$10:$A$126,'vehicles specifications'!$F63,'fuels and tailpipe emissions'!$B$10:$B$126,'vehicles specifications'!BD$2)/1000*$AQ63</f>
        <v>6.1977871235211111E-7</v>
      </c>
      <c r="BE63" s="7">
        <f>SUMIFS('fuels and tailpipe emissions'!$G$10:$G$126,'fuels and tailpipe emissions'!$A$10:$A$126,'vehicles specifications'!$F63,'fuels and tailpipe emissions'!$B$10:$B$126,'vehicles specifications'!BE$2)/1000*$AQ63</f>
        <v>1.2628719844165272E-7</v>
      </c>
      <c r="BF63" s="7">
        <f>SUMIFS('fuels and tailpipe emissions'!$G$10:$G$126,'fuels and tailpipe emissions'!$A$10:$A$126,'vehicles specifications'!$F63,'fuels and tailpipe emissions'!$B$10:$B$126,'vehicles specifications'!BF$2)/1000*$AQ63</f>
        <v>1.0180691074373236E-6</v>
      </c>
      <c r="BG63" s="7">
        <f>SUMIFS('fuels and tailpipe emissions'!$G$10:$G$126,'fuels and tailpipe emissions'!$A$10:$A$126,'vehicles specifications'!$F63,'fuels and tailpipe emissions'!$B$10:$B$126,'vehicles specifications'!BG$2)/1000*$AQ63</f>
        <v>4.1771919484546673E-7</v>
      </c>
      <c r="BH63" s="7">
        <f>SUMIFS('fuels and tailpipe emissions'!$G$10:$G$126,'fuels and tailpipe emissions'!$A$10:$A$126,'vehicles specifications'!$F63,'fuels and tailpipe emissions'!$B$10:$B$126,'vehicles specifications'!BH$2)/1000*$AQ63</f>
        <v>3.1280367614009373E-7</v>
      </c>
      <c r="BI63" s="7">
        <f>SUMIFS('fuels and tailpipe emissions'!$G$10:$G$126,'fuels and tailpipe emissions'!$A$10:$A$126,'vehicles specifications'!$F63,'fuels and tailpipe emissions'!$B$10:$B$126,'vehicles specifications'!BI$2)/1000*$AQ63</f>
        <v>2.2148831726689864E-7</v>
      </c>
      <c r="BJ63" s="7">
        <f>SUMIFS('fuels and tailpipe emissions'!$G$10:$G$126,'fuels and tailpipe emissions'!$A$10:$A$126,'vehicles specifications'!$F63,'fuels and tailpipe emissions'!$B$10:$B$126,'vehicles specifications'!BJ$2)/1000*$AQ63</f>
        <v>1.4377311822588159E-7</v>
      </c>
      <c r="BK63" s="7">
        <f>SUMIFS('fuels and tailpipe emissions'!$G$10:$G$126,'fuels and tailpipe emissions'!$A$10:$A$126,'vehicles specifications'!$F63,'fuels and tailpipe emissions'!$B$10:$B$126,'vehicles specifications'!BK$2)/1000*$AQ63</f>
        <v>1.4183023824985615E-6</v>
      </c>
      <c r="BL63" s="7">
        <f>SUMIFS('fuels and tailpipe emissions'!$G$10:$G$126,'fuels and tailpipe emissions'!$A$10:$A$126,'vehicles specifications'!$F63,'fuels and tailpipe emissions'!$B$10:$B$126,'vehicles specifications'!BL$2)/1000*$AQ63</f>
        <v>7.4218015084171301E-7</v>
      </c>
      <c r="BM63" s="7">
        <f>SUMIFS('fuels and tailpipe emissions'!$G$10:$G$126,'fuels and tailpipe emissions'!$A$10:$A$126,'vehicles specifications'!$F63,'fuels and tailpipe emissions'!$B$10:$B$126,'vehicles specifications'!BM$2)/1000*$AQ63</f>
        <v>2.1371679736279698E-8</v>
      </c>
      <c r="BN63" s="7">
        <f>SUMIFS('fuels and tailpipe emissions'!$G$10:$G$126,'fuels and tailpipe emissions'!$A$10:$A$126,'vehicles specifications'!$F63,'fuels and tailpipe emissions'!$B$10:$B$126,'vehicles specifications'!BN$2)/1000*$AQ63</f>
        <v>1.0899556665502644E-6</v>
      </c>
      <c r="BO63" s="7">
        <f>SUMIFS('fuels and tailpipe emissions'!$G$10:$G$126,'fuels and tailpipe emissions'!$A$10:$A$126,'vehicles specifications'!$F63,'fuels and tailpipe emissions'!$B$10:$B$126,'vehicles specifications'!BO$2)/1000*$AQ63</f>
        <v>2.1332822136759185E-6</v>
      </c>
      <c r="BP63" s="7">
        <f>SUMIFS('fuels and tailpipe emissions'!$G$10:$G$126,'fuels and tailpipe emissions'!$A$10:$A$126,'vehicles specifications'!$F63,'fuels and tailpipe emissions'!$B$10:$B$126,'vehicles specifications'!BP$2)/1000*$AQ63</f>
        <v>1.0549838269818067E-6</v>
      </c>
      <c r="BQ63" s="7">
        <f>SUMIFS('fuels and tailpipe emissions'!$G$10:$G$126,'fuels and tailpipe emissions'!$A$10:$A$126,'vehicles specifications'!$F63,'fuels and tailpipe emissions'!$B$10:$B$126,'vehicles specifications'!BQ$2)/1000*$AQ63</f>
        <v>4.390908745817464E-7</v>
      </c>
      <c r="BR63" s="7">
        <f>SUMIFS('fuels and tailpipe emissions'!$G$10:$G$126,'fuels and tailpipe emissions'!$A$10:$A$126,'vehicles specifications'!$F63,'fuels and tailpipe emissions'!$B$10:$B$126,'vehicles specifications'!BR$2)/1000*$AQ63</f>
        <v>3.3028959592432257E-7</v>
      </c>
      <c r="BS63" s="7">
        <f>SUMIFS('fuels and tailpipe emissions'!$G$10:$G$126,'fuels and tailpipe emissions'!$A$10:$A$126,'vehicles specifications'!$F63,'fuels and tailpipe emissions'!$B$10:$B$126,'vehicles specifications'!BS$2)/1000*$AQ63</f>
        <v>1.45715998201907E-7</v>
      </c>
      <c r="BT63" s="7">
        <f>SUMIFS('fuels and tailpipe emissions'!$G$10:$G$126,'fuels and tailpipe emissions'!$A$10:$A$126,'vehicles specifications'!$F63,'fuels and tailpipe emissions'!$B$10:$B$126,'vehicles specifications'!BT$2)/1000*$AQ63</f>
        <v>4.2743359472559396E-8</v>
      </c>
      <c r="BU63" s="7">
        <f>SUMIFS('fuels and tailpipe emissions'!$G$10:$G$126,'fuels and tailpipe emissions'!$A$10:$A$126,'vehicles specifications'!$F63,'fuels and tailpipe emissions'!$B$10:$B$126,'vehicles specifications'!BU$2)/1000*$AQ63</f>
        <v>1.1851567853755105E-7</v>
      </c>
      <c r="BV63" s="7">
        <f>SUMIFS('fuels and tailpipe emissions'!$G$10:$G$126,'fuels and tailpipe emissions'!$A$10:$A$126,'vehicles specifications'!$F63,'fuels and tailpipe emissions'!$B$10:$B$126,'vehicles specifications'!BV$2)/1000*$AQ63</f>
        <v>0</v>
      </c>
      <c r="BW63" s="7">
        <f>SUMIFS('fuels and tailpipe emissions'!$G$10:$G$126,'fuels and tailpipe emissions'!$A$10:$A$126,'vehicles specifications'!$F63,'fuels and tailpipe emissions'!$B$10:$B$126,'vehicles specifications'!BW$2)/1000*$AQ63</f>
        <v>3.6914719544483105E-8</v>
      </c>
      <c r="BX63" s="7">
        <f>SUMIFS('fuels and tailpipe emissions'!$G$10:$G$126,'fuels and tailpipe emissions'!$A$10:$A$126,'vehicles specifications'!$F63,'fuels and tailpipe emissions'!$B$10:$B$126,'vehicles specifications'!BX$2)/1000*$AQ63</f>
        <v>1.9623087757856811E-7</v>
      </c>
      <c r="BY63" s="7">
        <f>SUMIFS('fuels and tailpipe emissions'!$G$10:$G$126,'fuels and tailpipe emissions'!$A$10:$A$126,'vehicles specifications'!$F63,'fuels and tailpipe emissions'!$B$10:$B$126,'vehicles specifications'!BY$2)/1000*$AQ63</f>
        <v>4.9755237652702212E-8</v>
      </c>
      <c r="BZ63" s="7">
        <f>SUMIFS('fuels and tailpipe emissions'!$G$10:$G$126,'fuels and tailpipe emissions'!$A$10:$A$126,'vehicles specifications'!$F63,'fuels and tailpipe emissions'!$B$10:$B$126,'vehicles specifications'!BZ$2)/1000*$AQ63</f>
        <v>4.2892446252329494E-10</v>
      </c>
      <c r="CA63" s="7">
        <f>SUMIFS('fuels and tailpipe emissions'!$G$10:$G$126,'fuels and tailpipe emissions'!$A$10:$A$126,'vehicles specifications'!$F63,'fuels and tailpipe emissions'!$B$10:$B$126,'vehicles specifications'!CA$2)/1000*$AQ63</f>
        <v>2.8594964168219666E-10</v>
      </c>
      <c r="CB63" s="7">
        <f>SUMIFS('fuels and tailpipe emissions'!$G$10:$G$126,'fuels and tailpipe emissions'!$A$10:$A$126,'vehicles specifications'!$F63,'fuels and tailpipe emissions'!$B$10:$B$126,'vehicles specifications'!CB$2)/1000*$AQ63</f>
        <v>3.0882561301677236E-6</v>
      </c>
      <c r="CC63" s="7">
        <f>SUMIFS('fuels and tailpipe emissions'!$G$10:$G$126,'fuels and tailpipe emissions'!$A$10:$A$126,'vehicles specifications'!$F63,'fuels and tailpipe emissions'!$B$10:$B$126,'vehicles specifications'!CC$2)/1000*$AQ63</f>
        <v>6.0049424753261291E-8</v>
      </c>
      <c r="CD63" s="7">
        <f>SUMIFS('fuels and tailpipe emissions'!$G$10:$G$126,'fuels and tailpipe emissions'!$A$10:$A$126,'vehicles specifications'!$F63,'fuels and tailpipe emissions'!$B$10:$B$126,'vehicles specifications'!CD$2)/1000*$AQ63</f>
        <v>1.8586726709342784E-8</v>
      </c>
      <c r="CE63" s="7">
        <f>SUMIFS('fuels and tailpipe emissions'!$G$10:$G$126,'fuels and tailpipe emissions'!$A$10:$A$126,'vehicles specifications'!$F63,'fuels and tailpipe emissions'!$B$10:$B$126,'vehicles specifications'!CE$2)/1000*$AQ63</f>
        <v>2.2875971334575738E-8</v>
      </c>
      <c r="CF63" s="7">
        <f>SUMIFS('fuels and tailpipe emissions'!$G$10:$G$126,'fuels and tailpipe emissions'!$A$10:$A$126,'vehicles specifications'!$F63,'fuels and tailpipe emissions'!$B$10:$B$126,'vehicles specifications'!CF$2)/1000*$AQ63</f>
        <v>4.575194266915146E-11</v>
      </c>
      <c r="CG63" s="7">
        <f>SUMIFS('fuels and tailpipe emissions'!$G$10:$G$126,'fuels and tailpipe emissions'!$A$10:$A$126,'vehicles specifications'!$F63,'fuels and tailpipe emissions'!$B$10:$B$126,'vehicles specifications'!CG$2)/1000*$AQ63</f>
        <v>1.2438809413175553E-8</v>
      </c>
      <c r="CH63" s="7">
        <f>SUMIFS('fuels and tailpipe emissions'!$G$10:$G$126,'fuels and tailpipe emissions'!$A$10:$A$126,'vehicles specifications'!$F63,'fuels and tailpipe emissions'!$B$10:$B$126,'vehicles specifications'!CH$2)/1000*$AQ63</f>
        <v>1.5441280650838619E-8</v>
      </c>
      <c r="CI63" s="7">
        <f>VLOOKUP(B63,'abrasion emissions'!$A$4:$D$32,4,FALSE)</f>
        <v>6.0000000000000002E-6</v>
      </c>
      <c r="CJ63" s="7">
        <f>VLOOKUP(B63,'abrasion emissions'!$A$4:$D$32,2,FALSE)</f>
        <v>7.3669999999999991E-6</v>
      </c>
      <c r="CK63" s="7">
        <f>VLOOKUP(B63,'abrasion emissions'!$A$4:$D$32,3,FALSE)</f>
        <v>8.3499999999999997E-6</v>
      </c>
    </row>
    <row r="64" spans="1:89" x14ac:dyDescent="0.3">
      <c r="A64" t="str">
        <f t="shared" si="35"/>
        <v>Motorbike, gasoline, 11-35kW, EURO-5 - 2050 - CH</v>
      </c>
      <c r="B64" t="s">
        <v>696</v>
      </c>
      <c r="D64">
        <v>2050</v>
      </c>
      <c r="E64" t="s">
        <v>37</v>
      </c>
      <c r="F64" t="s">
        <v>149</v>
      </c>
      <c r="G64" t="s">
        <v>39</v>
      </c>
      <c r="H64" t="s">
        <v>35</v>
      </c>
      <c r="J64" s="21">
        <v>62100</v>
      </c>
      <c r="K64" s="21">
        <v>4592</v>
      </c>
      <c r="L64" s="2">
        <f t="shared" si="36"/>
        <v>13.523519163763066</v>
      </c>
      <c r="M64">
        <v>1.1000000000000001</v>
      </c>
      <c r="N64">
        <v>70</v>
      </c>
      <c r="O64">
        <v>6</v>
      </c>
      <c r="P64" s="2">
        <f t="shared" si="13"/>
        <v>150.26749999999998</v>
      </c>
      <c r="Q64" s="2">
        <f t="shared" si="37"/>
        <v>233.26749999999998</v>
      </c>
      <c r="R64" s="21">
        <v>20</v>
      </c>
      <c r="S64" s="2">
        <v>81</v>
      </c>
      <c r="T64" s="1">
        <v>7.0000000000000007E-2</v>
      </c>
      <c r="U64" s="2">
        <f t="shared" si="32"/>
        <v>75.33</v>
      </c>
      <c r="V64" s="2">
        <v>62</v>
      </c>
      <c r="W64" s="2">
        <v>0</v>
      </c>
      <c r="X64" s="3">
        <v>0</v>
      </c>
      <c r="Y64" s="1">
        <v>0.8</v>
      </c>
      <c r="Z64" s="3">
        <f t="shared" si="38"/>
        <v>0</v>
      </c>
      <c r="AA64" s="3">
        <v>0</v>
      </c>
      <c r="AB64" s="3">
        <v>0</v>
      </c>
      <c r="AC64" s="3">
        <f t="shared" si="39"/>
        <v>0</v>
      </c>
      <c r="AD64" s="3">
        <v>0</v>
      </c>
      <c r="AE64" s="3">
        <v>15</v>
      </c>
      <c r="AF64">
        <f>AE64*'fuels and tailpipe emissions'!$B$3</f>
        <v>11.25</v>
      </c>
      <c r="AG64" s="2">
        <f>AF64*'fuels and tailpipe emissions'!$C$3</f>
        <v>132.5</v>
      </c>
      <c r="AH64" s="3">
        <f t="shared" si="33"/>
        <v>1.6875</v>
      </c>
      <c r="AI64" s="3">
        <v>0</v>
      </c>
      <c r="AJ64" s="3">
        <v>0</v>
      </c>
      <c r="AK64">
        <f t="shared" si="30"/>
        <v>1.242</v>
      </c>
      <c r="AL64">
        <f t="shared" si="15"/>
        <v>1.252646475E-4</v>
      </c>
      <c r="AM64">
        <v>1.2899999999999999E-3</v>
      </c>
      <c r="AN64" s="2">
        <f t="shared" si="40"/>
        <v>75.33</v>
      </c>
      <c r="AO64" s="2">
        <f t="shared" si="41"/>
        <v>62</v>
      </c>
      <c r="AP64" s="2">
        <f t="shared" si="42"/>
        <v>0</v>
      </c>
      <c r="AQ64" s="6">
        <v>1.4154507263268734</v>
      </c>
      <c r="AR64" s="6" t="str">
        <f>IF($H64="BEV",SUMPRODUCT(#REF!,#REF!),"")</f>
        <v/>
      </c>
      <c r="AS64" s="2">
        <f>SUM(Z64,AG64)/(SUM(AQ64:AR64)/3.6)</f>
        <v>336.99512892110755</v>
      </c>
      <c r="AT64" s="5">
        <f>IF($H64="ICEV-p",$AQ64/('fuels and tailpipe emissions'!$C$3*3.6)*'fuels and tailpipe emissions'!$D$3,"")</f>
        <v>0.10615880447451551</v>
      </c>
      <c r="AU64" s="7">
        <f>IF($H64="ICEV-p",$AQ64/('fuels and tailpipe emissions'!$C$3*3.6)*'fuels and tailpipe emissions'!$E$3,"")</f>
        <v>5.3413234955731065E-7</v>
      </c>
      <c r="AV64" s="7">
        <f>SUMIFS('fuels and tailpipe emissions'!$G$10:$G$126,'fuels and tailpipe emissions'!$A$10:$A$126,'vehicles specifications'!$F64,'fuels and tailpipe emissions'!$B$10:$B$126,'vehicles specifications'!AV$2)/1000*$AQ64</f>
        <v>1.0790561098847618E-6</v>
      </c>
      <c r="AW64" s="7">
        <f>SUMIFS('fuels and tailpipe emissions'!$G$10:$G$126,'fuels and tailpipe emissions'!$A$10:$A$126,'vehicles specifications'!$F64,'fuels and tailpipe emissions'!$B$10:$B$126,'vehicles specifications'!AW$2)/1000*$AQ64</f>
        <v>2.6606334474823498E-5</v>
      </c>
      <c r="AX64" s="7">
        <f>SUMIFS('fuels and tailpipe emissions'!$G$10:$G$126,'fuels and tailpipe emissions'!$A$10:$A$126,'vehicles specifications'!$F64,'fuels and tailpipe emissions'!$B$10:$B$126,'vehicles specifications'!AX$2)/1000*$AQ64</f>
        <v>1.1812665535199882E-4</v>
      </c>
      <c r="AY64" s="7">
        <f>SUMIFS('fuels and tailpipe emissions'!$G$10:$G$126,'fuels and tailpipe emissions'!$A$10:$A$126,'vehicles specifications'!$F64,'fuels and tailpipe emissions'!$B$10:$B$126,'vehicles specifications'!AY$2)/1000*$AQ64</f>
        <v>8.0019051052100739E-7</v>
      </c>
      <c r="AZ64" s="7">
        <f>SUMIFS('fuels and tailpipe emissions'!$G$10:$G$126,'fuels and tailpipe emissions'!$A$10:$A$126,'vehicles specifications'!$F64,'fuels and tailpipe emissions'!$B$10:$B$126,'vehicles specifications'!AZ$2)/1000*$AQ64</f>
        <v>8.0019051052100739E-7</v>
      </c>
      <c r="BA64" s="7">
        <f>SUMIFS('fuels and tailpipe emissions'!$G$10:$G$126,'fuels and tailpipe emissions'!$A$10:$A$126,'vehicles specifications'!$F64,'fuels and tailpipe emissions'!$B$10:$B$126,'vehicles specifications'!BA$2)/1000*$AQ64</f>
        <v>8.7220273353176207E-6</v>
      </c>
      <c r="BB64" s="7">
        <f>SUMIFS('fuels and tailpipe emissions'!$G$10:$G$126,'fuels and tailpipe emissions'!$A$10:$A$126,'vehicles specifications'!$F64,'fuels and tailpipe emissions'!$B$10:$B$126,'vehicles specifications'!BB$2)/1000*$AQ64</f>
        <v>2.0004762763025187E-6</v>
      </c>
      <c r="BC64" s="7">
        <f>SUMIFS('fuels and tailpipe emissions'!$G$10:$G$126,'fuels and tailpipe emissions'!$A$10:$A$126,'vehicles specifications'!$F64,'fuels and tailpipe emissions'!$B$10:$B$126,'vehicles specifications'!BC$2)/1000*$AQ64</f>
        <v>8.7016931214236427E-6</v>
      </c>
      <c r="BD64" s="7">
        <f>SUMIFS('fuels and tailpipe emissions'!$G$10:$G$126,'fuels and tailpipe emissions'!$A$10:$A$126,'vehicles specifications'!$F64,'fuels and tailpipe emissions'!$B$10:$B$126,'vehicles specifications'!BD$2)/1000*$AQ64</f>
        <v>6.1358092522859004E-7</v>
      </c>
      <c r="BE64" s="7">
        <f>SUMIFS('fuels and tailpipe emissions'!$G$10:$G$126,'fuels and tailpipe emissions'!$A$10:$A$126,'vehicles specifications'!$F64,'fuels and tailpipe emissions'!$B$10:$B$126,'vehicles specifications'!BE$2)/1000*$AQ64</f>
        <v>1.2502432645723621E-7</v>
      </c>
      <c r="BF64" s="7">
        <f>SUMIFS('fuels and tailpipe emissions'!$G$10:$G$126,'fuels and tailpipe emissions'!$A$10:$A$126,'vehicles specifications'!$F64,'fuels and tailpipe emissions'!$B$10:$B$126,'vehicles specifications'!BF$2)/1000*$AQ64</f>
        <v>1.0078884163629505E-6</v>
      </c>
      <c r="BG64" s="7">
        <f>SUMIFS('fuels and tailpipe emissions'!$G$10:$G$126,'fuels and tailpipe emissions'!$A$10:$A$126,'vehicles specifications'!$F64,'fuels and tailpipe emissions'!$B$10:$B$126,'vehicles specifications'!BG$2)/1000*$AQ64</f>
        <v>4.1354200289701212E-7</v>
      </c>
      <c r="BH64" s="7">
        <f>SUMIFS('fuels and tailpipe emissions'!$G$10:$G$126,'fuels and tailpipe emissions'!$A$10:$A$126,'vehicles specifications'!$F64,'fuels and tailpipe emissions'!$B$10:$B$126,'vehicles specifications'!BH$2)/1000*$AQ64</f>
        <v>3.0967563937869277E-7</v>
      </c>
      <c r="BI64" s="7">
        <f>SUMIFS('fuels and tailpipe emissions'!$G$10:$G$126,'fuels and tailpipe emissions'!$A$10:$A$126,'vehicles specifications'!$F64,'fuels and tailpipe emissions'!$B$10:$B$126,'vehicles specifications'!BI$2)/1000*$AQ64</f>
        <v>2.1927343409422966E-7</v>
      </c>
      <c r="BJ64" s="7">
        <f>SUMIFS('fuels and tailpipe emissions'!$G$10:$G$126,'fuels and tailpipe emissions'!$A$10:$A$126,'vehicles specifications'!$F64,'fuels and tailpipe emissions'!$B$10:$B$126,'vehicles specifications'!BJ$2)/1000*$AQ64</f>
        <v>1.4233538704362279E-7</v>
      </c>
      <c r="BK64" s="7">
        <f>SUMIFS('fuels and tailpipe emissions'!$G$10:$G$126,'fuels and tailpipe emissions'!$A$10:$A$126,'vehicles specifications'!$F64,'fuels and tailpipe emissions'!$B$10:$B$126,'vehicles specifications'!BK$2)/1000*$AQ64</f>
        <v>1.404119358673576E-6</v>
      </c>
      <c r="BL64" s="7">
        <f>SUMIFS('fuels and tailpipe emissions'!$G$10:$G$126,'fuels and tailpipe emissions'!$A$10:$A$126,'vehicles specifications'!$F64,'fuels and tailpipe emissions'!$B$10:$B$126,'vehicles specifications'!BL$2)/1000*$AQ64</f>
        <v>7.3475834933329586E-7</v>
      </c>
      <c r="BM64" s="7">
        <f>SUMIFS('fuels and tailpipe emissions'!$G$10:$G$126,'fuels and tailpipe emissions'!$A$10:$A$126,'vehicles specifications'!$F64,'fuels and tailpipe emissions'!$B$10:$B$126,'vehicles specifications'!BM$2)/1000*$AQ64</f>
        <v>2.1157962938916902E-8</v>
      </c>
      <c r="BN64" s="7">
        <f>SUMIFS('fuels and tailpipe emissions'!$G$10:$G$126,'fuels and tailpipe emissions'!$A$10:$A$126,'vehicles specifications'!$F64,'fuels and tailpipe emissions'!$B$10:$B$126,'vehicles specifications'!BN$2)/1000*$AQ64</f>
        <v>1.0790561098847618E-6</v>
      </c>
      <c r="BO64" s="7">
        <f>SUMIFS('fuels and tailpipe emissions'!$G$10:$G$126,'fuels and tailpipe emissions'!$A$10:$A$126,'vehicles specifications'!$F64,'fuels and tailpipe emissions'!$B$10:$B$126,'vehicles specifications'!BO$2)/1000*$AQ64</f>
        <v>2.1119493915391591E-6</v>
      </c>
      <c r="BP64" s="7">
        <f>SUMIFS('fuels and tailpipe emissions'!$G$10:$G$126,'fuels and tailpipe emissions'!$A$10:$A$126,'vehicles specifications'!$F64,'fuels and tailpipe emissions'!$B$10:$B$126,'vehicles specifications'!BP$2)/1000*$AQ64</f>
        <v>1.0444339887119887E-6</v>
      </c>
      <c r="BQ64" s="7">
        <f>SUMIFS('fuels and tailpipe emissions'!$G$10:$G$126,'fuels and tailpipe emissions'!$A$10:$A$126,'vehicles specifications'!$F64,'fuels and tailpipe emissions'!$B$10:$B$126,'vehicles specifications'!BQ$2)/1000*$AQ64</f>
        <v>4.3469996583592895E-7</v>
      </c>
      <c r="BR64" s="7">
        <f>SUMIFS('fuels and tailpipe emissions'!$G$10:$G$126,'fuels and tailpipe emissions'!$A$10:$A$126,'vehicles specifications'!$F64,'fuels and tailpipe emissions'!$B$10:$B$126,'vehicles specifications'!BR$2)/1000*$AQ64</f>
        <v>3.2698669996507936E-7</v>
      </c>
      <c r="BS64" s="7">
        <f>SUMIFS('fuels and tailpipe emissions'!$G$10:$G$126,'fuels and tailpipe emissions'!$A$10:$A$126,'vehicles specifications'!$F64,'fuels and tailpipe emissions'!$B$10:$B$126,'vehicles specifications'!BS$2)/1000*$AQ64</f>
        <v>1.4425883821988794E-7</v>
      </c>
      <c r="BT64" s="7">
        <f>SUMIFS('fuels and tailpipe emissions'!$G$10:$G$126,'fuels and tailpipe emissions'!$A$10:$A$126,'vehicles specifications'!$F64,'fuels and tailpipe emissions'!$B$10:$B$126,'vehicles specifications'!BT$2)/1000*$AQ64</f>
        <v>4.2315925877833804E-8</v>
      </c>
      <c r="BU64" s="7">
        <f>SUMIFS('fuels and tailpipe emissions'!$G$10:$G$126,'fuels and tailpipe emissions'!$A$10:$A$126,'vehicles specifications'!$F64,'fuels and tailpipe emissions'!$B$10:$B$126,'vehicles specifications'!BU$2)/1000*$AQ64</f>
        <v>1.1733052175217554E-7</v>
      </c>
      <c r="BV64" s="7">
        <f>SUMIFS('fuels and tailpipe emissions'!$G$10:$G$126,'fuels and tailpipe emissions'!$A$10:$A$126,'vehicles specifications'!$F64,'fuels and tailpipe emissions'!$B$10:$B$126,'vehicles specifications'!BV$2)/1000*$AQ64</f>
        <v>0</v>
      </c>
      <c r="BW64" s="7">
        <f>SUMIFS('fuels and tailpipe emissions'!$G$10:$G$126,'fuels and tailpipe emissions'!$A$10:$A$126,'vehicles specifications'!$F64,'fuels and tailpipe emissions'!$B$10:$B$126,'vehicles specifications'!BW$2)/1000*$AQ64</f>
        <v>3.654557234903828E-8</v>
      </c>
      <c r="BX64" s="7">
        <f>SUMIFS('fuels and tailpipe emissions'!$G$10:$G$126,'fuels and tailpipe emissions'!$A$10:$A$126,'vehicles specifications'!$F64,'fuels and tailpipe emissions'!$B$10:$B$126,'vehicles specifications'!BX$2)/1000*$AQ64</f>
        <v>1.9426856880278244E-7</v>
      </c>
      <c r="BY64" s="7">
        <f>SUMIFS('fuels and tailpipe emissions'!$G$10:$G$126,'fuels and tailpipe emissions'!$A$10:$A$126,'vehicles specifications'!$F64,'fuels and tailpipe emissions'!$B$10:$B$126,'vehicles specifications'!BY$2)/1000*$AQ64</f>
        <v>4.9257685276175197E-8</v>
      </c>
      <c r="BZ64" s="7">
        <f>SUMIFS('fuels and tailpipe emissions'!$G$10:$G$126,'fuels and tailpipe emissions'!$A$10:$A$126,'vehicles specifications'!$F64,'fuels and tailpipe emissions'!$B$10:$B$126,'vehicles specifications'!BZ$2)/1000*$AQ64</f>
        <v>4.24635217898062E-10</v>
      </c>
      <c r="CA64" s="7">
        <f>SUMIFS('fuels and tailpipe emissions'!$G$10:$G$126,'fuels and tailpipe emissions'!$A$10:$A$126,'vehicles specifications'!$F64,'fuels and tailpipe emissions'!$B$10:$B$126,'vehicles specifications'!CA$2)/1000*$AQ64</f>
        <v>2.8309014526537472E-10</v>
      </c>
      <c r="CB64" s="7">
        <f>SUMIFS('fuels and tailpipe emissions'!$G$10:$G$126,'fuels and tailpipe emissions'!$A$10:$A$126,'vehicles specifications'!$F64,'fuels and tailpipe emissions'!$B$10:$B$126,'vehicles specifications'!CB$2)/1000*$AQ64</f>
        <v>3.0573735688660467E-6</v>
      </c>
      <c r="CC64" s="7">
        <f>SUMIFS('fuels and tailpipe emissions'!$G$10:$G$126,'fuels and tailpipe emissions'!$A$10:$A$126,'vehicles specifications'!$F64,'fuels and tailpipe emissions'!$B$10:$B$126,'vehicles specifications'!CC$2)/1000*$AQ64</f>
        <v>5.944893050572868E-8</v>
      </c>
      <c r="CD64" s="7">
        <f>SUMIFS('fuels and tailpipe emissions'!$G$10:$G$126,'fuels and tailpipe emissions'!$A$10:$A$126,'vehicles specifications'!$F64,'fuels and tailpipe emissions'!$B$10:$B$126,'vehicles specifications'!CD$2)/1000*$AQ64</f>
        <v>1.8400859442249354E-8</v>
      </c>
      <c r="CE64" s="7">
        <f>SUMIFS('fuels and tailpipe emissions'!$G$10:$G$126,'fuels and tailpipe emissions'!$A$10:$A$126,'vehicles specifications'!$F64,'fuels and tailpipe emissions'!$B$10:$B$126,'vehicles specifications'!CE$2)/1000*$AQ64</f>
        <v>2.264721162122998E-8</v>
      </c>
      <c r="CF64" s="7">
        <f>SUMIFS('fuels and tailpipe emissions'!$G$10:$G$126,'fuels and tailpipe emissions'!$A$10:$A$126,'vehicles specifications'!$F64,'fuels and tailpipe emissions'!$B$10:$B$126,'vehicles specifications'!CF$2)/1000*$AQ64</f>
        <v>4.529442324245995E-11</v>
      </c>
      <c r="CG64" s="7">
        <f>SUMIFS('fuels and tailpipe emissions'!$G$10:$G$126,'fuels and tailpipe emissions'!$A$10:$A$126,'vehicles specifications'!$F64,'fuels and tailpipe emissions'!$B$10:$B$126,'vehicles specifications'!CG$2)/1000*$AQ64</f>
        <v>1.2314421319043799E-8</v>
      </c>
      <c r="CH64" s="7">
        <f>SUMIFS('fuels and tailpipe emissions'!$G$10:$G$126,'fuels and tailpipe emissions'!$A$10:$A$126,'vehicles specifications'!$F64,'fuels and tailpipe emissions'!$B$10:$B$126,'vehicles specifications'!CH$2)/1000*$AQ64</f>
        <v>1.5286867844330234E-8</v>
      </c>
      <c r="CI64" s="7">
        <f>VLOOKUP(B64,'abrasion emissions'!$A$4:$D$32,4,FALSE)</f>
        <v>6.0000000000000002E-6</v>
      </c>
      <c r="CJ64" s="7">
        <f>VLOOKUP(B64,'abrasion emissions'!$A$4:$D$32,2,FALSE)</f>
        <v>7.3669999999999991E-6</v>
      </c>
      <c r="CK64" s="7">
        <f>VLOOKUP(B64,'abrasion emissions'!$A$4:$D$32,3,FALSE)</f>
        <v>8.3499999999999997E-6</v>
      </c>
    </row>
    <row r="65" spans="1:89" x14ac:dyDescent="0.3">
      <c r="A65" t="str">
        <f t="shared" si="35"/>
        <v>Motorbike, gasoline, &gt;35kW, EURO-3 - 2006 - CH</v>
      </c>
      <c r="B65" t="s">
        <v>703</v>
      </c>
      <c r="D65">
        <v>2006</v>
      </c>
      <c r="E65" t="s">
        <v>37</v>
      </c>
      <c r="F65" t="s">
        <v>147</v>
      </c>
      <c r="G65" t="s">
        <v>39</v>
      </c>
      <c r="H65" t="s">
        <v>35</v>
      </c>
      <c r="J65" s="21">
        <v>62100</v>
      </c>
      <c r="K65" s="21">
        <v>4592</v>
      </c>
      <c r="L65" s="2">
        <f t="shared" si="36"/>
        <v>13.523519163763066</v>
      </c>
      <c r="M65">
        <v>1.1000000000000001</v>
      </c>
      <c r="N65">
        <v>70</v>
      </c>
      <c r="O65">
        <v>6</v>
      </c>
      <c r="P65" s="2">
        <f t="shared" si="13"/>
        <v>262.07499999999999</v>
      </c>
      <c r="Q65" s="2">
        <f t="shared" si="37"/>
        <v>345.07499999999999</v>
      </c>
      <c r="R65">
        <v>91</v>
      </c>
      <c r="S65" s="2">
        <v>111</v>
      </c>
      <c r="T65" s="1">
        <v>-0.05</v>
      </c>
      <c r="U65" s="2">
        <f t="shared" si="32"/>
        <v>116.55000000000001</v>
      </c>
      <c r="V65" s="2">
        <v>130</v>
      </c>
      <c r="W65" s="2">
        <v>0</v>
      </c>
      <c r="X65" s="3">
        <v>0</v>
      </c>
      <c r="Y65" s="1">
        <v>0.8</v>
      </c>
      <c r="Z65" s="3">
        <f t="shared" si="38"/>
        <v>0</v>
      </c>
      <c r="AA65" s="3">
        <v>0</v>
      </c>
      <c r="AB65" s="3">
        <v>0</v>
      </c>
      <c r="AC65" s="3">
        <f t="shared" si="39"/>
        <v>0</v>
      </c>
      <c r="AD65" s="3">
        <v>0</v>
      </c>
      <c r="AE65" s="3">
        <v>18</v>
      </c>
      <c r="AF65">
        <f>AE65*'fuels and tailpipe emissions'!$B$3</f>
        <v>13.5</v>
      </c>
      <c r="AG65" s="2">
        <f>AF65*'fuels and tailpipe emissions'!$C$3</f>
        <v>159</v>
      </c>
      <c r="AH65" s="3">
        <f t="shared" si="33"/>
        <v>2.0249999999999999</v>
      </c>
      <c r="AI65" s="3">
        <v>0</v>
      </c>
      <c r="AJ65" s="3">
        <v>0</v>
      </c>
      <c r="AK65">
        <f t="shared" si="30"/>
        <v>1.242</v>
      </c>
      <c r="AL65">
        <f t="shared" si="15"/>
        <v>1.8530527499999999E-4</v>
      </c>
      <c r="AM65">
        <v>1.2899999999999999E-3</v>
      </c>
      <c r="AN65" s="2">
        <f t="shared" si="40"/>
        <v>116.55000000000001</v>
      </c>
      <c r="AO65" s="2">
        <f t="shared" si="41"/>
        <v>130</v>
      </c>
      <c r="AP65" s="2">
        <f t="shared" si="42"/>
        <v>0</v>
      </c>
      <c r="AQ65" s="6">
        <v>1.9734383163842311</v>
      </c>
      <c r="AR65" s="6" t="str">
        <f>IF($H65="BEV",SUMPRODUCT(#REF!,#REF!),"")</f>
        <v/>
      </c>
      <c r="AS65" s="2">
        <f>SUM(Z65,AG65)/(SUM(AQ65:AR65)/3.6)</f>
        <v>290.05213654144586</v>
      </c>
      <c r="AT65" s="5">
        <f>IF($H65="ICEV-p",$AQ65/('fuels and tailpipe emissions'!$C$3*3.6)*'fuels and tailpipe emissions'!$D$3,"")</f>
        <v>0.14800787372881735</v>
      </c>
      <c r="AU65" s="7">
        <f>IF($H65="ICEV-p",$AQ65/('fuels and tailpipe emissions'!$C$3*3.6)*'fuels and tailpipe emissions'!$E$3,"")</f>
        <v>7.4469370429593623E-7</v>
      </c>
      <c r="AV65" s="7">
        <f>SUMIFS('fuels and tailpipe emissions'!$H$10:$H$126,'fuels and tailpipe emissions'!$A$10:$A$126,'vehicles specifications'!$F65,'fuels and tailpipe emissions'!$B$10:$B$126,'vehicles specifications'!AV$2)/1000*$AQ65</f>
        <v>7.237951507199054E-6</v>
      </c>
      <c r="AW65" s="7">
        <f>SUMIFS('fuels and tailpipe emissions'!$H$10:$H$126,'fuels and tailpipe emissions'!$A$10:$A$126,'vehicles specifications'!$F65,'fuels and tailpipe emissions'!$B$10:$B$126,'vehicles specifications'!AW$2)/1000*$AQ65</f>
        <v>1.6720380300830153E-5</v>
      </c>
      <c r="AX65" s="7">
        <f>SUMIFS('fuels and tailpipe emissions'!$H$10:$H$126,'fuels and tailpipe emissions'!$A$10:$A$126,'vehicles specifications'!$F65,'fuels and tailpipe emissions'!$B$10:$B$126,'vehicles specifications'!AX$2)/1000*$AQ65</f>
        <v>2.9373204293002417E-4</v>
      </c>
      <c r="AY65" s="7">
        <f>SUMIFS('fuels and tailpipe emissions'!$H$10:$H$126,'fuels and tailpipe emissions'!$A$10:$A$126,'vehicles specifications'!$F65,'fuels and tailpipe emissions'!$B$10:$B$126,'vehicles specifications'!AY$2)/1000*$AQ65</f>
        <v>8.8002001583316587E-7</v>
      </c>
      <c r="AZ65" s="7">
        <f>SUMIFS('fuels and tailpipe emissions'!$H$10:$H$126,'fuels and tailpipe emissions'!$A$10:$A$126,'vehicles specifications'!$F65,'fuels and tailpipe emissions'!$B$10:$B$126,'vehicles specifications'!AZ$2)/1000*$AQ65</f>
        <v>8.8002001583316587E-7</v>
      </c>
      <c r="BA65" s="7">
        <f>SUMIFS('fuels and tailpipe emissions'!$H$10:$H$126,'fuels and tailpipe emissions'!$A$10:$A$126,'vehicles specifications'!$F65,'fuels and tailpipe emissions'!$B$10:$B$126,'vehicles specifications'!BA$2)/1000*$AQ65</f>
        <v>3.1128530669022286E-5</v>
      </c>
      <c r="BB65" s="7">
        <f>SUMIFS('fuels and tailpipe emissions'!$H$10:$H$126,'fuels and tailpipe emissions'!$A$10:$A$126,'vehicles specifications'!$F65,'fuels and tailpipe emissions'!$B$10:$B$126,'vehicles specifications'!BB$2)/1000*$AQ65</f>
        <v>2.2000500395829146E-6</v>
      </c>
      <c r="BC65" s="7">
        <f>SUMIFS('fuels and tailpipe emissions'!$H$10:$H$126,'fuels and tailpipe emissions'!$A$10:$A$126,'vehicles specifications'!$F65,'fuels and tailpipe emissions'!$B$10:$B$126,'vehicles specifications'!BC$2)/1000*$AQ65</f>
        <v>5.8368079533990228E-5</v>
      </c>
      <c r="BD65" s="7">
        <f>SUMIFS('fuels and tailpipe emissions'!$H$10:$H$126,'fuels and tailpipe emissions'!$A$10:$A$126,'vehicles specifications'!$F65,'fuels and tailpipe emissions'!$B$10:$B$126,'vehicles specifications'!BD$2)/1000*$AQ65</f>
        <v>4.1156979158582854E-6</v>
      </c>
      <c r="BE65" s="7">
        <f>SUMIFS('fuels and tailpipe emissions'!$H$10:$H$126,'fuels and tailpipe emissions'!$A$10:$A$126,'vehicles specifications'!$F65,'fuels and tailpipe emissions'!$B$10:$B$126,'vehicles specifications'!BE$2)/1000*$AQ65</f>
        <v>8.3862183238491708E-7</v>
      </c>
      <c r="BF65" s="7">
        <f>SUMIFS('fuels and tailpipe emissions'!$H$10:$H$126,'fuels and tailpipe emissions'!$A$10:$A$126,'vehicles specifications'!$F65,'fuels and tailpipe emissions'!$B$10:$B$126,'vehicles specifications'!BF$2)/1000*$AQ65</f>
        <v>6.7605821564568703E-6</v>
      </c>
      <c r="BG65" s="7">
        <f>SUMIFS('fuels and tailpipe emissions'!$H$10:$H$126,'fuels and tailpipe emissions'!$A$10:$A$126,'vehicles specifications'!$F65,'fuels and tailpipe emissions'!$B$10:$B$126,'vehicles specifications'!BG$2)/1000*$AQ65</f>
        <v>2.7739029840424182E-6</v>
      </c>
      <c r="BH65" s="7">
        <f>SUMIFS('fuels and tailpipe emissions'!$H$10:$H$126,'fuels and tailpipe emissions'!$A$10:$A$126,'vehicles specifications'!$F65,'fuels and tailpipe emissions'!$B$10:$B$126,'vehicles specifications'!BH$2)/1000*$AQ65</f>
        <v>2.0772017694457178E-6</v>
      </c>
      <c r="BI65" s="7">
        <f>SUMIFS('fuels and tailpipe emissions'!$H$10:$H$126,'fuels and tailpipe emissions'!$A$10:$A$126,'vehicles specifications'!$F65,'fuels and tailpipe emissions'!$B$10:$B$126,'vehicles specifications'!BI$2)/1000*$AQ65</f>
        <v>1.4708136752597006E-6</v>
      </c>
      <c r="BJ65" s="7">
        <f>SUMIFS('fuels and tailpipe emissions'!$H$10:$H$126,'fuels and tailpipe emissions'!$A$10:$A$126,'vehicles specifications'!$F65,'fuels and tailpipe emissions'!$B$10:$B$126,'vehicles specifications'!BJ$2)/1000*$AQ65</f>
        <v>9.5473870148436736E-7</v>
      </c>
      <c r="BK65" s="7">
        <f>SUMIFS('fuels and tailpipe emissions'!$H$10:$H$126,'fuels and tailpipe emissions'!$A$10:$A$126,'vehicles specifications'!$F65,'fuels and tailpipe emissions'!$B$10:$B$126,'vehicles specifications'!BK$2)/1000*$AQ65</f>
        <v>9.4183682713998361E-6</v>
      </c>
      <c r="BL65" s="7">
        <f>SUMIFS('fuels and tailpipe emissions'!$H$10:$H$126,'fuels and tailpipe emissions'!$A$10:$A$126,'vehicles specifications'!$F65,'fuels and tailpipe emissions'!$B$10:$B$126,'vehicles specifications'!BL$2)/1000*$AQ65</f>
        <v>4.928515999554436E-6</v>
      </c>
      <c r="BM65" s="7">
        <f>SUMIFS('fuels and tailpipe emissions'!$H$10:$H$126,'fuels and tailpipe emissions'!$A$10:$A$126,'vehicles specifications'!$F65,'fuels and tailpipe emissions'!$B$10:$B$126,'vehicles specifications'!BM$2)/1000*$AQ65</f>
        <v>1.4192061778821673E-7</v>
      </c>
      <c r="BN65" s="7">
        <f>SUMIFS('fuels and tailpipe emissions'!$H$10:$H$126,'fuels and tailpipe emissions'!$A$10:$A$126,'vehicles specifications'!$F65,'fuels and tailpipe emissions'!$B$10:$B$126,'vehicles specifications'!BN$2)/1000*$AQ65</f>
        <v>7.237951507199054E-6</v>
      </c>
      <c r="BO65" s="7">
        <f>SUMIFS('fuels and tailpipe emissions'!$H$10:$H$126,'fuels and tailpipe emissions'!$A$10:$A$126,'vehicles specifications'!$F65,'fuels and tailpipe emissions'!$B$10:$B$126,'vehicles specifications'!BO$2)/1000*$AQ65</f>
        <v>1.4166258030132906E-5</v>
      </c>
      <c r="BP65" s="7">
        <f>SUMIFS('fuels and tailpipe emissions'!$H$10:$H$126,'fuels and tailpipe emissions'!$A$10:$A$126,'vehicles specifications'!$F65,'fuels and tailpipe emissions'!$B$10:$B$126,'vehicles specifications'!BP$2)/1000*$AQ65</f>
        <v>7.0057177690001534E-6</v>
      </c>
      <c r="BQ65" s="7">
        <f>SUMIFS('fuels and tailpipe emissions'!$H$10:$H$126,'fuels and tailpipe emissions'!$A$10:$A$126,'vehicles specifications'!$F65,'fuels and tailpipe emissions'!$B$10:$B$126,'vehicles specifications'!BQ$2)/1000*$AQ65</f>
        <v>2.9158236018306349E-6</v>
      </c>
      <c r="BR65" s="7">
        <f>SUMIFS('fuels and tailpipe emissions'!$H$10:$H$126,'fuels and tailpipe emissions'!$A$10:$A$126,'vehicles specifications'!$F65,'fuels and tailpipe emissions'!$B$10:$B$126,'vehicles specifications'!BR$2)/1000*$AQ65</f>
        <v>2.1933186385451676E-6</v>
      </c>
      <c r="BS65" s="7">
        <f>SUMIFS('fuels and tailpipe emissions'!$H$10:$H$126,'fuels and tailpipe emissions'!$A$10:$A$126,'vehicles specifications'!$F65,'fuels and tailpipe emissions'!$B$10:$B$126,'vehicles specifications'!BS$2)/1000*$AQ65</f>
        <v>9.6764057582875035E-7</v>
      </c>
      <c r="BT65" s="7">
        <f>SUMIFS('fuels and tailpipe emissions'!$H$10:$H$126,'fuels and tailpipe emissions'!$A$10:$A$126,'vehicles specifications'!$F65,'fuels and tailpipe emissions'!$B$10:$B$126,'vehicles specifications'!BT$2)/1000*$AQ65</f>
        <v>2.8384123557643346E-7</v>
      </c>
      <c r="BU65" s="7">
        <f>SUMIFS('fuels and tailpipe emissions'!$H$10:$H$126,'fuels and tailpipe emissions'!$A$10:$A$126,'vehicles specifications'!$F65,'fuels and tailpipe emissions'!$B$10:$B$126,'vehicles specifications'!BU$2)/1000*$AQ65</f>
        <v>7.8701433500738386E-7</v>
      </c>
      <c r="BV65" s="7">
        <f>SUMIFS('fuels and tailpipe emissions'!$H$10:$H$126,'fuels and tailpipe emissions'!$A$10:$A$126,'vehicles specifications'!$F65,'fuels and tailpipe emissions'!$B$10:$B$126,'vehicles specifications'!BV$2)/1000*$AQ65</f>
        <v>6.4509371721916699E-8</v>
      </c>
      <c r="BW65" s="7">
        <f>SUMIFS('fuels and tailpipe emissions'!$H$10:$H$126,'fuels and tailpipe emissions'!$A$10:$A$126,'vehicles specifications'!$F65,'fuels and tailpipe emissions'!$B$10:$B$126,'vehicles specifications'!BW$2)/1000*$AQ65</f>
        <v>2.4513561254328344E-7</v>
      </c>
      <c r="BX65" s="7">
        <f>SUMIFS('fuels and tailpipe emissions'!$H$10:$H$126,'fuels and tailpipe emissions'!$A$10:$A$126,'vehicles specifications'!$F65,'fuels and tailpipe emissions'!$B$10:$B$126,'vehicles specifications'!BX$2)/1000*$AQ65</f>
        <v>1.3030893087827173E-6</v>
      </c>
      <c r="BY65" s="7">
        <f>SUMIFS('fuels and tailpipe emissions'!$H$10:$H$126,'fuels and tailpipe emissions'!$A$10:$A$126,'vehicles specifications'!$F65,'fuels and tailpipe emissions'!$B$10:$B$126,'vehicles specifications'!BY$2)/1000*$AQ65</f>
        <v>6.8675653410171242E-8</v>
      </c>
      <c r="BZ65" s="7">
        <f>SUMIFS('fuels and tailpipe emissions'!$H$10:$H$126,'fuels and tailpipe emissions'!$A$10:$A$126,'vehicles specifications'!$F65,'fuels and tailpipe emissions'!$B$10:$B$126,'vehicles specifications'!BZ$2)/1000*$AQ65</f>
        <v>5.9203149491526932E-10</v>
      </c>
      <c r="CA65" s="7">
        <f>SUMIFS('fuels and tailpipe emissions'!$H$10:$H$126,'fuels and tailpipe emissions'!$A$10:$A$126,'vehicles specifications'!$F65,'fuels and tailpipe emissions'!$B$10:$B$126,'vehicles specifications'!CA$2)/1000*$AQ65</f>
        <v>3.9468766327684625E-10</v>
      </c>
      <c r="CB65" s="7">
        <f>SUMIFS('fuels and tailpipe emissions'!$H$10:$H$126,'fuels and tailpipe emissions'!$A$10:$A$126,'vehicles specifications'!$F65,'fuels and tailpipe emissions'!$B$10:$B$126,'vehicles specifications'!CB$2)/1000*$AQ65</f>
        <v>4.2626267633899395E-6</v>
      </c>
      <c r="CC65" s="7">
        <f>SUMIFS('fuels and tailpipe emissions'!$H$10:$H$126,'fuels and tailpipe emissions'!$A$10:$A$126,'vehicles specifications'!$F65,'fuels and tailpipe emissions'!$B$10:$B$126,'vehicles specifications'!CC$2)/1000*$AQ65</f>
        <v>8.2884409288137703E-8</v>
      </c>
      <c r="CD65" s="7">
        <f>SUMIFS('fuels and tailpipe emissions'!$H$10:$H$126,'fuels and tailpipe emissions'!$A$10:$A$126,'vehicles specifications'!$F65,'fuels and tailpipe emissions'!$B$10:$B$126,'vehicles specifications'!CD$2)/1000*$AQ65</f>
        <v>2.5654698112995006E-8</v>
      </c>
      <c r="CE65" s="7">
        <f>SUMIFS('fuels and tailpipe emissions'!$H$10:$H$126,'fuels and tailpipe emissions'!$A$10:$A$126,'vehicles specifications'!$F65,'fuels and tailpipe emissions'!$B$10:$B$126,'vehicles specifications'!CE$2)/1000*$AQ65</f>
        <v>3.1575013062147705E-8</v>
      </c>
      <c r="CF65" s="7">
        <f>SUMIFS('fuels and tailpipe emissions'!$H$10:$H$126,'fuels and tailpipe emissions'!$A$10:$A$126,'vehicles specifications'!$F65,'fuels and tailpipe emissions'!$B$10:$B$126,'vehicles specifications'!CF$2)/1000*$AQ65</f>
        <v>6.3150026124295389E-11</v>
      </c>
      <c r="CG65" s="7">
        <f>SUMIFS('fuels and tailpipe emissions'!$H$10:$H$126,'fuels and tailpipe emissions'!$A$10:$A$126,'vehicles specifications'!$F65,'fuels and tailpipe emissions'!$B$10:$B$126,'vehicles specifications'!CG$2)/1000*$AQ65</f>
        <v>1.7168913352542811E-8</v>
      </c>
      <c r="CH65" s="7">
        <f>SUMIFS('fuels and tailpipe emissions'!$H$10:$H$126,'fuels and tailpipe emissions'!$A$10:$A$126,'vehicles specifications'!$F65,'fuels and tailpipe emissions'!$B$10:$B$126,'vehicles specifications'!CH$2)/1000*$AQ65</f>
        <v>2.1313133816949698E-8</v>
      </c>
      <c r="CI65" s="7">
        <f>VLOOKUP(B65,'abrasion emissions'!$A$4:$D$32,4,FALSE)</f>
        <v>6.0000000000000002E-6</v>
      </c>
      <c r="CJ65" s="7">
        <f>VLOOKUP(B65,'abrasion emissions'!$A$4:$D$32,2,FALSE)</f>
        <v>7.3669999999999991E-6</v>
      </c>
      <c r="CK65" s="7">
        <f>VLOOKUP(B65,'abrasion emissions'!$A$4:$D$32,3,FALSE)</f>
        <v>8.3499999999999997E-6</v>
      </c>
    </row>
    <row r="66" spans="1:89" x14ac:dyDescent="0.3">
      <c r="A66" t="str">
        <f t="shared" si="35"/>
        <v>Motorbike, gasoline, &gt;35kW, EURO-4 - 2016 - CH</v>
      </c>
      <c r="B66" t="s">
        <v>704</v>
      </c>
      <c r="D66">
        <v>2016</v>
      </c>
      <c r="E66" t="s">
        <v>37</v>
      </c>
      <c r="F66" t="s">
        <v>148</v>
      </c>
      <c r="G66" t="s">
        <v>39</v>
      </c>
      <c r="H66" t="s">
        <v>35</v>
      </c>
      <c r="J66" s="21">
        <v>62100</v>
      </c>
      <c r="K66" s="21">
        <v>4592</v>
      </c>
      <c r="L66" s="2">
        <f t="shared" si="36"/>
        <v>13.523519163763066</v>
      </c>
      <c r="M66">
        <v>1.1000000000000001</v>
      </c>
      <c r="N66">
        <v>70</v>
      </c>
      <c r="O66">
        <v>6</v>
      </c>
      <c r="P66" s="2">
        <f t="shared" si="13"/>
        <v>258.745</v>
      </c>
      <c r="Q66" s="2">
        <f t="shared" si="37"/>
        <v>341.745</v>
      </c>
      <c r="R66">
        <v>91</v>
      </c>
      <c r="S66" s="2">
        <v>111</v>
      </c>
      <c r="T66" s="1">
        <v>-0.02</v>
      </c>
      <c r="U66" s="2">
        <f t="shared" si="32"/>
        <v>113.22</v>
      </c>
      <c r="V66" s="2">
        <v>130</v>
      </c>
      <c r="W66" s="2">
        <v>0</v>
      </c>
      <c r="X66" s="3">
        <v>0</v>
      </c>
      <c r="Y66" s="1">
        <v>0.8</v>
      </c>
      <c r="Z66" s="3">
        <f t="shared" si="38"/>
        <v>0</v>
      </c>
      <c r="AA66" s="3">
        <v>0</v>
      </c>
      <c r="AB66" s="3">
        <v>0</v>
      </c>
      <c r="AC66" s="3">
        <f t="shared" si="39"/>
        <v>0</v>
      </c>
      <c r="AD66" s="3">
        <v>0</v>
      </c>
      <c r="AE66" s="3">
        <v>18</v>
      </c>
      <c r="AF66">
        <f>AE66*'fuels and tailpipe emissions'!$B$3</f>
        <v>13.5</v>
      </c>
      <c r="AG66" s="2">
        <f>AF66*'fuels and tailpipe emissions'!$C$3</f>
        <v>159</v>
      </c>
      <c r="AH66" s="3">
        <f t="shared" si="33"/>
        <v>2.0249999999999999</v>
      </c>
      <c r="AI66" s="3">
        <v>0</v>
      </c>
      <c r="AJ66" s="3">
        <v>0</v>
      </c>
      <c r="AK66">
        <f t="shared" si="30"/>
        <v>1.242</v>
      </c>
      <c r="AL66">
        <f t="shared" si="15"/>
        <v>1.83517065E-4</v>
      </c>
      <c r="AM66">
        <v>1.2899999999999999E-3</v>
      </c>
      <c r="AN66" s="2">
        <f t="shared" si="40"/>
        <v>113.22</v>
      </c>
      <c r="AO66" s="2">
        <f t="shared" si="41"/>
        <v>130</v>
      </c>
      <c r="AP66" s="2">
        <f t="shared" si="42"/>
        <v>0</v>
      </c>
      <c r="AQ66" s="6">
        <v>1.953899323152704</v>
      </c>
      <c r="AR66" s="6" t="str">
        <f>IF($H66="BEV",SUMPRODUCT(#REF!,#REF!),"")</f>
        <v/>
      </c>
      <c r="AS66" s="2">
        <f>SUM(Z66,AG66)/(SUM(AQ66:AR66)/3.6)</f>
        <v>292.95265790686028</v>
      </c>
      <c r="AT66" s="5">
        <f>IF($H66="ICEV-p",$AQ66/('fuels and tailpipe emissions'!$C$3*3.6)*'fuels and tailpipe emissions'!$D$3,"")</f>
        <v>0.14654244923645282</v>
      </c>
      <c r="AU66" s="7">
        <f>IF($H66="ICEV-p",$AQ66/('fuels and tailpipe emissions'!$C$3*3.6)*'fuels and tailpipe emissions'!$E$3,"")</f>
        <v>7.3732049930290719E-7</v>
      </c>
      <c r="AV66" s="7">
        <f>SUMIFS('fuels and tailpipe emissions'!$H$10:$H$126,'fuels and tailpipe emissions'!$A$10:$A$126,'vehicles specifications'!$F66,'fuels and tailpipe emissions'!$B$10:$B$126,'vehicles specifications'!AV$2)/1000*$AQ66</f>
        <v>2.5284474658107934E-6</v>
      </c>
      <c r="AW66" s="7">
        <f>SUMIFS('fuels and tailpipe emissions'!$H$10:$H$126,'fuels and tailpipe emissions'!$A$10:$A$126,'vehicles specifications'!$F66,'fuels and tailpipe emissions'!$B$10:$B$126,'vehicles specifications'!AW$2)/1000*$AQ66</f>
        <v>2.0986931709545604E-5</v>
      </c>
      <c r="AX66" s="7">
        <f>SUMIFS('fuels and tailpipe emissions'!$H$10:$H$126,'fuels and tailpipe emissions'!$A$10:$A$126,'vehicles specifications'!$F66,'fuels and tailpipe emissions'!$B$10:$B$126,'vehicles specifications'!AX$2)/1000*$AQ66</f>
        <v>1.8591280332931159E-4</v>
      </c>
      <c r="AY66" s="7">
        <f>SUMIFS('fuels and tailpipe emissions'!$H$10:$H$126,'fuels and tailpipe emissions'!$A$10:$A$126,'vehicles specifications'!$F66,'fuels and tailpipe emissions'!$B$10:$B$126,'vehicles specifications'!AY$2)/1000*$AQ66</f>
        <v>1.1045753531339791E-6</v>
      </c>
      <c r="AZ66" s="7">
        <f>SUMIFS('fuels and tailpipe emissions'!$H$10:$H$126,'fuels and tailpipe emissions'!$A$10:$A$126,'vehicles specifications'!$F66,'fuels and tailpipe emissions'!$B$10:$B$126,'vehicles specifications'!AZ$2)/1000*$AQ66</f>
        <v>1.1045753531339791E-6</v>
      </c>
      <c r="BA66" s="7">
        <f>SUMIFS('fuels and tailpipe emissions'!$H$10:$H$126,'fuels and tailpipe emissions'!$A$10:$A$126,'vehicles specifications'!$F66,'fuels and tailpipe emissions'!$B$10:$B$126,'vehicles specifications'!BA$2)/1000*$AQ66</f>
        <v>1.3774566377073175E-5</v>
      </c>
      <c r="BB66" s="7">
        <f>SUMIFS('fuels and tailpipe emissions'!$H$10:$H$126,'fuels and tailpipe emissions'!$A$10:$A$126,'vehicles specifications'!$F66,'fuels and tailpipe emissions'!$B$10:$B$126,'vehicles specifications'!BB$2)/1000*$AQ66</f>
        <v>2.7614383828349475E-6</v>
      </c>
      <c r="BC66" s="7">
        <f>SUMIFS('fuels and tailpipe emissions'!$H$10:$H$126,'fuels and tailpipe emissions'!$A$10:$A$126,'vehicles specifications'!$F66,'fuels and tailpipe emissions'!$B$10:$B$126,'vehicles specifications'!BC$2)/1000*$AQ66</f>
        <v>2.0389833039800411E-5</v>
      </c>
      <c r="BD66" s="7">
        <f>SUMIFS('fuels and tailpipe emissions'!$H$10:$H$126,'fuels and tailpipe emissions'!$A$10:$A$126,'vehicles specifications'!$F66,'fuels and tailpipe emissions'!$B$10:$B$126,'vehicles specifications'!BD$2)/1000*$AQ66</f>
        <v>1.4377446374218237E-6</v>
      </c>
      <c r="BE66" s="7">
        <f>SUMIFS('fuels and tailpipe emissions'!$H$10:$H$126,'fuels and tailpipe emissions'!$A$10:$A$126,'vehicles specifications'!$F66,'fuels and tailpipe emissions'!$B$10:$B$126,'vehicles specifications'!BE$2)/1000*$AQ66</f>
        <v>2.9295737126150013E-7</v>
      </c>
      <c r="BF66" s="7">
        <f>SUMIFS('fuels and tailpipe emissions'!$H$10:$H$126,'fuels and tailpipe emissions'!$A$10:$A$126,'vehicles specifications'!$F66,'fuels and tailpipe emissions'!$B$10:$B$126,'vehicles specifications'!BF$2)/1000*$AQ66</f>
        <v>2.3616871160157862E-6</v>
      </c>
      <c r="BG66" s="7">
        <f>SUMIFS('fuels and tailpipe emissions'!$H$10:$H$126,'fuels and tailpipe emissions'!$A$10:$A$126,'vehicles specifications'!$F66,'fuels and tailpipe emissions'!$B$10:$B$126,'vehicles specifications'!BG$2)/1000*$AQ66</f>
        <v>9.6901284340342343E-7</v>
      </c>
      <c r="BH66" s="7">
        <f>SUMIFS('fuels and tailpipe emissions'!$H$10:$H$126,'fuels and tailpipe emissions'!$A$10:$A$126,'vehicles specifications'!$F66,'fuels and tailpipe emissions'!$B$10:$B$126,'vehicles specifications'!BH$2)/1000*$AQ66</f>
        <v>7.2563287343233113E-7</v>
      </c>
      <c r="BI66" s="7">
        <f>SUMIFS('fuels and tailpipe emissions'!$H$10:$H$126,'fuels and tailpipe emissions'!$A$10:$A$126,'vehicles specifications'!$F66,'fuels and tailpipe emissions'!$B$10:$B$126,'vehicles specifications'!BI$2)/1000*$AQ66</f>
        <v>5.1380215882786179E-7</v>
      </c>
      <c r="BJ66" s="7">
        <f>SUMIFS('fuels and tailpipe emissions'!$H$10:$H$126,'fuels and tailpipe emissions'!$A$10:$A$126,'vehicles specifications'!$F66,'fuels and tailpipe emissions'!$B$10:$B$126,'vehicles specifications'!BJ$2)/1000*$AQ66</f>
        <v>3.335206995900156E-7</v>
      </c>
      <c r="BK66" s="7">
        <f>SUMIFS('fuels and tailpipe emissions'!$H$10:$H$126,'fuels and tailpipe emissions'!$A$10:$A$126,'vehicles specifications'!$F66,'fuels and tailpipe emissions'!$B$10:$B$126,'vehicles specifications'!BK$2)/1000*$AQ66</f>
        <v>3.2901366310906936E-6</v>
      </c>
      <c r="BL66" s="7">
        <f>SUMIFS('fuels and tailpipe emissions'!$H$10:$H$126,'fuels and tailpipe emissions'!$A$10:$A$126,'vehicles specifications'!$F66,'fuels and tailpipe emissions'!$B$10:$B$126,'vehicles specifications'!BL$2)/1000*$AQ66</f>
        <v>1.7216879357214317E-6</v>
      </c>
      <c r="BM66" s="7">
        <f>SUMIFS('fuels and tailpipe emissions'!$H$10:$H$126,'fuels and tailpipe emissions'!$A$10:$A$126,'vehicles specifications'!$F66,'fuels and tailpipe emissions'!$B$10:$B$126,'vehicles specifications'!BM$2)/1000*$AQ66</f>
        <v>4.9577401290407721E-8</v>
      </c>
      <c r="BN66" s="7">
        <f>SUMIFS('fuels and tailpipe emissions'!$H$10:$H$126,'fuels and tailpipe emissions'!$A$10:$A$126,'vehicles specifications'!$F66,'fuels and tailpipe emissions'!$B$10:$B$126,'vehicles specifications'!BN$2)/1000*$AQ66</f>
        <v>2.5284474658107934E-6</v>
      </c>
      <c r="BO66" s="7">
        <f>SUMIFS('fuels and tailpipe emissions'!$H$10:$H$126,'fuels and tailpipe emissions'!$A$10:$A$126,'vehicles specifications'!$F66,'fuels and tailpipe emissions'!$B$10:$B$126,'vehicles specifications'!BO$2)/1000*$AQ66</f>
        <v>4.9487260560788793E-6</v>
      </c>
      <c r="BP66" s="7">
        <f>SUMIFS('fuels and tailpipe emissions'!$H$10:$H$126,'fuels and tailpipe emissions'!$A$10:$A$126,'vehicles specifications'!$F66,'fuels and tailpipe emissions'!$B$10:$B$126,'vehicles specifications'!BP$2)/1000*$AQ66</f>
        <v>2.4473208091537626E-6</v>
      </c>
      <c r="BQ66" s="7">
        <f>SUMIFS('fuels and tailpipe emissions'!$H$10:$H$126,'fuels and tailpipe emissions'!$A$10:$A$126,'vehicles specifications'!$F66,'fuels and tailpipe emissions'!$B$10:$B$126,'vehicles specifications'!BQ$2)/1000*$AQ66</f>
        <v>1.0185902446938312E-6</v>
      </c>
      <c r="BR66" s="7">
        <f>SUMIFS('fuels and tailpipe emissions'!$H$10:$H$126,'fuels and tailpipe emissions'!$A$10:$A$126,'vehicles specifications'!$F66,'fuels and tailpipe emissions'!$B$10:$B$126,'vehicles specifications'!BR$2)/1000*$AQ66</f>
        <v>7.6619620176084655E-7</v>
      </c>
      <c r="BS66" s="7">
        <f>SUMIFS('fuels and tailpipe emissions'!$H$10:$H$126,'fuels and tailpipe emissions'!$A$10:$A$126,'vehicles specifications'!$F66,'fuels and tailpipe emissions'!$B$10:$B$126,'vehicles specifications'!BS$2)/1000*$AQ66</f>
        <v>3.3802773607096173E-7</v>
      </c>
      <c r="BT66" s="7">
        <f>SUMIFS('fuels and tailpipe emissions'!$H$10:$H$126,'fuels and tailpipe emissions'!$A$10:$A$126,'vehicles specifications'!$F66,'fuels and tailpipe emissions'!$B$10:$B$126,'vehicles specifications'!BT$2)/1000*$AQ66</f>
        <v>9.9154802580815442E-8</v>
      </c>
      <c r="BU66" s="7">
        <f>SUMIFS('fuels and tailpipe emissions'!$H$10:$H$126,'fuels and tailpipe emissions'!$A$10:$A$126,'vehicles specifications'!$F66,'fuels and tailpipe emissions'!$B$10:$B$126,'vehicles specifications'!BU$2)/1000*$AQ66</f>
        <v>2.7492922533771551E-7</v>
      </c>
      <c r="BV66" s="7">
        <f>SUMIFS('fuels and tailpipe emissions'!$H$10:$H$126,'fuels and tailpipe emissions'!$A$10:$A$126,'vehicles specifications'!$F66,'fuels and tailpipe emissions'!$B$10:$B$126,'vehicles specifications'!BV$2)/1000*$AQ66</f>
        <v>0</v>
      </c>
      <c r="BW66" s="7">
        <f>SUMIFS('fuels and tailpipe emissions'!$H$10:$H$126,'fuels and tailpipe emissions'!$A$10:$A$126,'vehicles specifications'!$F66,'fuels and tailpipe emissions'!$B$10:$B$126,'vehicles specifications'!BW$2)/1000*$AQ66</f>
        <v>8.5633693137976965E-8</v>
      </c>
      <c r="BX66" s="7">
        <f>SUMIFS('fuels and tailpipe emissions'!$H$10:$H$126,'fuels and tailpipe emissions'!$A$10:$A$126,'vehicles specifications'!$F66,'fuels and tailpipe emissions'!$B$10:$B$126,'vehicles specifications'!BX$2)/1000*$AQ66</f>
        <v>4.5521068457556175E-7</v>
      </c>
      <c r="BY66" s="7">
        <f>SUMIFS('fuels and tailpipe emissions'!$H$10:$H$126,'fuels and tailpipe emissions'!$A$10:$A$126,'vehicles specifications'!$F66,'fuels and tailpipe emissions'!$B$10:$B$126,'vehicles specifications'!BY$2)/1000*$AQ66</f>
        <v>6.7995696445714102E-8</v>
      </c>
      <c r="BZ66" s="7">
        <f>SUMIFS('fuels and tailpipe emissions'!$H$10:$H$126,'fuels and tailpipe emissions'!$A$10:$A$126,'vehicles specifications'!$F66,'fuels and tailpipe emissions'!$B$10:$B$126,'vehicles specifications'!BZ$2)/1000*$AQ66</f>
        <v>5.8616979694581115E-10</v>
      </c>
      <c r="CA66" s="7">
        <f>SUMIFS('fuels and tailpipe emissions'!$H$10:$H$126,'fuels and tailpipe emissions'!$A$10:$A$126,'vehicles specifications'!$F66,'fuels and tailpipe emissions'!$B$10:$B$126,'vehicles specifications'!CA$2)/1000*$AQ66</f>
        <v>3.907798646305408E-10</v>
      </c>
      <c r="CB66" s="7">
        <f>SUMIFS('fuels and tailpipe emissions'!$H$10:$H$126,'fuels and tailpipe emissions'!$A$10:$A$126,'vehicles specifications'!$F66,'fuels and tailpipe emissions'!$B$10:$B$126,'vehicles specifications'!CB$2)/1000*$AQ66</f>
        <v>4.2204225380098405E-6</v>
      </c>
      <c r="CC66" s="7">
        <f>SUMIFS('fuels and tailpipe emissions'!$H$10:$H$126,'fuels and tailpipe emissions'!$A$10:$A$126,'vehicles specifications'!$F66,'fuels and tailpipe emissions'!$B$10:$B$126,'vehicles specifications'!CC$2)/1000*$AQ66</f>
        <v>8.2063771572413566E-8</v>
      </c>
      <c r="CD66" s="7">
        <f>SUMIFS('fuels and tailpipe emissions'!$H$10:$H$126,'fuels and tailpipe emissions'!$A$10:$A$126,'vehicles specifications'!$F66,'fuels and tailpipe emissions'!$B$10:$B$126,'vehicles specifications'!CD$2)/1000*$AQ66</f>
        <v>2.5400691200985153E-8</v>
      </c>
      <c r="CE66" s="7">
        <f>SUMIFS('fuels and tailpipe emissions'!$H$10:$H$126,'fuels and tailpipe emissions'!$A$10:$A$126,'vehicles specifications'!$F66,'fuels and tailpipe emissions'!$B$10:$B$126,'vehicles specifications'!CE$2)/1000*$AQ66</f>
        <v>3.1262389170443272E-8</v>
      </c>
      <c r="CF66" s="7">
        <f>SUMIFS('fuels and tailpipe emissions'!$H$10:$H$126,'fuels and tailpipe emissions'!$A$10:$A$126,'vehicles specifications'!$F66,'fuels and tailpipe emissions'!$B$10:$B$126,'vehicles specifications'!CF$2)/1000*$AQ66</f>
        <v>6.252477834088652E-11</v>
      </c>
      <c r="CG66" s="7">
        <f>SUMIFS('fuels and tailpipe emissions'!$H$10:$H$126,'fuels and tailpipe emissions'!$A$10:$A$126,'vehicles specifications'!$F66,'fuels and tailpipe emissions'!$B$10:$B$126,'vehicles specifications'!CG$2)/1000*$AQ66</f>
        <v>1.6998924111428525E-8</v>
      </c>
      <c r="CH66" s="7">
        <f>SUMIFS('fuels and tailpipe emissions'!$H$10:$H$126,'fuels and tailpipe emissions'!$A$10:$A$126,'vehicles specifications'!$F66,'fuels and tailpipe emissions'!$B$10:$B$126,'vehicles specifications'!CH$2)/1000*$AQ66</f>
        <v>2.1102112690049203E-8</v>
      </c>
      <c r="CI66" s="7">
        <f>VLOOKUP(B66,'abrasion emissions'!$A$4:$D$32,4,FALSE)</f>
        <v>6.0000000000000002E-6</v>
      </c>
      <c r="CJ66" s="7">
        <f>VLOOKUP(B66,'abrasion emissions'!$A$4:$D$32,2,FALSE)</f>
        <v>7.3669999999999991E-6</v>
      </c>
      <c r="CK66" s="7">
        <f>VLOOKUP(B66,'abrasion emissions'!$A$4:$D$32,3,FALSE)</f>
        <v>8.3499999999999997E-6</v>
      </c>
    </row>
    <row r="67" spans="1:89" x14ac:dyDescent="0.3">
      <c r="A67" t="str">
        <f t="shared" si="35"/>
        <v>Motorbike, gasoline, &gt;35kW, EURO-5 - 2020 - CH</v>
      </c>
      <c r="B67" t="s">
        <v>705</v>
      </c>
      <c r="D67">
        <v>2020</v>
      </c>
      <c r="E67" t="s">
        <v>37</v>
      </c>
      <c r="F67" t="s">
        <v>149</v>
      </c>
      <c r="G67" t="s">
        <v>39</v>
      </c>
      <c r="H67" t="s">
        <v>35</v>
      </c>
      <c r="J67" s="21">
        <v>62100</v>
      </c>
      <c r="K67" s="21">
        <v>4592</v>
      </c>
      <c r="L67" s="2">
        <f t="shared" si="36"/>
        <v>13.523519163763066</v>
      </c>
      <c r="M67">
        <v>1.1000000000000001</v>
      </c>
      <c r="N67">
        <v>70</v>
      </c>
      <c r="O67">
        <v>6</v>
      </c>
      <c r="P67" s="2">
        <f t="shared" si="13"/>
        <v>256.52499999999998</v>
      </c>
      <c r="Q67" s="2">
        <f t="shared" si="37"/>
        <v>339.52499999999998</v>
      </c>
      <c r="R67">
        <v>91</v>
      </c>
      <c r="S67" s="2">
        <v>111</v>
      </c>
      <c r="T67" s="1">
        <v>0</v>
      </c>
      <c r="U67" s="2">
        <f t="shared" si="32"/>
        <v>111</v>
      </c>
      <c r="V67" s="2">
        <v>130</v>
      </c>
      <c r="W67" s="2">
        <v>0</v>
      </c>
      <c r="X67" s="3">
        <v>0</v>
      </c>
      <c r="Y67" s="1">
        <v>0.8</v>
      </c>
      <c r="Z67" s="3">
        <f t="shared" si="38"/>
        <v>0</v>
      </c>
      <c r="AA67" s="3">
        <v>0</v>
      </c>
      <c r="AB67" s="3">
        <v>0</v>
      </c>
      <c r="AC67" s="3">
        <f t="shared" si="39"/>
        <v>0</v>
      </c>
      <c r="AD67" s="3">
        <v>0</v>
      </c>
      <c r="AE67" s="3">
        <v>18</v>
      </c>
      <c r="AF67">
        <f>AE67*'fuels and tailpipe emissions'!$B$3</f>
        <v>13.5</v>
      </c>
      <c r="AG67" s="2">
        <f>AF67*'fuels and tailpipe emissions'!$C$3</f>
        <v>159</v>
      </c>
      <c r="AH67" s="3">
        <f t="shared" si="33"/>
        <v>2.0249999999999999</v>
      </c>
      <c r="AI67" s="3">
        <v>0</v>
      </c>
      <c r="AJ67" s="3">
        <v>0</v>
      </c>
      <c r="AK67">
        <f t="shared" si="30"/>
        <v>1.242</v>
      </c>
      <c r="AL67">
        <f t="shared" si="15"/>
        <v>1.82324925E-4</v>
      </c>
      <c r="AM67">
        <v>1.2899999999999999E-3</v>
      </c>
      <c r="AN67" s="2">
        <f t="shared" si="40"/>
        <v>111</v>
      </c>
      <c r="AO67" s="2">
        <f t="shared" si="41"/>
        <v>130</v>
      </c>
      <c r="AP67" s="2">
        <f t="shared" si="42"/>
        <v>0</v>
      </c>
      <c r="AQ67" s="6">
        <v>1.9343603299211769</v>
      </c>
      <c r="AR67" s="6" t="str">
        <f>IF($H67="BEV",SUMPRODUCT(#REF!,#REF!),"")</f>
        <v/>
      </c>
      <c r="AS67" s="2">
        <f>SUM(Z67,AG67)/(SUM(AQ67:AR67)/3.6)</f>
        <v>295.91177566349529</v>
      </c>
      <c r="AT67" s="5">
        <f>IF($H67="ICEV-p",$AQ67/('fuels and tailpipe emissions'!$C$3*3.6)*'fuels and tailpipe emissions'!$D$3,"")</f>
        <v>0.14507702474408829</v>
      </c>
      <c r="AU67" s="7">
        <f>IF($H67="ICEV-p",$AQ67/('fuels and tailpipe emissions'!$C$3*3.6)*'fuels and tailpipe emissions'!$E$3,"")</f>
        <v>7.2994729430987814E-7</v>
      </c>
      <c r="AV67" s="7">
        <f>SUMIFS('fuels and tailpipe emissions'!$H$10:$H$126,'fuels and tailpipe emissions'!$A$10:$A$126,'vehicles specifications'!$F67,'fuels and tailpipe emissions'!$B$10:$B$126,'vehicles specifications'!AV$2)/1000*$AQ67</f>
        <v>1.4740138315818797E-6</v>
      </c>
      <c r="AW67" s="7">
        <f>SUMIFS('fuels and tailpipe emissions'!$H$10:$H$126,'fuels and tailpipe emissions'!$A$10:$A$126,'vehicles specifications'!$F67,'fuels and tailpipe emissions'!$B$10:$B$126,'vehicles specifications'!AW$2)/1000*$AQ67</f>
        <v>2.0777062392450149E-5</v>
      </c>
      <c r="AX67" s="7">
        <f>SUMIFS('fuels and tailpipe emissions'!$H$10:$H$126,'fuels and tailpipe emissions'!$A$10:$A$126,'vehicles specifications'!$F67,'fuels and tailpipe emissions'!$B$10:$B$126,'vehicles specifications'!AX$2)/1000*$AQ67</f>
        <v>1.6143029994865083E-4</v>
      </c>
      <c r="AY67" s="7">
        <f>SUMIFS('fuels and tailpipe emissions'!$H$10:$H$126,'fuels and tailpipe emissions'!$A$10:$A$126,'vehicles specifications'!$F67,'fuels and tailpipe emissions'!$B$10:$B$126,'vehicles specifications'!AY$2)/1000*$AQ67</f>
        <v>1.0935295996026393E-6</v>
      </c>
      <c r="AZ67" s="7">
        <f>SUMIFS('fuels and tailpipe emissions'!$H$10:$H$126,'fuels and tailpipe emissions'!$A$10:$A$126,'vehicles specifications'!$F67,'fuels and tailpipe emissions'!$B$10:$B$126,'vehicles specifications'!AZ$2)/1000*$AQ67</f>
        <v>1.0935295996026393E-6</v>
      </c>
      <c r="BA67" s="7">
        <f>SUMIFS('fuels and tailpipe emissions'!$H$10:$H$126,'fuels and tailpipe emissions'!$A$10:$A$126,'vehicles specifications'!$F67,'fuels and tailpipe emissions'!$B$10:$B$126,'vehicles specifications'!BA$2)/1000*$AQ67</f>
        <v>9.2040080028458703E-6</v>
      </c>
      <c r="BB67" s="7">
        <f>SUMIFS('fuels and tailpipe emissions'!$H$10:$H$126,'fuels and tailpipe emissions'!$A$10:$A$126,'vehicles specifications'!$F67,'fuels and tailpipe emissions'!$B$10:$B$126,'vehicles specifications'!BB$2)/1000*$AQ67</f>
        <v>2.7338239990065983E-6</v>
      </c>
      <c r="BC67" s="7">
        <f>SUMIFS('fuels and tailpipe emissions'!$H$10:$H$126,'fuels and tailpipe emissions'!$A$10:$A$126,'vehicles specifications'!$F67,'fuels and tailpipe emissions'!$B$10:$B$126,'vehicles specifications'!BC$2)/1000*$AQ67</f>
        <v>1.18866997755373E-5</v>
      </c>
      <c r="BD67" s="7">
        <f>SUMIFS('fuels and tailpipe emissions'!$H$10:$H$126,'fuels and tailpipe emissions'!$A$10:$A$126,'vehicles specifications'!$F67,'fuels and tailpipe emissions'!$B$10:$B$126,'vehicles specifications'!BD$2)/1000*$AQ67</f>
        <v>8.381647277622453E-7</v>
      </c>
      <c r="BE67" s="7">
        <f>SUMIFS('fuels and tailpipe emissions'!$H$10:$H$126,'fuels and tailpipe emissions'!$A$10:$A$126,'vehicles specifications'!$F67,'fuels and tailpipe emissions'!$B$10:$B$126,'vehicles specifications'!BE$2)/1000*$AQ67</f>
        <v>1.7078591631519106E-7</v>
      </c>
      <c r="BF67" s="7">
        <f>SUMIFS('fuels and tailpipe emissions'!$H$10:$H$126,'fuels and tailpipe emissions'!$A$10:$A$126,'vehicles specifications'!$F67,'fuels and tailpipe emissions'!$B$10:$B$126,'vehicles specifications'!BF$2)/1000*$AQ67</f>
        <v>1.3767972330640017E-6</v>
      </c>
      <c r="BG67" s="7">
        <f>SUMIFS('fuels and tailpipe emissions'!$H$10:$H$126,'fuels and tailpipe emissions'!$A$10:$A$126,'vehicles specifications'!$F67,'fuels and tailpipe emissions'!$B$10:$B$126,'vehicles specifications'!BG$2)/1000*$AQ67</f>
        <v>5.6490726165793968E-7</v>
      </c>
      <c r="BH67" s="7">
        <f>SUMIFS('fuels and tailpipe emissions'!$H$10:$H$126,'fuels and tailpipe emissions'!$A$10:$A$126,'vehicles specifications'!$F67,'fuels and tailpipe emissions'!$B$10:$B$126,'vehicles specifications'!BH$2)/1000*$AQ67</f>
        <v>4.2302357733455016E-7</v>
      </c>
      <c r="BI67" s="7">
        <f>SUMIFS('fuels and tailpipe emissions'!$H$10:$H$126,'fuels and tailpipe emissions'!$A$10:$A$126,'vehicles specifications'!$F67,'fuels and tailpipe emissions'!$B$10:$B$126,'vehicles specifications'!BI$2)/1000*$AQ67</f>
        <v>2.9953222246048898E-7</v>
      </c>
      <c r="BJ67" s="7">
        <f>SUMIFS('fuels and tailpipe emissions'!$H$10:$H$126,'fuels and tailpipe emissions'!$A$10:$A$126,'vehicles specifications'!$F67,'fuels and tailpipe emissions'!$B$10:$B$126,'vehicles specifications'!BJ$2)/1000*$AQ67</f>
        <v>1.9443319703575599E-7</v>
      </c>
      <c r="BK67" s="7">
        <f>SUMIFS('fuels and tailpipe emissions'!$H$10:$H$126,'fuels and tailpipe emissions'!$A$10:$A$126,'vehicles specifications'!$F67,'fuels and tailpipe emissions'!$B$10:$B$126,'vehicles specifications'!BK$2)/1000*$AQ67</f>
        <v>1.9180572140013763E-6</v>
      </c>
      <c r="BL67" s="7">
        <f>SUMIFS('fuels and tailpipe emissions'!$H$10:$H$126,'fuels and tailpipe emissions'!$A$10:$A$126,'vehicles specifications'!$F67,'fuels and tailpipe emissions'!$B$10:$B$126,'vehicles specifications'!BL$2)/1000*$AQ67</f>
        <v>1.0036956928061999E-6</v>
      </c>
      <c r="BM67" s="7">
        <f>SUMIFS('fuels and tailpipe emissions'!$H$10:$H$126,'fuels and tailpipe emissions'!$A$10:$A$126,'vehicles specifications'!$F67,'fuels and tailpipe emissions'!$B$10:$B$126,'vehicles specifications'!BM$2)/1000*$AQ67</f>
        <v>2.8902231991801569E-8</v>
      </c>
      <c r="BN67" s="7">
        <f>SUMIFS('fuels and tailpipe emissions'!$H$10:$H$126,'fuels and tailpipe emissions'!$A$10:$A$126,'vehicles specifications'!$F67,'fuels and tailpipe emissions'!$B$10:$B$126,'vehicles specifications'!BN$2)/1000*$AQ67</f>
        <v>1.4740138315818797E-6</v>
      </c>
      <c r="BO67" s="7">
        <f>SUMIFS('fuels and tailpipe emissions'!$H$10:$H$126,'fuels and tailpipe emissions'!$A$10:$A$126,'vehicles specifications'!$F67,'fuels and tailpipe emissions'!$B$10:$B$126,'vehicles specifications'!BO$2)/1000*$AQ67</f>
        <v>2.8849682479089193E-6</v>
      </c>
      <c r="BP67" s="7">
        <f>SUMIFS('fuels and tailpipe emissions'!$H$10:$H$126,'fuels and tailpipe emissions'!$A$10:$A$126,'vehicles specifications'!$F67,'fuels and tailpipe emissions'!$B$10:$B$126,'vehicles specifications'!BP$2)/1000*$AQ67</f>
        <v>1.42671927014075E-6</v>
      </c>
      <c r="BQ67" s="7">
        <f>SUMIFS('fuels and tailpipe emissions'!$H$10:$H$126,'fuels and tailpipe emissions'!$A$10:$A$126,'vehicles specifications'!$F67,'fuels and tailpipe emissions'!$B$10:$B$126,'vehicles specifications'!BQ$2)/1000*$AQ67</f>
        <v>5.9380949364974125E-7</v>
      </c>
      <c r="BR67" s="7">
        <f>SUMIFS('fuels and tailpipe emissions'!$H$10:$H$126,'fuels and tailpipe emissions'!$A$10:$A$126,'vehicles specifications'!$F67,'fuels and tailpipe emissions'!$B$10:$B$126,'vehicles specifications'!BR$2)/1000*$AQ67</f>
        <v>4.4667085805511511E-7</v>
      </c>
      <c r="BS67" s="7">
        <f>SUMIFS('fuels and tailpipe emissions'!$H$10:$H$126,'fuels and tailpipe emissions'!$A$10:$A$126,'vehicles specifications'!$F67,'fuels and tailpipe emissions'!$B$10:$B$126,'vehicles specifications'!BS$2)/1000*$AQ67</f>
        <v>1.970606726713743E-7</v>
      </c>
      <c r="BT67" s="7">
        <f>SUMIFS('fuels and tailpipe emissions'!$H$10:$H$126,'fuels and tailpipe emissions'!$A$10:$A$126,'vehicles specifications'!$F67,'fuels and tailpipe emissions'!$B$10:$B$126,'vehicles specifications'!BT$2)/1000*$AQ67</f>
        <v>5.7804463983603138E-8</v>
      </c>
      <c r="BU67" s="7">
        <f>SUMIFS('fuels and tailpipe emissions'!$H$10:$H$126,'fuels and tailpipe emissions'!$A$10:$A$126,'vehicles specifications'!$F67,'fuels and tailpipe emissions'!$B$10:$B$126,'vehicles specifications'!BU$2)/1000*$AQ67</f>
        <v>1.6027601377271776E-7</v>
      </c>
      <c r="BV67" s="7">
        <f>SUMIFS('fuels and tailpipe emissions'!$H$10:$H$126,'fuels and tailpipe emissions'!$A$10:$A$126,'vehicles specifications'!$F67,'fuels and tailpipe emissions'!$B$10:$B$126,'vehicles specifications'!BV$2)/1000*$AQ67</f>
        <v>0</v>
      </c>
      <c r="BW67" s="7">
        <f>SUMIFS('fuels and tailpipe emissions'!$H$10:$H$126,'fuels and tailpipe emissions'!$A$10:$A$126,'vehicles specifications'!$F67,'fuels and tailpipe emissions'!$B$10:$B$126,'vehicles specifications'!BW$2)/1000*$AQ67</f>
        <v>4.992203707674815E-8</v>
      </c>
      <c r="BX67" s="7">
        <f>SUMIFS('fuels and tailpipe emissions'!$H$10:$H$126,'fuels and tailpipe emissions'!$A$10:$A$126,'vehicles specifications'!$F67,'fuels and tailpipe emissions'!$B$10:$B$126,'vehicles specifications'!BX$2)/1000*$AQ67</f>
        <v>2.6537503919745075E-7</v>
      </c>
      <c r="BY67" s="7">
        <f>SUMIFS('fuels and tailpipe emissions'!$H$10:$H$126,'fuels and tailpipe emissions'!$A$10:$A$126,'vehicles specifications'!$F67,'fuels and tailpipe emissions'!$B$10:$B$126,'vehicles specifications'!BY$2)/1000*$AQ67</f>
        <v>6.7315739481256961E-8</v>
      </c>
      <c r="BZ67" s="7">
        <f>SUMIFS('fuels and tailpipe emissions'!$H$10:$H$126,'fuels and tailpipe emissions'!$A$10:$A$126,'vehicles specifications'!$F67,'fuels and tailpipe emissions'!$B$10:$B$126,'vehicles specifications'!BZ$2)/1000*$AQ67</f>
        <v>5.8030809897635308E-10</v>
      </c>
      <c r="CA67" s="7">
        <f>SUMIFS('fuels and tailpipe emissions'!$H$10:$H$126,'fuels and tailpipe emissions'!$A$10:$A$126,'vehicles specifications'!$F67,'fuels and tailpipe emissions'!$B$10:$B$126,'vehicles specifications'!CA$2)/1000*$AQ67</f>
        <v>3.8687206598423541E-10</v>
      </c>
      <c r="CB67" s="7">
        <f>SUMIFS('fuels and tailpipe emissions'!$H$10:$H$126,'fuels and tailpipe emissions'!$A$10:$A$126,'vehicles specifications'!$F67,'fuels and tailpipe emissions'!$B$10:$B$126,'vehicles specifications'!CB$2)/1000*$AQ67</f>
        <v>4.1782183126297423E-6</v>
      </c>
      <c r="CC67" s="7">
        <f>SUMIFS('fuels and tailpipe emissions'!$H$10:$H$126,'fuels and tailpipe emissions'!$A$10:$A$126,'vehicles specifications'!$F67,'fuels and tailpipe emissions'!$B$10:$B$126,'vehicles specifications'!CC$2)/1000*$AQ67</f>
        <v>8.1243133856689428E-8</v>
      </c>
      <c r="CD67" s="7">
        <f>SUMIFS('fuels and tailpipe emissions'!$H$10:$H$126,'fuels and tailpipe emissions'!$A$10:$A$126,'vehicles specifications'!$F67,'fuels and tailpipe emissions'!$B$10:$B$126,'vehicles specifications'!CD$2)/1000*$AQ67</f>
        <v>2.5146684288975301E-8</v>
      </c>
      <c r="CE67" s="7">
        <f>SUMIFS('fuels and tailpipe emissions'!$H$10:$H$126,'fuels and tailpipe emissions'!$A$10:$A$126,'vehicles specifications'!$F67,'fuels and tailpipe emissions'!$B$10:$B$126,'vehicles specifications'!CE$2)/1000*$AQ67</f>
        <v>3.094976527873884E-8</v>
      </c>
      <c r="CF67" s="7">
        <f>SUMIFS('fuels and tailpipe emissions'!$H$10:$H$126,'fuels and tailpipe emissions'!$A$10:$A$126,'vehicles specifications'!$F67,'fuels and tailpipe emissions'!$B$10:$B$126,'vehicles specifications'!CF$2)/1000*$AQ67</f>
        <v>6.1899530557477664E-11</v>
      </c>
      <c r="CG67" s="7">
        <f>SUMIFS('fuels and tailpipe emissions'!$H$10:$H$126,'fuels and tailpipe emissions'!$A$10:$A$126,'vehicles specifications'!$F67,'fuels and tailpipe emissions'!$B$10:$B$126,'vehicles specifications'!CG$2)/1000*$AQ67</f>
        <v>1.682893487031424E-8</v>
      </c>
      <c r="CH67" s="7">
        <f>SUMIFS('fuels and tailpipe emissions'!$H$10:$H$126,'fuels and tailpipe emissions'!$A$10:$A$126,'vehicles specifications'!$F67,'fuels and tailpipe emissions'!$B$10:$B$126,'vehicles specifications'!CH$2)/1000*$AQ67</f>
        <v>2.0891091563148711E-8</v>
      </c>
      <c r="CI67" s="7">
        <f>VLOOKUP(B67,'abrasion emissions'!$A$4:$D$32,4,FALSE)</f>
        <v>6.0000000000000002E-6</v>
      </c>
      <c r="CJ67" s="7">
        <f>VLOOKUP(B67,'abrasion emissions'!$A$4:$D$32,2,FALSE)</f>
        <v>7.3669999999999991E-6</v>
      </c>
      <c r="CK67" s="7">
        <f>VLOOKUP(B67,'abrasion emissions'!$A$4:$D$32,3,FALSE)</f>
        <v>8.3499999999999997E-6</v>
      </c>
    </row>
    <row r="68" spans="1:89" x14ac:dyDescent="0.3">
      <c r="A68" t="str">
        <f t="shared" si="35"/>
        <v>Motorbike, gasoline, &gt;35kW, EURO-5 - 2030 - CH</v>
      </c>
      <c r="B68" t="s">
        <v>705</v>
      </c>
      <c r="D68">
        <v>2030</v>
      </c>
      <c r="E68" t="s">
        <v>37</v>
      </c>
      <c r="F68" t="s">
        <v>149</v>
      </c>
      <c r="G68" t="s">
        <v>39</v>
      </c>
      <c r="H68" t="s">
        <v>35</v>
      </c>
      <c r="J68" s="21">
        <v>62100</v>
      </c>
      <c r="K68" s="21">
        <v>4592</v>
      </c>
      <c r="L68" s="2">
        <f t="shared" si="36"/>
        <v>13.523519163763066</v>
      </c>
      <c r="M68">
        <v>1.1000000000000001</v>
      </c>
      <c r="N68">
        <v>70</v>
      </c>
      <c r="O68">
        <v>6</v>
      </c>
      <c r="P68" s="2">
        <f t="shared" si="13"/>
        <v>253.19500000000002</v>
      </c>
      <c r="Q68" s="2">
        <f t="shared" si="37"/>
        <v>336.19500000000005</v>
      </c>
      <c r="R68">
        <v>91</v>
      </c>
      <c r="S68" s="2">
        <v>111</v>
      </c>
      <c r="T68" s="1">
        <v>0.03</v>
      </c>
      <c r="U68" s="2">
        <f t="shared" si="32"/>
        <v>107.67</v>
      </c>
      <c r="V68" s="2">
        <v>130</v>
      </c>
      <c r="W68" s="2">
        <v>0</v>
      </c>
      <c r="X68" s="3">
        <v>0</v>
      </c>
      <c r="Y68" s="1">
        <v>0.8</v>
      </c>
      <c r="Z68" s="3">
        <f t="shared" si="38"/>
        <v>0</v>
      </c>
      <c r="AA68" s="3">
        <v>0</v>
      </c>
      <c r="AB68" s="3">
        <v>0</v>
      </c>
      <c r="AC68" s="3">
        <f t="shared" si="39"/>
        <v>0</v>
      </c>
      <c r="AD68" s="3">
        <v>0</v>
      </c>
      <c r="AE68" s="3">
        <v>18</v>
      </c>
      <c r="AF68">
        <f>AE68*'fuels and tailpipe emissions'!$B$3</f>
        <v>13.5</v>
      </c>
      <c r="AG68" s="2">
        <f>AF68*'fuels and tailpipe emissions'!$C$3</f>
        <v>159</v>
      </c>
      <c r="AH68" s="3">
        <f t="shared" si="33"/>
        <v>2.0249999999999999</v>
      </c>
      <c r="AI68" s="3">
        <v>0</v>
      </c>
      <c r="AJ68" s="3">
        <v>0</v>
      </c>
      <c r="AK68">
        <f t="shared" si="30"/>
        <v>1.242</v>
      </c>
      <c r="AL68">
        <f t="shared" si="15"/>
        <v>1.8053671500000004E-4</v>
      </c>
      <c r="AM68">
        <v>1.2899999999999999E-3</v>
      </c>
      <c r="AN68" s="2">
        <f t="shared" si="40"/>
        <v>107.67</v>
      </c>
      <c r="AO68" s="2">
        <f t="shared" si="41"/>
        <v>130</v>
      </c>
      <c r="AP68" s="2">
        <f t="shared" si="42"/>
        <v>0</v>
      </c>
      <c r="AQ68" s="6">
        <v>1.9150167266219651</v>
      </c>
      <c r="AR68" s="6" t="str">
        <f>IF($H68="BEV",SUMPRODUCT(#REF!,#REF!),"")</f>
        <v/>
      </c>
      <c r="AS68" s="2">
        <f>SUM(Z68,AG68)/(SUM(AQ68:AR68)/3.6)</f>
        <v>298.90078349848005</v>
      </c>
      <c r="AT68" s="5">
        <f>IF($H68="ICEV-p",$AQ68/('fuels and tailpipe emissions'!$C$3*3.6)*'fuels and tailpipe emissions'!$D$3,"")</f>
        <v>0.1436262544966474</v>
      </c>
      <c r="AU68" s="7">
        <f>IF($H68="ICEV-p",$AQ68/('fuels and tailpipe emissions'!$C$3*3.6)*'fuels and tailpipe emissions'!$E$3,"")</f>
        <v>7.2264782136677925E-7</v>
      </c>
      <c r="AV68" s="7">
        <f>SUMIFS('fuels and tailpipe emissions'!$H$10:$H$126,'fuels and tailpipe emissions'!$A$10:$A$126,'vehicles specifications'!$F68,'fuels and tailpipe emissions'!$B$10:$B$126,'vehicles specifications'!AV$2)/1000*$AQ68</f>
        <v>1.459273693266061E-6</v>
      </c>
      <c r="AW68" s="7">
        <f>SUMIFS('fuels and tailpipe emissions'!$H$10:$H$126,'fuels and tailpipe emissions'!$A$10:$A$126,'vehicles specifications'!$F68,'fuels and tailpipe emissions'!$B$10:$B$126,'vehicles specifications'!AW$2)/1000*$AQ68</f>
        <v>2.0569291768525646E-5</v>
      </c>
      <c r="AX68" s="7">
        <f>SUMIFS('fuels and tailpipe emissions'!$H$10:$H$126,'fuels and tailpipe emissions'!$A$10:$A$126,'vehicles specifications'!$F68,'fuels and tailpipe emissions'!$B$10:$B$126,'vehicles specifications'!AX$2)/1000*$AQ68</f>
        <v>1.5981599694916431E-4</v>
      </c>
      <c r="AY68" s="7">
        <f>SUMIFS('fuels and tailpipe emissions'!$H$10:$H$126,'fuels and tailpipe emissions'!$A$10:$A$126,'vehicles specifications'!$F68,'fuels and tailpipe emissions'!$B$10:$B$126,'vehicles specifications'!AY$2)/1000*$AQ68</f>
        <v>1.0825943036066128E-6</v>
      </c>
      <c r="AZ68" s="7">
        <f>SUMIFS('fuels and tailpipe emissions'!$H$10:$H$126,'fuels and tailpipe emissions'!$A$10:$A$126,'vehicles specifications'!$F68,'fuels and tailpipe emissions'!$B$10:$B$126,'vehicles specifications'!AZ$2)/1000*$AQ68</f>
        <v>1.0825943036066128E-6</v>
      </c>
      <c r="BA68" s="7">
        <f>SUMIFS('fuels and tailpipe emissions'!$H$10:$H$126,'fuels and tailpipe emissions'!$A$10:$A$126,'vehicles specifications'!$F68,'fuels and tailpipe emissions'!$B$10:$B$126,'vehicles specifications'!BA$2)/1000*$AQ68</f>
        <v>9.1119679228174102E-6</v>
      </c>
      <c r="BB68" s="7">
        <f>SUMIFS('fuels and tailpipe emissions'!$H$10:$H$126,'fuels and tailpipe emissions'!$A$10:$A$126,'vehicles specifications'!$F68,'fuels and tailpipe emissions'!$B$10:$B$126,'vehicles specifications'!BB$2)/1000*$AQ68</f>
        <v>2.7064857590165319E-6</v>
      </c>
      <c r="BC68" s="7">
        <f>SUMIFS('fuels and tailpipe emissions'!$H$10:$H$126,'fuels and tailpipe emissions'!$A$10:$A$126,'vehicles specifications'!$F68,'fuels and tailpipe emissions'!$B$10:$B$126,'vehicles specifications'!BC$2)/1000*$AQ68</f>
        <v>1.1767832777781926E-5</v>
      </c>
      <c r="BD68" s="7">
        <f>SUMIFS('fuels and tailpipe emissions'!$H$10:$H$126,'fuels and tailpipe emissions'!$A$10:$A$126,'vehicles specifications'!$F68,'fuels and tailpipe emissions'!$B$10:$B$126,'vehicles specifications'!BD$2)/1000*$AQ68</f>
        <v>8.2978308048462282E-7</v>
      </c>
      <c r="BE68" s="7">
        <f>SUMIFS('fuels and tailpipe emissions'!$H$10:$H$126,'fuels and tailpipe emissions'!$A$10:$A$126,'vehicles specifications'!$F68,'fuels and tailpipe emissions'!$B$10:$B$126,'vehicles specifications'!BE$2)/1000*$AQ68</f>
        <v>1.6907805715203913E-7</v>
      </c>
      <c r="BF68" s="7">
        <f>SUMIFS('fuels and tailpipe emissions'!$H$10:$H$126,'fuels and tailpipe emissions'!$A$10:$A$126,'vehicles specifications'!$F68,'fuels and tailpipe emissions'!$B$10:$B$126,'vehicles specifications'!BF$2)/1000*$AQ68</f>
        <v>1.3630292607333617E-6</v>
      </c>
      <c r="BG68" s="7">
        <f>SUMIFS('fuels and tailpipe emissions'!$H$10:$H$126,'fuels and tailpipe emissions'!$A$10:$A$126,'vehicles specifications'!$F68,'fuels and tailpipe emissions'!$B$10:$B$126,'vehicles specifications'!BG$2)/1000*$AQ68</f>
        <v>5.5925818904136034E-7</v>
      </c>
      <c r="BH68" s="7">
        <f>SUMIFS('fuels and tailpipe emissions'!$H$10:$H$126,'fuels and tailpipe emissions'!$A$10:$A$126,'vehicles specifications'!$F68,'fuels and tailpipe emissions'!$B$10:$B$126,'vehicles specifications'!BH$2)/1000*$AQ68</f>
        <v>4.1879334156120465E-7</v>
      </c>
      <c r="BI68" s="7">
        <f>SUMIFS('fuels and tailpipe emissions'!$H$10:$H$126,'fuels and tailpipe emissions'!$A$10:$A$126,'vehicles specifications'!$F68,'fuels and tailpipe emissions'!$B$10:$B$126,'vehicles specifications'!BI$2)/1000*$AQ68</f>
        <v>2.9653690023588408E-7</v>
      </c>
      <c r="BJ68" s="7">
        <f>SUMIFS('fuels and tailpipe emissions'!$H$10:$H$126,'fuels and tailpipe emissions'!$A$10:$A$126,'vehicles specifications'!$F68,'fuels and tailpipe emissions'!$B$10:$B$126,'vehicles specifications'!BJ$2)/1000*$AQ68</f>
        <v>1.9248886506539842E-7</v>
      </c>
      <c r="BK68" s="7">
        <f>SUMIFS('fuels and tailpipe emissions'!$H$10:$H$126,'fuels and tailpipe emissions'!$A$10:$A$126,'vehicles specifications'!$F68,'fuels and tailpipe emissions'!$B$10:$B$126,'vehicles specifications'!BK$2)/1000*$AQ68</f>
        <v>1.8988766418613624E-6</v>
      </c>
      <c r="BL68" s="7">
        <f>SUMIFS('fuels and tailpipe emissions'!$H$10:$H$126,'fuels and tailpipe emissions'!$A$10:$A$126,'vehicles specifications'!$F68,'fuels and tailpipe emissions'!$B$10:$B$126,'vehicles specifications'!BL$2)/1000*$AQ68</f>
        <v>9.9365873587813773E-7</v>
      </c>
      <c r="BM68" s="7">
        <f>SUMIFS('fuels and tailpipe emissions'!$H$10:$H$126,'fuels and tailpipe emissions'!$A$10:$A$126,'vehicles specifications'!$F68,'fuels and tailpipe emissions'!$B$10:$B$126,'vehicles specifications'!BM$2)/1000*$AQ68</f>
        <v>2.8613209671883554E-8</v>
      </c>
      <c r="BN68" s="7">
        <f>SUMIFS('fuels and tailpipe emissions'!$H$10:$H$126,'fuels and tailpipe emissions'!$A$10:$A$126,'vehicles specifications'!$F68,'fuels and tailpipe emissions'!$B$10:$B$126,'vehicles specifications'!BN$2)/1000*$AQ68</f>
        <v>1.459273693266061E-6</v>
      </c>
      <c r="BO68" s="7">
        <f>SUMIFS('fuels and tailpipe emissions'!$H$10:$H$126,'fuels and tailpipe emissions'!$A$10:$A$126,'vehicles specifications'!$F68,'fuels and tailpipe emissions'!$B$10:$B$126,'vehicles specifications'!BO$2)/1000*$AQ68</f>
        <v>2.8561185654298302E-6</v>
      </c>
      <c r="BP68" s="7">
        <f>SUMIFS('fuels and tailpipe emissions'!$H$10:$H$126,'fuels and tailpipe emissions'!$A$10:$A$126,'vehicles specifications'!$F68,'fuels and tailpipe emissions'!$B$10:$B$126,'vehicles specifications'!BP$2)/1000*$AQ68</f>
        <v>1.4124520774393426E-6</v>
      </c>
      <c r="BQ68" s="7">
        <f>SUMIFS('fuels and tailpipe emissions'!$H$10:$H$126,'fuels and tailpipe emissions'!$A$10:$A$126,'vehicles specifications'!$F68,'fuels and tailpipe emissions'!$B$10:$B$126,'vehicles specifications'!BQ$2)/1000*$AQ68</f>
        <v>5.878713987132438E-7</v>
      </c>
      <c r="BR68" s="7">
        <f>SUMIFS('fuels and tailpipe emissions'!$H$10:$H$126,'fuels and tailpipe emissions'!$A$10:$A$126,'vehicles specifications'!$F68,'fuels and tailpipe emissions'!$B$10:$B$126,'vehicles specifications'!BR$2)/1000*$AQ68</f>
        <v>4.4220414947456396E-7</v>
      </c>
      <c r="BS68" s="7">
        <f>SUMIFS('fuels and tailpipe emissions'!$H$10:$H$126,'fuels and tailpipe emissions'!$A$10:$A$126,'vehicles specifications'!$F68,'fuels and tailpipe emissions'!$B$10:$B$126,'vehicles specifications'!BS$2)/1000*$AQ68</f>
        <v>1.9509006594466054E-7</v>
      </c>
      <c r="BT68" s="7">
        <f>SUMIFS('fuels and tailpipe emissions'!$H$10:$H$126,'fuels and tailpipe emissions'!$A$10:$A$126,'vehicles specifications'!$F68,'fuels and tailpipe emissions'!$B$10:$B$126,'vehicles specifications'!BT$2)/1000*$AQ68</f>
        <v>5.7226419343767108E-8</v>
      </c>
      <c r="BU68" s="7">
        <f>SUMIFS('fuels and tailpipe emissions'!$H$10:$H$126,'fuels and tailpipe emissions'!$A$10:$A$126,'vehicles specifications'!$F68,'fuels and tailpipe emissions'!$B$10:$B$126,'vehicles specifications'!BU$2)/1000*$AQ68</f>
        <v>1.5867325363499058E-7</v>
      </c>
      <c r="BV68" s="7">
        <f>SUMIFS('fuels and tailpipe emissions'!$H$10:$H$126,'fuels and tailpipe emissions'!$A$10:$A$126,'vehicles specifications'!$F68,'fuels and tailpipe emissions'!$B$10:$B$126,'vehicles specifications'!BV$2)/1000*$AQ68</f>
        <v>0</v>
      </c>
      <c r="BW68" s="7">
        <f>SUMIFS('fuels and tailpipe emissions'!$H$10:$H$126,'fuels and tailpipe emissions'!$A$10:$A$126,'vehicles specifications'!$F68,'fuels and tailpipe emissions'!$B$10:$B$126,'vehicles specifications'!BW$2)/1000*$AQ68</f>
        <v>4.9422816705980673E-8</v>
      </c>
      <c r="BX68" s="7">
        <f>SUMIFS('fuels and tailpipe emissions'!$H$10:$H$126,'fuels and tailpipe emissions'!$A$10:$A$126,'vehicles specifications'!$F68,'fuels and tailpipe emissions'!$B$10:$B$126,'vehicles specifications'!BX$2)/1000*$AQ68</f>
        <v>2.6272128880547621E-7</v>
      </c>
      <c r="BY68" s="7">
        <f>SUMIFS('fuels and tailpipe emissions'!$H$10:$H$126,'fuels and tailpipe emissions'!$A$10:$A$126,'vehicles specifications'!$F68,'fuels and tailpipe emissions'!$B$10:$B$126,'vehicles specifications'!BY$2)/1000*$AQ68</f>
        <v>6.6642582086444387E-8</v>
      </c>
      <c r="BZ68" s="7">
        <f>SUMIFS('fuels and tailpipe emissions'!$H$10:$H$126,'fuels and tailpipe emissions'!$A$10:$A$126,'vehicles specifications'!$F68,'fuels and tailpipe emissions'!$B$10:$B$126,'vehicles specifications'!BZ$2)/1000*$AQ68</f>
        <v>5.7450501798658951E-10</v>
      </c>
      <c r="CA68" s="7">
        <f>SUMIFS('fuels and tailpipe emissions'!$H$10:$H$126,'fuels and tailpipe emissions'!$A$10:$A$126,'vehicles specifications'!$F68,'fuels and tailpipe emissions'!$B$10:$B$126,'vehicles specifications'!CA$2)/1000*$AQ68</f>
        <v>3.8300334532439302E-10</v>
      </c>
      <c r="CB68" s="7">
        <f>SUMIFS('fuels and tailpipe emissions'!$H$10:$H$126,'fuels and tailpipe emissions'!$A$10:$A$126,'vehicles specifications'!$F68,'fuels and tailpipe emissions'!$B$10:$B$126,'vehicles specifications'!CB$2)/1000*$AQ68</f>
        <v>4.136436129503445E-6</v>
      </c>
      <c r="CC68" s="7">
        <f>SUMIFS('fuels and tailpipe emissions'!$H$10:$H$126,'fuels and tailpipe emissions'!$A$10:$A$126,'vehicles specifications'!$F68,'fuels and tailpipe emissions'!$B$10:$B$126,'vehicles specifications'!CC$2)/1000*$AQ68</f>
        <v>8.0430702518122528E-8</v>
      </c>
      <c r="CD68" s="7">
        <f>SUMIFS('fuels and tailpipe emissions'!$H$10:$H$126,'fuels and tailpipe emissions'!$A$10:$A$126,'vehicles specifications'!$F68,'fuels and tailpipe emissions'!$B$10:$B$126,'vehicles specifications'!CD$2)/1000*$AQ68</f>
        <v>2.4895217446085546E-8</v>
      </c>
      <c r="CE68" s="7">
        <f>SUMIFS('fuels and tailpipe emissions'!$H$10:$H$126,'fuels and tailpipe emissions'!$A$10:$A$126,'vehicles specifications'!$F68,'fuels and tailpipe emissions'!$B$10:$B$126,'vehicles specifications'!CE$2)/1000*$AQ68</f>
        <v>3.0640267625951449E-8</v>
      </c>
      <c r="CF68" s="7">
        <f>SUMIFS('fuels and tailpipe emissions'!$H$10:$H$126,'fuels and tailpipe emissions'!$A$10:$A$126,'vehicles specifications'!$F68,'fuels and tailpipe emissions'!$B$10:$B$126,'vehicles specifications'!CF$2)/1000*$AQ68</f>
        <v>6.1280535251902888E-11</v>
      </c>
      <c r="CG68" s="7">
        <f>SUMIFS('fuels and tailpipe emissions'!$H$10:$H$126,'fuels and tailpipe emissions'!$A$10:$A$126,'vehicles specifications'!$F68,'fuels and tailpipe emissions'!$B$10:$B$126,'vehicles specifications'!CG$2)/1000*$AQ68</f>
        <v>1.6660645521611097E-8</v>
      </c>
      <c r="CH68" s="7">
        <f>SUMIFS('fuels and tailpipe emissions'!$H$10:$H$126,'fuels and tailpipe emissions'!$A$10:$A$126,'vehicles specifications'!$F68,'fuels and tailpipe emissions'!$B$10:$B$126,'vehicles specifications'!CH$2)/1000*$AQ68</f>
        <v>2.0682180647517226E-8</v>
      </c>
      <c r="CI68" s="7">
        <f>VLOOKUP(B68,'abrasion emissions'!$A$4:$D$32,4,FALSE)</f>
        <v>6.0000000000000002E-6</v>
      </c>
      <c r="CJ68" s="7">
        <f>VLOOKUP(B68,'abrasion emissions'!$A$4:$D$32,2,FALSE)</f>
        <v>7.3669999999999991E-6</v>
      </c>
      <c r="CK68" s="7">
        <f>VLOOKUP(B68,'abrasion emissions'!$A$4:$D$32,3,FALSE)</f>
        <v>8.3499999999999997E-6</v>
      </c>
    </row>
    <row r="69" spans="1:89" x14ac:dyDescent="0.3">
      <c r="A69" t="str">
        <f t="shared" si="35"/>
        <v>Motorbike, gasoline, &gt;35kW, EURO-5 - 2040 - CH</v>
      </c>
      <c r="B69" t="s">
        <v>705</v>
      </c>
      <c r="D69">
        <v>2040</v>
      </c>
      <c r="E69" t="s">
        <v>37</v>
      </c>
      <c r="F69" t="s">
        <v>149</v>
      </c>
      <c r="G69" t="s">
        <v>39</v>
      </c>
      <c r="H69" t="s">
        <v>35</v>
      </c>
      <c r="J69" s="21">
        <v>62100</v>
      </c>
      <c r="K69" s="21">
        <v>4592</v>
      </c>
      <c r="L69" s="2">
        <f t="shared" si="36"/>
        <v>13.523519163763066</v>
      </c>
      <c r="M69">
        <v>1.1000000000000001</v>
      </c>
      <c r="N69">
        <v>70</v>
      </c>
      <c r="O69">
        <v>6</v>
      </c>
      <c r="P69" s="2">
        <f t="shared" si="13"/>
        <v>250.97499999999999</v>
      </c>
      <c r="Q69" s="2">
        <f t="shared" si="37"/>
        <v>333.97500000000002</v>
      </c>
      <c r="R69">
        <v>91</v>
      </c>
      <c r="S69" s="2">
        <v>111</v>
      </c>
      <c r="T69" s="1">
        <v>0.05</v>
      </c>
      <c r="U69" s="2">
        <f t="shared" si="32"/>
        <v>105.44999999999999</v>
      </c>
      <c r="V69" s="2">
        <v>130</v>
      </c>
      <c r="W69" s="2">
        <v>0</v>
      </c>
      <c r="X69" s="3">
        <v>0</v>
      </c>
      <c r="Y69" s="1">
        <v>0.8</v>
      </c>
      <c r="Z69" s="3">
        <f t="shared" si="38"/>
        <v>0</v>
      </c>
      <c r="AA69" s="3">
        <v>0</v>
      </c>
      <c r="AB69" s="3">
        <v>0</v>
      </c>
      <c r="AC69" s="3">
        <f t="shared" si="39"/>
        <v>0</v>
      </c>
      <c r="AD69" s="3">
        <v>0</v>
      </c>
      <c r="AE69" s="3">
        <v>18</v>
      </c>
      <c r="AF69">
        <f>AE69*'fuels and tailpipe emissions'!$B$3</f>
        <v>13.5</v>
      </c>
      <c r="AG69" s="2">
        <f>AF69*'fuels and tailpipe emissions'!$C$3</f>
        <v>159</v>
      </c>
      <c r="AH69" s="3">
        <f t="shared" si="33"/>
        <v>2.0249999999999999</v>
      </c>
      <c r="AI69" s="3">
        <v>0</v>
      </c>
      <c r="AJ69" s="3">
        <v>0</v>
      </c>
      <c r="AK69">
        <f t="shared" si="30"/>
        <v>1.242</v>
      </c>
      <c r="AL69">
        <f t="shared" si="15"/>
        <v>1.7934457500000002E-4</v>
      </c>
      <c r="AM69">
        <v>1.2899999999999999E-3</v>
      </c>
      <c r="AN69" s="2">
        <f t="shared" si="40"/>
        <v>105.44999999999999</v>
      </c>
      <c r="AO69" s="2">
        <f t="shared" si="41"/>
        <v>130</v>
      </c>
      <c r="AP69" s="2">
        <f t="shared" si="42"/>
        <v>0</v>
      </c>
      <c r="AQ69" s="6">
        <v>1.8958665593557453</v>
      </c>
      <c r="AR69" s="6" t="str">
        <f>IF($H69="BEV",SUMPRODUCT(#REF!,#REF!),"")</f>
        <v/>
      </c>
      <c r="AS69" s="2">
        <f>SUM(Z69,AG69)/(SUM(AQ69:AR69)/3.6)</f>
        <v>301.91998333179805</v>
      </c>
      <c r="AT69" s="5">
        <f>IF($H69="ICEV-p",$AQ69/('fuels and tailpipe emissions'!$C$3*3.6)*'fuels and tailpipe emissions'!$D$3,"")</f>
        <v>0.14218999195168092</v>
      </c>
      <c r="AU69" s="7">
        <f>IF($H69="ICEV-p",$AQ69/('fuels and tailpipe emissions'!$C$3*3.6)*'fuels and tailpipe emissions'!$E$3,"")</f>
        <v>7.1542134315311146E-7</v>
      </c>
      <c r="AV69" s="7">
        <f>SUMIFS('fuels and tailpipe emissions'!$H$10:$H$126,'fuels and tailpipe emissions'!$A$10:$A$126,'vehicles specifications'!$F69,'fuels and tailpipe emissions'!$B$10:$B$126,'vehicles specifications'!AV$2)/1000*$AQ69</f>
        <v>1.4446809563334003E-6</v>
      </c>
      <c r="AW69" s="7">
        <f>SUMIFS('fuels and tailpipe emissions'!$H$10:$H$126,'fuels and tailpipe emissions'!$A$10:$A$126,'vehicles specifications'!$F69,'fuels and tailpipe emissions'!$B$10:$B$126,'vehicles specifications'!AW$2)/1000*$AQ69</f>
        <v>2.0363598850840388E-5</v>
      </c>
      <c r="AX69" s="7">
        <f>SUMIFS('fuels and tailpipe emissions'!$H$10:$H$126,'fuels and tailpipe emissions'!$A$10:$A$126,'vehicles specifications'!$F69,'fuels and tailpipe emissions'!$B$10:$B$126,'vehicles specifications'!AX$2)/1000*$AQ69</f>
        <v>1.5821783697967266E-4</v>
      </c>
      <c r="AY69" s="7">
        <f>SUMIFS('fuels and tailpipe emissions'!$H$10:$H$126,'fuels and tailpipe emissions'!$A$10:$A$126,'vehicles specifications'!$F69,'fuels and tailpipe emissions'!$B$10:$B$126,'vehicles specifications'!AY$2)/1000*$AQ69</f>
        <v>1.0717683605705466E-6</v>
      </c>
      <c r="AZ69" s="7">
        <f>SUMIFS('fuels and tailpipe emissions'!$H$10:$H$126,'fuels and tailpipe emissions'!$A$10:$A$126,'vehicles specifications'!$F69,'fuels and tailpipe emissions'!$B$10:$B$126,'vehicles specifications'!AZ$2)/1000*$AQ69</f>
        <v>1.0717683605705466E-6</v>
      </c>
      <c r="BA69" s="7">
        <f>SUMIFS('fuels and tailpipe emissions'!$H$10:$H$126,'fuels and tailpipe emissions'!$A$10:$A$126,'vehicles specifications'!$F69,'fuels and tailpipe emissions'!$B$10:$B$126,'vehicles specifications'!BA$2)/1000*$AQ69</f>
        <v>9.0208482435892366E-6</v>
      </c>
      <c r="BB69" s="7">
        <f>SUMIFS('fuels and tailpipe emissions'!$H$10:$H$126,'fuels and tailpipe emissions'!$A$10:$A$126,'vehicles specifications'!$F69,'fuels and tailpipe emissions'!$B$10:$B$126,'vehicles specifications'!BB$2)/1000*$AQ69</f>
        <v>2.6794209014263668E-6</v>
      </c>
      <c r="BC69" s="7">
        <f>SUMIFS('fuels and tailpipe emissions'!$H$10:$H$126,'fuels and tailpipe emissions'!$A$10:$A$126,'vehicles specifications'!$F69,'fuels and tailpipe emissions'!$B$10:$B$126,'vehicles specifications'!BC$2)/1000*$AQ69</f>
        <v>1.1650154450004105E-5</v>
      </c>
      <c r="BD69" s="7">
        <f>SUMIFS('fuels and tailpipe emissions'!$H$10:$H$126,'fuels and tailpipe emissions'!$A$10:$A$126,'vehicles specifications'!$F69,'fuels and tailpipe emissions'!$B$10:$B$126,'vehicles specifications'!BD$2)/1000*$AQ69</f>
        <v>8.2148524967977661E-7</v>
      </c>
      <c r="BE69" s="7">
        <f>SUMIFS('fuels and tailpipe emissions'!$H$10:$H$126,'fuels and tailpipe emissions'!$A$10:$A$126,'vehicles specifications'!$F69,'fuels and tailpipe emissions'!$B$10:$B$126,'vehicles specifications'!BE$2)/1000*$AQ69</f>
        <v>1.6738727658051873E-7</v>
      </c>
      <c r="BF69" s="7">
        <f>SUMIFS('fuels and tailpipe emissions'!$H$10:$H$126,'fuels and tailpipe emissions'!$A$10:$A$126,'vehicles specifications'!$F69,'fuels and tailpipe emissions'!$B$10:$B$126,'vehicles specifications'!BF$2)/1000*$AQ69</f>
        <v>1.3493989681260279E-6</v>
      </c>
      <c r="BG69" s="7">
        <f>SUMIFS('fuels and tailpipe emissions'!$H$10:$H$126,'fuels and tailpipe emissions'!$A$10:$A$126,'vehicles specifications'!$F69,'fuels and tailpipe emissions'!$B$10:$B$126,'vehicles specifications'!BG$2)/1000*$AQ69</f>
        <v>5.5366560715094662E-7</v>
      </c>
      <c r="BH69" s="7">
        <f>SUMIFS('fuels and tailpipe emissions'!$H$10:$H$126,'fuels and tailpipe emissions'!$A$10:$A$126,'vehicles specifications'!$F69,'fuels and tailpipe emissions'!$B$10:$B$126,'vehicles specifications'!BH$2)/1000*$AQ69</f>
        <v>4.1460540814559257E-7</v>
      </c>
      <c r="BI69" s="7">
        <f>SUMIFS('fuels and tailpipe emissions'!$H$10:$H$126,'fuels and tailpipe emissions'!$A$10:$A$126,'vehicles specifications'!$F69,'fuels and tailpipe emissions'!$B$10:$B$126,'vehicles specifications'!BI$2)/1000*$AQ69</f>
        <v>2.9357153123352523E-7</v>
      </c>
      <c r="BJ69" s="7">
        <f>SUMIFS('fuels and tailpipe emissions'!$H$10:$H$126,'fuels and tailpipe emissions'!$A$10:$A$126,'vehicles specifications'!$F69,'fuels and tailpipe emissions'!$B$10:$B$126,'vehicles specifications'!BJ$2)/1000*$AQ69</f>
        <v>1.9056397641474442E-7</v>
      </c>
      <c r="BK69" s="7">
        <f>SUMIFS('fuels and tailpipe emissions'!$H$10:$H$126,'fuels and tailpipe emissions'!$A$10:$A$126,'vehicles specifications'!$F69,'fuels and tailpipe emissions'!$B$10:$B$126,'vehicles specifications'!BK$2)/1000*$AQ69</f>
        <v>1.8798878754427487E-6</v>
      </c>
      <c r="BL69" s="7">
        <f>SUMIFS('fuels and tailpipe emissions'!$H$10:$H$126,'fuels and tailpipe emissions'!$A$10:$A$126,'vehicles specifications'!$F69,'fuels and tailpipe emissions'!$B$10:$B$126,'vehicles specifications'!BL$2)/1000*$AQ69</f>
        <v>9.8372214851935643E-7</v>
      </c>
      <c r="BM69" s="7">
        <f>SUMIFS('fuels and tailpipe emissions'!$H$10:$H$126,'fuels and tailpipe emissions'!$A$10:$A$126,'vehicles specifications'!$F69,'fuels and tailpipe emissions'!$B$10:$B$126,'vehicles specifications'!BM$2)/1000*$AQ69</f>
        <v>2.8327077575164717E-8</v>
      </c>
      <c r="BN69" s="7">
        <f>SUMIFS('fuels and tailpipe emissions'!$H$10:$H$126,'fuels and tailpipe emissions'!$A$10:$A$126,'vehicles specifications'!$F69,'fuels and tailpipe emissions'!$B$10:$B$126,'vehicles specifications'!BN$2)/1000*$AQ69</f>
        <v>1.4446809563334003E-6</v>
      </c>
      <c r="BO69" s="7">
        <f>SUMIFS('fuels and tailpipe emissions'!$H$10:$H$126,'fuels and tailpipe emissions'!$A$10:$A$126,'vehicles specifications'!$F69,'fuels and tailpipe emissions'!$B$10:$B$126,'vehicles specifications'!BO$2)/1000*$AQ69</f>
        <v>2.8275573797755318E-6</v>
      </c>
      <c r="BP69" s="7">
        <f>SUMIFS('fuels and tailpipe emissions'!$H$10:$H$126,'fuels and tailpipe emissions'!$A$10:$A$126,'vehicles specifications'!$F69,'fuels and tailpipe emissions'!$B$10:$B$126,'vehicles specifications'!BP$2)/1000*$AQ69</f>
        <v>1.3983275566649491E-6</v>
      </c>
      <c r="BQ69" s="7">
        <f>SUMIFS('fuels and tailpipe emissions'!$H$10:$H$126,'fuels and tailpipe emissions'!$A$10:$A$126,'vehicles specifications'!$F69,'fuels and tailpipe emissions'!$B$10:$B$126,'vehicles specifications'!BQ$2)/1000*$AQ69</f>
        <v>5.819926847261114E-7</v>
      </c>
      <c r="BR69" s="7">
        <f>SUMIFS('fuels and tailpipe emissions'!$H$10:$H$126,'fuels and tailpipe emissions'!$A$10:$A$126,'vehicles specifications'!$F69,'fuels and tailpipe emissions'!$B$10:$B$126,'vehicles specifications'!BR$2)/1000*$AQ69</f>
        <v>4.3778210797981829E-7</v>
      </c>
      <c r="BS69" s="7">
        <f>SUMIFS('fuels and tailpipe emissions'!$H$10:$H$126,'fuels and tailpipe emissions'!$A$10:$A$126,'vehicles specifications'!$F69,'fuels and tailpipe emissions'!$B$10:$B$126,'vehicles specifications'!BS$2)/1000*$AQ69</f>
        <v>1.9313916528521392E-7</v>
      </c>
      <c r="BT69" s="7">
        <f>SUMIFS('fuels and tailpipe emissions'!$H$10:$H$126,'fuels and tailpipe emissions'!$A$10:$A$126,'vehicles specifications'!$F69,'fuels and tailpipe emissions'!$B$10:$B$126,'vehicles specifications'!BT$2)/1000*$AQ69</f>
        <v>5.6654155150329434E-8</v>
      </c>
      <c r="BU69" s="7">
        <f>SUMIFS('fuels and tailpipe emissions'!$H$10:$H$126,'fuels and tailpipe emissions'!$A$10:$A$126,'vehicles specifications'!$F69,'fuels and tailpipe emissions'!$B$10:$B$126,'vehicles specifications'!BU$2)/1000*$AQ69</f>
        <v>1.5708652109864066E-7</v>
      </c>
      <c r="BV69" s="7">
        <f>SUMIFS('fuels and tailpipe emissions'!$H$10:$H$126,'fuels and tailpipe emissions'!$A$10:$A$126,'vehicles specifications'!$F69,'fuels and tailpipe emissions'!$B$10:$B$126,'vehicles specifications'!BV$2)/1000*$AQ69</f>
        <v>0</v>
      </c>
      <c r="BW69" s="7">
        <f>SUMIFS('fuels and tailpipe emissions'!$H$10:$H$126,'fuels and tailpipe emissions'!$A$10:$A$126,'vehicles specifications'!$F69,'fuels and tailpipe emissions'!$B$10:$B$126,'vehicles specifications'!BW$2)/1000*$AQ69</f>
        <v>4.8928588538920863E-8</v>
      </c>
      <c r="BX69" s="7">
        <f>SUMIFS('fuels and tailpipe emissions'!$H$10:$H$126,'fuels and tailpipe emissions'!$A$10:$A$126,'vehicles specifications'!$F69,'fuels and tailpipe emissions'!$B$10:$B$126,'vehicles specifications'!BX$2)/1000*$AQ69</f>
        <v>2.6009407591742145E-7</v>
      </c>
      <c r="BY69" s="7">
        <f>SUMIFS('fuels and tailpipe emissions'!$H$10:$H$126,'fuels and tailpipe emissions'!$A$10:$A$126,'vehicles specifications'!$F69,'fuels and tailpipe emissions'!$B$10:$B$126,'vehicles specifications'!BY$2)/1000*$AQ69</f>
        <v>6.5976156265579933E-8</v>
      </c>
      <c r="BZ69" s="7">
        <f>SUMIFS('fuels and tailpipe emissions'!$H$10:$H$126,'fuels and tailpipe emissions'!$A$10:$A$126,'vehicles specifications'!$F69,'fuels and tailpipe emissions'!$B$10:$B$126,'vehicles specifications'!BZ$2)/1000*$AQ69</f>
        <v>5.6875996780672355E-10</v>
      </c>
      <c r="CA69" s="7">
        <f>SUMIFS('fuels and tailpipe emissions'!$H$10:$H$126,'fuels and tailpipe emissions'!$A$10:$A$126,'vehicles specifications'!$F69,'fuels and tailpipe emissions'!$B$10:$B$126,'vehicles specifications'!CA$2)/1000*$AQ69</f>
        <v>3.7917331187114909E-10</v>
      </c>
      <c r="CB69" s="7">
        <f>SUMIFS('fuels and tailpipe emissions'!$H$10:$H$126,'fuels and tailpipe emissions'!$A$10:$A$126,'vehicles specifications'!$F69,'fuels and tailpipe emissions'!$B$10:$B$126,'vehicles specifications'!CB$2)/1000*$AQ69</f>
        <v>4.09507176820841E-6</v>
      </c>
      <c r="CC69" s="7">
        <f>SUMIFS('fuels and tailpipe emissions'!$H$10:$H$126,'fuels and tailpipe emissions'!$A$10:$A$126,'vehicles specifications'!$F69,'fuels and tailpipe emissions'!$B$10:$B$126,'vehicles specifications'!CC$2)/1000*$AQ69</f>
        <v>7.9626395492941297E-8</v>
      </c>
      <c r="CD69" s="7">
        <f>SUMIFS('fuels and tailpipe emissions'!$H$10:$H$126,'fuels and tailpipe emissions'!$A$10:$A$126,'vehicles specifications'!$F69,'fuels and tailpipe emissions'!$B$10:$B$126,'vehicles specifications'!CD$2)/1000*$AQ69</f>
        <v>2.4646265271624692E-8</v>
      </c>
      <c r="CE69" s="7">
        <f>SUMIFS('fuels and tailpipe emissions'!$H$10:$H$126,'fuels and tailpipe emissions'!$A$10:$A$126,'vehicles specifications'!$F69,'fuels and tailpipe emissions'!$B$10:$B$126,'vehicles specifications'!CE$2)/1000*$AQ69</f>
        <v>3.0333864949691933E-8</v>
      </c>
      <c r="CF69" s="7">
        <f>SUMIFS('fuels and tailpipe emissions'!$H$10:$H$126,'fuels and tailpipe emissions'!$A$10:$A$126,'vehicles specifications'!$F69,'fuels and tailpipe emissions'!$B$10:$B$126,'vehicles specifications'!CF$2)/1000*$AQ69</f>
        <v>6.0667729899383848E-11</v>
      </c>
      <c r="CG69" s="7">
        <f>SUMIFS('fuels and tailpipe emissions'!$H$10:$H$126,'fuels and tailpipe emissions'!$A$10:$A$126,'vehicles specifications'!$F69,'fuels and tailpipe emissions'!$B$10:$B$126,'vehicles specifications'!CG$2)/1000*$AQ69</f>
        <v>1.6494039066394983E-8</v>
      </c>
      <c r="CH69" s="7">
        <f>SUMIFS('fuels and tailpipe emissions'!$H$10:$H$126,'fuels and tailpipe emissions'!$A$10:$A$126,'vehicles specifications'!$F69,'fuels and tailpipe emissions'!$B$10:$B$126,'vehicles specifications'!CH$2)/1000*$AQ69</f>
        <v>2.047535884104205E-8</v>
      </c>
      <c r="CI69" s="7">
        <f>VLOOKUP(B69,'abrasion emissions'!$A$4:$D$32,4,FALSE)</f>
        <v>6.0000000000000002E-6</v>
      </c>
      <c r="CJ69" s="7">
        <f>VLOOKUP(B69,'abrasion emissions'!$A$4:$D$32,2,FALSE)</f>
        <v>7.3669999999999991E-6</v>
      </c>
      <c r="CK69" s="7">
        <f>VLOOKUP(B69,'abrasion emissions'!$A$4:$D$32,3,FALSE)</f>
        <v>8.3499999999999997E-6</v>
      </c>
    </row>
    <row r="70" spans="1:89" x14ac:dyDescent="0.3">
      <c r="A70" t="str">
        <f t="shared" si="35"/>
        <v>Motorbike, gasoline, &gt;35kW, EURO-5 - 2050 - CH</v>
      </c>
      <c r="B70" t="s">
        <v>705</v>
      </c>
      <c r="D70">
        <v>2050</v>
      </c>
      <c r="E70" t="s">
        <v>37</v>
      </c>
      <c r="F70" t="s">
        <v>149</v>
      </c>
      <c r="G70" t="s">
        <v>39</v>
      </c>
      <c r="H70" t="s">
        <v>35</v>
      </c>
      <c r="J70" s="21">
        <v>62100</v>
      </c>
      <c r="K70" s="21">
        <v>4592</v>
      </c>
      <c r="L70" s="2">
        <f t="shared" si="36"/>
        <v>13.523519163763066</v>
      </c>
      <c r="M70">
        <v>1.1000000000000001</v>
      </c>
      <c r="N70">
        <v>70</v>
      </c>
      <c r="O70">
        <v>6</v>
      </c>
      <c r="P70" s="2">
        <f t="shared" si="13"/>
        <v>248.755</v>
      </c>
      <c r="Q70" s="2">
        <f t="shared" si="37"/>
        <v>331.755</v>
      </c>
      <c r="R70">
        <v>91</v>
      </c>
      <c r="S70" s="2">
        <v>111</v>
      </c>
      <c r="T70" s="1">
        <v>7.0000000000000007E-2</v>
      </c>
      <c r="U70" s="2">
        <f t="shared" si="32"/>
        <v>103.22999999999999</v>
      </c>
      <c r="V70" s="2">
        <v>130</v>
      </c>
      <c r="W70" s="2">
        <v>0</v>
      </c>
      <c r="X70" s="3">
        <v>0</v>
      </c>
      <c r="Y70" s="1">
        <v>0.8</v>
      </c>
      <c r="Z70" s="3">
        <f t="shared" si="38"/>
        <v>0</v>
      </c>
      <c r="AA70" s="3">
        <v>0</v>
      </c>
      <c r="AB70" s="3">
        <v>0</v>
      </c>
      <c r="AC70" s="3">
        <f t="shared" si="39"/>
        <v>0</v>
      </c>
      <c r="AD70" s="3">
        <v>0</v>
      </c>
      <c r="AE70" s="3">
        <v>18</v>
      </c>
      <c r="AF70">
        <f>AE70*'fuels and tailpipe emissions'!$B$3</f>
        <v>13.5</v>
      </c>
      <c r="AG70" s="2">
        <f>AF70*'fuels and tailpipe emissions'!$C$3</f>
        <v>159</v>
      </c>
      <c r="AH70" s="3">
        <f t="shared" si="33"/>
        <v>2.0249999999999999</v>
      </c>
      <c r="AI70" s="3">
        <v>0</v>
      </c>
      <c r="AJ70" s="3">
        <v>0</v>
      </c>
      <c r="AK70">
        <f t="shared" si="30"/>
        <v>1.242</v>
      </c>
      <c r="AL70">
        <f t="shared" si="15"/>
        <v>1.7815243499999999E-4</v>
      </c>
      <c r="AM70">
        <v>1.2899999999999999E-3</v>
      </c>
      <c r="AN70" s="2">
        <f t="shared" si="40"/>
        <v>103.22999999999999</v>
      </c>
      <c r="AO70" s="2">
        <f t="shared" si="41"/>
        <v>130</v>
      </c>
      <c r="AP70" s="2">
        <f t="shared" si="42"/>
        <v>0</v>
      </c>
      <c r="AQ70" s="6">
        <v>1.8769078937621879</v>
      </c>
      <c r="AR70" s="6" t="str">
        <f>IF($H70="BEV",SUMPRODUCT(#REF!,#REF!),"")</f>
        <v/>
      </c>
      <c r="AS70" s="2">
        <f>SUM(Z70,AG70)/(SUM(AQ70:AR70)/3.6)</f>
        <v>304.96968013312937</v>
      </c>
      <c r="AT70" s="5">
        <f>IF($H70="ICEV-p",$AQ70/('fuels and tailpipe emissions'!$C$3*3.6)*'fuels and tailpipe emissions'!$D$3,"")</f>
        <v>0.14076809203216409</v>
      </c>
      <c r="AU70" s="7">
        <f>IF($H70="ICEV-p",$AQ70/('fuels and tailpipe emissions'!$C$3*3.6)*'fuels and tailpipe emissions'!$E$3,"")</f>
        <v>7.0826712972158032E-7</v>
      </c>
      <c r="AV70" s="7">
        <f>SUMIFS('fuels and tailpipe emissions'!$H$10:$H$126,'fuels and tailpipe emissions'!$A$10:$A$126,'vehicles specifications'!$F70,'fuels and tailpipe emissions'!$B$10:$B$126,'vehicles specifications'!AV$2)/1000*$AQ70</f>
        <v>1.4302341467700663E-6</v>
      </c>
      <c r="AW70" s="7">
        <f>SUMIFS('fuels and tailpipe emissions'!$H$10:$H$126,'fuels and tailpipe emissions'!$A$10:$A$126,'vehicles specifications'!$F70,'fuels and tailpipe emissions'!$B$10:$B$126,'vehicles specifications'!AW$2)/1000*$AQ70</f>
        <v>2.0159962862331985E-5</v>
      </c>
      <c r="AX70" s="7">
        <f>SUMIFS('fuels and tailpipe emissions'!$H$10:$H$126,'fuels and tailpipe emissions'!$A$10:$A$126,'vehicles specifications'!$F70,'fuels and tailpipe emissions'!$B$10:$B$126,'vehicles specifications'!AX$2)/1000*$AQ70</f>
        <v>1.5663565860987594E-4</v>
      </c>
      <c r="AY70" s="7">
        <f>SUMIFS('fuels and tailpipe emissions'!$H$10:$H$126,'fuels and tailpipe emissions'!$A$10:$A$126,'vehicles specifications'!$F70,'fuels and tailpipe emissions'!$B$10:$B$126,'vehicles specifications'!AY$2)/1000*$AQ70</f>
        <v>1.0610506769648412E-6</v>
      </c>
      <c r="AZ70" s="7">
        <f>SUMIFS('fuels and tailpipe emissions'!$H$10:$H$126,'fuels and tailpipe emissions'!$A$10:$A$126,'vehicles specifications'!$F70,'fuels and tailpipe emissions'!$B$10:$B$126,'vehicles specifications'!AZ$2)/1000*$AQ70</f>
        <v>1.0610506769648412E-6</v>
      </c>
      <c r="BA70" s="7">
        <f>SUMIFS('fuels and tailpipe emissions'!$H$10:$H$126,'fuels and tailpipe emissions'!$A$10:$A$126,'vehicles specifications'!$F70,'fuels and tailpipe emissions'!$B$10:$B$126,'vehicles specifications'!BA$2)/1000*$AQ70</f>
        <v>8.9306397611533445E-6</v>
      </c>
      <c r="BB70" s="7">
        <f>SUMIFS('fuels and tailpipe emissions'!$H$10:$H$126,'fuels and tailpipe emissions'!$A$10:$A$126,'vehicles specifications'!$F70,'fuels and tailpipe emissions'!$B$10:$B$126,'vehicles specifications'!BB$2)/1000*$AQ70</f>
        <v>2.6526266924121032E-6</v>
      </c>
      <c r="BC70" s="7">
        <f>SUMIFS('fuels and tailpipe emissions'!$H$10:$H$126,'fuels and tailpipe emissions'!$A$10:$A$126,'vehicles specifications'!$F70,'fuels and tailpipe emissions'!$B$10:$B$126,'vehicles specifications'!BC$2)/1000*$AQ70</f>
        <v>1.1533652905504065E-5</v>
      </c>
      <c r="BD70" s="7">
        <f>SUMIFS('fuels and tailpipe emissions'!$H$10:$H$126,'fuels and tailpipe emissions'!$A$10:$A$126,'vehicles specifications'!$F70,'fuels and tailpipe emissions'!$B$10:$B$126,'vehicles specifications'!BD$2)/1000*$AQ70</f>
        <v>8.132703971829788E-7</v>
      </c>
      <c r="BE70" s="7">
        <f>SUMIFS('fuels and tailpipe emissions'!$H$10:$H$126,'fuels and tailpipe emissions'!$A$10:$A$126,'vehicles specifications'!$F70,'fuels and tailpipe emissions'!$B$10:$B$126,'vehicles specifications'!BE$2)/1000*$AQ70</f>
        <v>1.6571340381471356E-7</v>
      </c>
      <c r="BF70" s="7">
        <f>SUMIFS('fuels and tailpipe emissions'!$H$10:$H$126,'fuels and tailpipe emissions'!$A$10:$A$126,'vehicles specifications'!$F70,'fuels and tailpipe emissions'!$B$10:$B$126,'vehicles specifications'!BF$2)/1000*$AQ70</f>
        <v>1.3359049784447677E-6</v>
      </c>
      <c r="BG70" s="7">
        <f>SUMIFS('fuels and tailpipe emissions'!$H$10:$H$126,'fuels and tailpipe emissions'!$A$10:$A$126,'vehicles specifications'!$F70,'fuels and tailpipe emissions'!$B$10:$B$126,'vehicles specifications'!BG$2)/1000*$AQ70</f>
        <v>5.4812895107943716E-7</v>
      </c>
      <c r="BH70" s="7">
        <f>SUMIFS('fuels and tailpipe emissions'!$H$10:$H$126,'fuels and tailpipe emissions'!$A$10:$A$126,'vehicles specifications'!$F70,'fuels and tailpipe emissions'!$B$10:$B$126,'vehicles specifications'!BH$2)/1000*$AQ70</f>
        <v>4.1045935406413667E-7</v>
      </c>
      <c r="BI70" s="7">
        <f>SUMIFS('fuels and tailpipe emissions'!$H$10:$H$126,'fuels and tailpipe emissions'!$A$10:$A$126,'vehicles specifications'!$F70,'fuels and tailpipe emissions'!$B$10:$B$126,'vehicles specifications'!BI$2)/1000*$AQ70</f>
        <v>2.9063581592118997E-7</v>
      </c>
      <c r="BJ70" s="7">
        <f>SUMIFS('fuels and tailpipe emissions'!$H$10:$H$126,'fuels and tailpipe emissions'!$A$10:$A$126,'vehicles specifications'!$F70,'fuels and tailpipe emissions'!$B$10:$B$126,'vehicles specifications'!BJ$2)/1000*$AQ70</f>
        <v>1.8865833665059698E-7</v>
      </c>
      <c r="BK70" s="7">
        <f>SUMIFS('fuels and tailpipe emissions'!$H$10:$H$126,'fuels and tailpipe emissions'!$A$10:$A$126,'vehicles specifications'!$F70,'fuels and tailpipe emissions'!$B$10:$B$126,'vehicles specifications'!BK$2)/1000*$AQ70</f>
        <v>1.8610889966883214E-6</v>
      </c>
      <c r="BL70" s="7">
        <f>SUMIFS('fuels and tailpipe emissions'!$H$10:$H$126,'fuels and tailpipe emissions'!$A$10:$A$126,'vehicles specifications'!$F70,'fuels and tailpipe emissions'!$B$10:$B$126,'vehicles specifications'!BL$2)/1000*$AQ70</f>
        <v>9.7388492703416292E-7</v>
      </c>
      <c r="BM70" s="7">
        <f>SUMIFS('fuels and tailpipe emissions'!$H$10:$H$126,'fuels and tailpipe emissions'!$A$10:$A$126,'vehicles specifications'!$F70,'fuels and tailpipe emissions'!$B$10:$B$126,'vehicles specifications'!BM$2)/1000*$AQ70</f>
        <v>2.804380679941307E-8</v>
      </c>
      <c r="BN70" s="7">
        <f>SUMIFS('fuels and tailpipe emissions'!$H$10:$H$126,'fuels and tailpipe emissions'!$A$10:$A$126,'vehicles specifications'!$F70,'fuels and tailpipe emissions'!$B$10:$B$126,'vehicles specifications'!BN$2)/1000*$AQ70</f>
        <v>1.4302341467700663E-6</v>
      </c>
      <c r="BO70" s="7">
        <f>SUMIFS('fuels and tailpipe emissions'!$H$10:$H$126,'fuels and tailpipe emissions'!$A$10:$A$126,'vehicles specifications'!$F70,'fuels and tailpipe emissions'!$B$10:$B$126,'vehicles specifications'!BO$2)/1000*$AQ70</f>
        <v>2.7992818059777767E-6</v>
      </c>
      <c r="BP70" s="7">
        <f>SUMIFS('fuels and tailpipe emissions'!$H$10:$H$126,'fuels and tailpipe emissions'!$A$10:$A$126,'vehicles specifications'!$F70,'fuels and tailpipe emissions'!$B$10:$B$126,'vehicles specifications'!BP$2)/1000*$AQ70</f>
        <v>1.3843442810982995E-6</v>
      </c>
      <c r="BQ70" s="7">
        <f>SUMIFS('fuels and tailpipe emissions'!$H$10:$H$126,'fuels and tailpipe emissions'!$A$10:$A$126,'vehicles specifications'!$F70,'fuels and tailpipe emissions'!$B$10:$B$126,'vehicles specifications'!BQ$2)/1000*$AQ70</f>
        <v>5.761727578788502E-7</v>
      </c>
      <c r="BR70" s="7">
        <f>SUMIFS('fuels and tailpipe emissions'!$H$10:$H$126,'fuels and tailpipe emissions'!$A$10:$A$126,'vehicles specifications'!$F70,'fuels and tailpipe emissions'!$B$10:$B$126,'vehicles specifications'!BR$2)/1000*$AQ70</f>
        <v>4.3340428690002014E-7</v>
      </c>
      <c r="BS70" s="7">
        <f>SUMIFS('fuels and tailpipe emissions'!$H$10:$H$126,'fuels and tailpipe emissions'!$A$10:$A$126,'vehicles specifications'!$F70,'fuels and tailpipe emissions'!$B$10:$B$126,'vehicles specifications'!BS$2)/1000*$AQ70</f>
        <v>1.9120777363236179E-7</v>
      </c>
      <c r="BT70" s="7">
        <f>SUMIFS('fuels and tailpipe emissions'!$H$10:$H$126,'fuels and tailpipe emissions'!$A$10:$A$126,'vehicles specifications'!$F70,'fuels and tailpipe emissions'!$B$10:$B$126,'vehicles specifications'!BT$2)/1000*$AQ70</f>
        <v>5.608761359882614E-8</v>
      </c>
      <c r="BU70" s="7">
        <f>SUMIFS('fuels and tailpipe emissions'!$H$10:$H$126,'fuels and tailpipe emissions'!$A$10:$A$126,'vehicles specifications'!$F70,'fuels and tailpipe emissions'!$B$10:$B$126,'vehicles specifications'!BU$2)/1000*$AQ70</f>
        <v>1.5551565588765426E-7</v>
      </c>
      <c r="BV70" s="7">
        <f>SUMIFS('fuels and tailpipe emissions'!$H$10:$H$126,'fuels and tailpipe emissions'!$A$10:$A$126,'vehicles specifications'!$F70,'fuels and tailpipe emissions'!$B$10:$B$126,'vehicles specifications'!BV$2)/1000*$AQ70</f>
        <v>0</v>
      </c>
      <c r="BW70" s="7">
        <f>SUMIFS('fuels and tailpipe emissions'!$H$10:$H$126,'fuels and tailpipe emissions'!$A$10:$A$126,'vehicles specifications'!$F70,'fuels and tailpipe emissions'!$B$10:$B$126,'vehicles specifications'!BW$2)/1000*$AQ70</f>
        <v>4.843930265353165E-8</v>
      </c>
      <c r="BX70" s="7">
        <f>SUMIFS('fuels and tailpipe emissions'!$H$10:$H$126,'fuels and tailpipe emissions'!$A$10:$A$126,'vehicles specifications'!$F70,'fuels and tailpipe emissions'!$B$10:$B$126,'vehicles specifications'!BX$2)/1000*$AQ70</f>
        <v>2.5749313515824725E-7</v>
      </c>
      <c r="BY70" s="7">
        <f>SUMIFS('fuels and tailpipe emissions'!$H$10:$H$126,'fuels and tailpipe emissions'!$A$10:$A$126,'vehicles specifications'!$F70,'fuels and tailpipe emissions'!$B$10:$B$126,'vehicles specifications'!BY$2)/1000*$AQ70</f>
        <v>6.5316394702924136E-8</v>
      </c>
      <c r="BZ70" s="7">
        <f>SUMIFS('fuels and tailpipe emissions'!$H$10:$H$126,'fuels and tailpipe emissions'!$A$10:$A$126,'vehicles specifications'!$F70,'fuels and tailpipe emissions'!$B$10:$B$126,'vehicles specifications'!BZ$2)/1000*$AQ70</f>
        <v>5.6307236812865639E-10</v>
      </c>
      <c r="CA70" s="7">
        <f>SUMIFS('fuels and tailpipe emissions'!$H$10:$H$126,'fuels and tailpipe emissions'!$A$10:$A$126,'vehicles specifications'!$F70,'fuels and tailpipe emissions'!$B$10:$B$126,'vehicles specifications'!CA$2)/1000*$AQ70</f>
        <v>3.7538157875243757E-10</v>
      </c>
      <c r="CB70" s="7">
        <f>SUMIFS('fuels and tailpipe emissions'!$H$10:$H$126,'fuels and tailpipe emissions'!$A$10:$A$126,'vehicles specifications'!$F70,'fuels and tailpipe emissions'!$B$10:$B$126,'vehicles specifications'!CB$2)/1000*$AQ70</f>
        <v>4.0541210505263257E-6</v>
      </c>
      <c r="CC70" s="7">
        <f>SUMIFS('fuels and tailpipe emissions'!$H$10:$H$126,'fuels and tailpipe emissions'!$A$10:$A$126,'vehicles specifications'!$F70,'fuels and tailpipe emissions'!$B$10:$B$126,'vehicles specifications'!CC$2)/1000*$AQ70</f>
        <v>7.8830131538011886E-8</v>
      </c>
      <c r="CD70" s="7">
        <f>SUMIFS('fuels and tailpipe emissions'!$H$10:$H$126,'fuels and tailpipe emissions'!$A$10:$A$126,'vehicles specifications'!$F70,'fuels and tailpipe emissions'!$B$10:$B$126,'vehicles specifications'!CD$2)/1000*$AQ70</f>
        <v>2.4399802618908446E-8</v>
      </c>
      <c r="CE70" s="7">
        <f>SUMIFS('fuels and tailpipe emissions'!$H$10:$H$126,'fuels and tailpipe emissions'!$A$10:$A$126,'vehicles specifications'!$F70,'fuels and tailpipe emissions'!$B$10:$B$126,'vehicles specifications'!CE$2)/1000*$AQ70</f>
        <v>3.0030526300195015E-8</v>
      </c>
      <c r="CF70" s="7">
        <f>SUMIFS('fuels and tailpipe emissions'!$H$10:$H$126,'fuels and tailpipe emissions'!$A$10:$A$126,'vehicles specifications'!$F70,'fuels and tailpipe emissions'!$B$10:$B$126,'vehicles specifications'!CF$2)/1000*$AQ70</f>
        <v>6.0061052600390007E-11</v>
      </c>
      <c r="CG70" s="7">
        <f>SUMIFS('fuels and tailpipe emissions'!$H$10:$H$126,'fuels and tailpipe emissions'!$A$10:$A$126,'vehicles specifications'!$F70,'fuels and tailpipe emissions'!$B$10:$B$126,'vehicles specifications'!CG$2)/1000*$AQ70</f>
        <v>1.6329098675731034E-8</v>
      </c>
      <c r="CH70" s="7">
        <f>SUMIFS('fuels and tailpipe emissions'!$H$10:$H$126,'fuels and tailpipe emissions'!$A$10:$A$126,'vehicles specifications'!$F70,'fuels and tailpipe emissions'!$B$10:$B$126,'vehicles specifications'!CH$2)/1000*$AQ70</f>
        <v>2.027060525263163E-8</v>
      </c>
      <c r="CI70" s="7">
        <f>VLOOKUP(B70,'abrasion emissions'!$A$4:$D$32,4,FALSE)</f>
        <v>6.0000000000000002E-6</v>
      </c>
      <c r="CJ70" s="7">
        <f>VLOOKUP(B70,'abrasion emissions'!$A$4:$D$32,2,FALSE)</f>
        <v>7.3669999999999991E-6</v>
      </c>
      <c r="CK70" s="7">
        <f>VLOOKUP(B70,'abrasion emissions'!$A$4:$D$32,3,FALSE)</f>
        <v>8.3499999999999997E-6</v>
      </c>
    </row>
    <row r="71" spans="1:89" x14ac:dyDescent="0.3">
      <c r="A71" t="str">
        <f t="shared" si="35"/>
        <v>Motorbike, electric, &lt;4kW - 2020 - CH</v>
      </c>
      <c r="B71" t="s">
        <v>520</v>
      </c>
      <c r="D71">
        <v>2020</v>
      </c>
      <c r="E71" t="s">
        <v>37</v>
      </c>
      <c r="F71" t="s">
        <v>146</v>
      </c>
      <c r="G71" t="s">
        <v>39</v>
      </c>
      <c r="H71" t="s">
        <v>32</v>
      </c>
      <c r="I71" t="s">
        <v>43</v>
      </c>
      <c r="J71">
        <v>33400</v>
      </c>
      <c r="K71">
        <v>2553</v>
      </c>
      <c r="L71" s="2">
        <f t="shared" si="36"/>
        <v>13.082647865256561</v>
      </c>
      <c r="M71">
        <v>1.1000000000000001</v>
      </c>
      <c r="N71">
        <v>70</v>
      </c>
      <c r="O71">
        <v>6</v>
      </c>
      <c r="P71" s="2">
        <f t="shared" si="13"/>
        <v>75.8</v>
      </c>
      <c r="Q71" s="2">
        <f t="shared" si="37"/>
        <v>158.80000000000001</v>
      </c>
      <c r="R71">
        <v>2.5</v>
      </c>
      <c r="S71" s="2">
        <v>53</v>
      </c>
      <c r="T71" s="1">
        <v>0</v>
      </c>
      <c r="U71" s="2">
        <f t="shared" ref="U71:U86" si="43">S71*(1-T71)</f>
        <v>53</v>
      </c>
      <c r="V71" s="2">
        <v>4.5</v>
      </c>
      <c r="W71" s="2">
        <v>7.5</v>
      </c>
      <c r="X71" s="3">
        <v>1.8</v>
      </c>
      <c r="Y71" s="1">
        <v>0.8</v>
      </c>
      <c r="Z71" s="3">
        <f t="shared" si="38"/>
        <v>1.4400000000000002</v>
      </c>
      <c r="AA71" s="3">
        <f>X71/'energy battery'!B$3</f>
        <v>9</v>
      </c>
      <c r="AB71" s="3">
        <f>0.2*AA71</f>
        <v>1.8</v>
      </c>
      <c r="AC71" s="3">
        <f t="shared" si="39"/>
        <v>10.8</v>
      </c>
      <c r="AD71" s="3">
        <v>1</v>
      </c>
      <c r="AE71" s="3">
        <v>0</v>
      </c>
      <c r="AF71">
        <f>AE71*'fuels and tailpipe emissions'!$B$3</f>
        <v>0</v>
      </c>
      <c r="AG71">
        <v>0</v>
      </c>
      <c r="AH71" s="3">
        <v>0</v>
      </c>
      <c r="AI71" s="3">
        <v>3</v>
      </c>
      <c r="AJ71" s="3">
        <v>1</v>
      </c>
      <c r="AK71" s="3">
        <f>J71/50000</f>
        <v>0.66800000000000004</v>
      </c>
      <c r="AL71">
        <f t="shared" si="15"/>
        <v>8.5275600000000001E-5</v>
      </c>
      <c r="AM71">
        <v>1.2899999999999999E-3</v>
      </c>
      <c r="AN71" s="2">
        <f t="shared" si="40"/>
        <v>53</v>
      </c>
      <c r="AO71" s="2">
        <f t="shared" si="41"/>
        <v>12</v>
      </c>
      <c r="AP71" s="2">
        <f t="shared" si="42"/>
        <v>10.8</v>
      </c>
      <c r="AQ71" s="6" t="s">
        <v>86</v>
      </c>
      <c r="AR71" s="6">
        <v>0.121</v>
      </c>
      <c r="AS71" s="2">
        <f>SUM(Z71,AG71)/(SUM(AQ71:AR71)/3.6)</f>
        <v>42.842975206611577</v>
      </c>
      <c r="AT71" s="5">
        <v>0</v>
      </c>
      <c r="AU71" s="7">
        <v>0</v>
      </c>
      <c r="AV71" s="7">
        <v>0</v>
      </c>
      <c r="AW71" s="7">
        <v>0</v>
      </c>
      <c r="AX71" s="7">
        <v>0</v>
      </c>
      <c r="AY71" s="7">
        <v>0</v>
      </c>
      <c r="AZ71" s="7">
        <v>0</v>
      </c>
      <c r="BA71" s="7">
        <v>0</v>
      </c>
      <c r="BB71" s="7">
        <v>0</v>
      </c>
      <c r="BC71" s="7">
        <v>0</v>
      </c>
      <c r="BD71" s="7">
        <v>0</v>
      </c>
      <c r="BE71" s="7">
        <v>0</v>
      </c>
      <c r="BF71" s="7">
        <v>0</v>
      </c>
      <c r="BG71" s="7">
        <v>0</v>
      </c>
      <c r="BH71" s="7">
        <v>0</v>
      </c>
      <c r="BI71" s="7">
        <v>0</v>
      </c>
      <c r="BJ71" s="7">
        <v>0</v>
      </c>
      <c r="BK71" s="7">
        <v>0</v>
      </c>
      <c r="BL71" s="7">
        <v>0</v>
      </c>
      <c r="BM71" s="7">
        <v>0</v>
      </c>
      <c r="BN71" s="7">
        <v>0</v>
      </c>
      <c r="BO71" s="7">
        <v>0</v>
      </c>
      <c r="BP71" s="7">
        <v>0</v>
      </c>
      <c r="BQ71" s="7">
        <v>0</v>
      </c>
      <c r="BR71" s="7">
        <v>0</v>
      </c>
      <c r="BS71" s="7">
        <v>0</v>
      </c>
      <c r="BT71" s="7">
        <v>0</v>
      </c>
      <c r="BU71" s="7">
        <v>0</v>
      </c>
      <c r="BV71" s="7">
        <v>0</v>
      </c>
      <c r="BW71" s="7">
        <v>0</v>
      </c>
      <c r="BX71" s="7">
        <v>0</v>
      </c>
      <c r="BY71" s="7">
        <v>0</v>
      </c>
      <c r="BZ71" s="7">
        <v>0</v>
      </c>
      <c r="CA71" s="7">
        <v>0</v>
      </c>
      <c r="CB71" s="7">
        <v>0</v>
      </c>
      <c r="CC71" s="7">
        <v>0</v>
      </c>
      <c r="CD71" s="7">
        <v>0</v>
      </c>
      <c r="CE71" s="7">
        <v>0</v>
      </c>
      <c r="CF71" s="7">
        <v>0</v>
      </c>
      <c r="CG71" s="7">
        <v>0</v>
      </c>
      <c r="CH71" s="7">
        <v>0</v>
      </c>
      <c r="CI71" s="7">
        <f>VLOOKUP(B71,'abrasion emissions'!$A$4:$D$32,4,FALSE)</f>
        <v>6.0000000000000002E-6</v>
      </c>
      <c r="CJ71" s="7">
        <f>VLOOKUP(B71,'abrasion emissions'!$A$4:$D$32,2,FALSE)</f>
        <v>7.3669999999999991E-6</v>
      </c>
      <c r="CK71" s="7">
        <f>VLOOKUP(B71,'abrasion emissions'!$A$4:$D$32,3,FALSE)</f>
        <v>4.1749999999999998E-6</v>
      </c>
    </row>
    <row r="72" spans="1:89" x14ac:dyDescent="0.3">
      <c r="A72" t="str">
        <f t="shared" si="35"/>
        <v>Motorbike, electric, &lt;4kW - 2030 - CH</v>
      </c>
      <c r="B72" t="s">
        <v>520</v>
      </c>
      <c r="D72">
        <v>2030</v>
      </c>
      <c r="E72" t="s">
        <v>37</v>
      </c>
      <c r="F72" t="s">
        <v>146</v>
      </c>
      <c r="G72" t="s">
        <v>39</v>
      </c>
      <c r="H72" t="s">
        <v>32</v>
      </c>
      <c r="I72" t="s">
        <v>43</v>
      </c>
      <c r="J72" s="21">
        <v>33400</v>
      </c>
      <c r="K72" s="21">
        <v>2553</v>
      </c>
      <c r="L72" s="2">
        <f t="shared" si="36"/>
        <v>13.082647865256561</v>
      </c>
      <c r="M72">
        <v>1.1000000000000001</v>
      </c>
      <c r="N72">
        <v>70</v>
      </c>
      <c r="O72">
        <v>6</v>
      </c>
      <c r="P72" s="2">
        <f t="shared" si="13"/>
        <v>76.209999999999994</v>
      </c>
      <c r="Q72" s="2">
        <f t="shared" si="37"/>
        <v>159.20999999999998</v>
      </c>
      <c r="R72">
        <v>2.5</v>
      </c>
      <c r="S72" s="2">
        <v>53</v>
      </c>
      <c r="T72" s="1">
        <v>0.03</v>
      </c>
      <c r="U72" s="2">
        <f t="shared" si="43"/>
        <v>51.41</v>
      </c>
      <c r="V72" s="2">
        <v>4.5</v>
      </c>
      <c r="W72" s="2">
        <v>7.5</v>
      </c>
      <c r="X72" s="3">
        <v>3.2</v>
      </c>
      <c r="Y72" s="1">
        <v>0.8</v>
      </c>
      <c r="Z72" s="3">
        <f t="shared" si="38"/>
        <v>2.5600000000000005</v>
      </c>
      <c r="AA72" s="3">
        <f>X72/'energy battery'!B$4</f>
        <v>10.666666666666668</v>
      </c>
      <c r="AB72" s="3">
        <f t="shared" ref="AB72:AB86" si="44">0.2*AA72</f>
        <v>2.1333333333333337</v>
      </c>
      <c r="AC72" s="3">
        <f t="shared" si="39"/>
        <v>12.8</v>
      </c>
      <c r="AD72" s="3">
        <v>0.5</v>
      </c>
      <c r="AE72" s="3">
        <v>0</v>
      </c>
      <c r="AF72">
        <f>AE72*'fuels and tailpipe emissions'!$B$3</f>
        <v>0</v>
      </c>
      <c r="AG72">
        <v>0</v>
      </c>
      <c r="AH72" s="3">
        <v>0</v>
      </c>
      <c r="AI72" s="3">
        <v>3</v>
      </c>
      <c r="AJ72" s="3">
        <v>1</v>
      </c>
      <c r="AK72" s="3">
        <f t="shared" ref="AK72:AK86" si="45">J72/50000</f>
        <v>0.66800000000000004</v>
      </c>
      <c r="AL72">
        <f t="shared" si="15"/>
        <v>8.5495769999999993E-5</v>
      </c>
      <c r="AM72">
        <v>1.2899999999999999E-3</v>
      </c>
      <c r="AN72" s="2">
        <f t="shared" si="40"/>
        <v>51.41</v>
      </c>
      <c r="AO72" s="2">
        <f t="shared" si="41"/>
        <v>12</v>
      </c>
      <c r="AP72" s="2">
        <f t="shared" si="42"/>
        <v>12.8</v>
      </c>
      <c r="AQ72" s="6" t="s">
        <v>86</v>
      </c>
      <c r="AR72" s="6">
        <v>0.121</v>
      </c>
      <c r="AS72" s="2">
        <f>SUM(Z72,AG72)/(SUM(AQ72:AR72)/3.6)</f>
        <v>76.165289256198363</v>
      </c>
      <c r="AT72" s="5">
        <v>0</v>
      </c>
      <c r="AU72" s="7">
        <v>0</v>
      </c>
      <c r="AV72" s="7">
        <v>0</v>
      </c>
      <c r="AW72" s="7">
        <v>0</v>
      </c>
      <c r="AX72" s="7">
        <v>0</v>
      </c>
      <c r="AY72" s="7">
        <v>0</v>
      </c>
      <c r="AZ72" s="7">
        <v>0</v>
      </c>
      <c r="BA72" s="7">
        <v>0</v>
      </c>
      <c r="BB72" s="7">
        <v>0</v>
      </c>
      <c r="BC72" s="7">
        <v>0</v>
      </c>
      <c r="BD72" s="7">
        <v>0</v>
      </c>
      <c r="BE72" s="7">
        <v>0</v>
      </c>
      <c r="BF72" s="7">
        <v>0</v>
      </c>
      <c r="BG72" s="7">
        <v>0</v>
      </c>
      <c r="BH72" s="7">
        <v>0</v>
      </c>
      <c r="BI72" s="7">
        <v>0</v>
      </c>
      <c r="BJ72" s="7">
        <v>0</v>
      </c>
      <c r="BK72" s="7">
        <v>0</v>
      </c>
      <c r="BL72" s="7">
        <v>0</v>
      </c>
      <c r="BM72" s="7">
        <v>0</v>
      </c>
      <c r="BN72" s="7">
        <v>0</v>
      </c>
      <c r="BO72" s="7">
        <v>0</v>
      </c>
      <c r="BP72" s="7">
        <v>0</v>
      </c>
      <c r="BQ72" s="7">
        <v>0</v>
      </c>
      <c r="BR72" s="7">
        <v>0</v>
      </c>
      <c r="BS72" s="7">
        <v>0</v>
      </c>
      <c r="BT72" s="7">
        <v>0</v>
      </c>
      <c r="BU72" s="7">
        <v>0</v>
      </c>
      <c r="BV72" s="7">
        <v>0</v>
      </c>
      <c r="BW72" s="7">
        <v>0</v>
      </c>
      <c r="BX72" s="7">
        <v>0</v>
      </c>
      <c r="BY72" s="7">
        <v>0</v>
      </c>
      <c r="BZ72" s="7">
        <v>0</v>
      </c>
      <c r="CA72" s="7">
        <v>0</v>
      </c>
      <c r="CB72" s="7">
        <v>0</v>
      </c>
      <c r="CC72" s="7">
        <v>0</v>
      </c>
      <c r="CD72" s="7">
        <v>0</v>
      </c>
      <c r="CE72" s="7">
        <v>0</v>
      </c>
      <c r="CF72" s="7">
        <v>0</v>
      </c>
      <c r="CG72" s="7">
        <v>0</v>
      </c>
      <c r="CH72" s="7">
        <v>0</v>
      </c>
      <c r="CI72" s="7">
        <f>VLOOKUP(B72,'abrasion emissions'!$A$4:$D$32,4,FALSE)</f>
        <v>6.0000000000000002E-6</v>
      </c>
      <c r="CJ72" s="7">
        <f>VLOOKUP(B72,'abrasion emissions'!$A$4:$D$32,2,FALSE)</f>
        <v>7.3669999999999991E-6</v>
      </c>
      <c r="CK72" s="7">
        <f>VLOOKUP(B72,'abrasion emissions'!$A$4:$D$32,3,FALSE)</f>
        <v>4.1749999999999998E-6</v>
      </c>
    </row>
    <row r="73" spans="1:89" x14ac:dyDescent="0.3">
      <c r="A73" t="str">
        <f t="shared" si="35"/>
        <v>Motorbike, electric, &lt;4kW - 2040 - CH</v>
      </c>
      <c r="B73" t="s">
        <v>520</v>
      </c>
      <c r="D73">
        <v>2040</v>
      </c>
      <c r="E73" t="s">
        <v>37</v>
      </c>
      <c r="F73" t="s">
        <v>146</v>
      </c>
      <c r="G73" t="s">
        <v>39</v>
      </c>
      <c r="H73" t="s">
        <v>32</v>
      </c>
      <c r="I73" t="s">
        <v>43</v>
      </c>
      <c r="J73" s="21">
        <v>33400</v>
      </c>
      <c r="K73" s="21">
        <v>2553</v>
      </c>
      <c r="L73" s="2">
        <f t="shared" si="36"/>
        <v>13.082647865256561</v>
      </c>
      <c r="M73">
        <v>1.1000000000000001</v>
      </c>
      <c r="N73">
        <v>70</v>
      </c>
      <c r="O73">
        <v>6</v>
      </c>
      <c r="P73" s="2">
        <f t="shared" si="13"/>
        <v>75.849999999999994</v>
      </c>
      <c r="Q73" s="2">
        <f t="shared" si="37"/>
        <v>158.85</v>
      </c>
      <c r="R73">
        <v>2.5</v>
      </c>
      <c r="S73" s="2">
        <v>53</v>
      </c>
      <c r="T73" s="1">
        <v>0.05</v>
      </c>
      <c r="U73" s="2">
        <f t="shared" si="43"/>
        <v>50.349999999999994</v>
      </c>
      <c r="V73" s="2">
        <v>4.5</v>
      </c>
      <c r="W73" s="2">
        <v>7.5</v>
      </c>
      <c r="X73" s="3">
        <v>4.5</v>
      </c>
      <c r="Y73" s="1">
        <v>0.8</v>
      </c>
      <c r="Z73" s="3">
        <f t="shared" si="38"/>
        <v>3.6</v>
      </c>
      <c r="AA73" s="3">
        <f>X73/'energy battery'!B$5</f>
        <v>11.25</v>
      </c>
      <c r="AB73" s="3">
        <f t="shared" si="44"/>
        <v>2.25</v>
      </c>
      <c r="AC73" s="3">
        <f t="shared" si="39"/>
        <v>13.5</v>
      </c>
      <c r="AD73" s="3">
        <v>0.25</v>
      </c>
      <c r="AE73" s="3">
        <v>0</v>
      </c>
      <c r="AF73">
        <f>AE73*'fuels and tailpipe emissions'!$B$3</f>
        <v>0</v>
      </c>
      <c r="AG73">
        <v>0</v>
      </c>
      <c r="AH73" s="3">
        <v>0</v>
      </c>
      <c r="AI73" s="3">
        <v>3</v>
      </c>
      <c r="AJ73" s="3">
        <v>1</v>
      </c>
      <c r="AK73" s="3">
        <f t="shared" si="45"/>
        <v>0.66800000000000004</v>
      </c>
      <c r="AL73">
        <f t="shared" si="15"/>
        <v>8.5302449999999995E-5</v>
      </c>
      <c r="AM73">
        <v>1.2899999999999999E-3</v>
      </c>
      <c r="AN73" s="2">
        <f t="shared" si="40"/>
        <v>50.349999999999994</v>
      </c>
      <c r="AO73" s="2">
        <f t="shared" si="41"/>
        <v>12</v>
      </c>
      <c r="AP73" s="2">
        <f t="shared" si="42"/>
        <v>13.5</v>
      </c>
      <c r="AQ73" s="6" t="s">
        <v>86</v>
      </c>
      <c r="AR73" s="6">
        <v>0.121</v>
      </c>
      <c r="AS73" s="2">
        <f>SUM(Z73,AG73)/(SUM(AQ73:AR73)/3.6)</f>
        <v>107.10743801652892</v>
      </c>
      <c r="AT73" s="5">
        <v>0</v>
      </c>
      <c r="AU73" s="7">
        <v>0</v>
      </c>
      <c r="AV73" s="7">
        <v>0</v>
      </c>
      <c r="AW73" s="7">
        <v>0</v>
      </c>
      <c r="AX73" s="7">
        <v>0</v>
      </c>
      <c r="AY73" s="7">
        <v>0</v>
      </c>
      <c r="AZ73" s="7">
        <v>0</v>
      </c>
      <c r="BA73" s="7">
        <v>0</v>
      </c>
      <c r="BB73" s="7">
        <v>0</v>
      </c>
      <c r="BC73" s="7">
        <v>0</v>
      </c>
      <c r="BD73" s="7">
        <v>0</v>
      </c>
      <c r="BE73" s="7">
        <v>0</v>
      </c>
      <c r="BF73" s="7">
        <v>0</v>
      </c>
      <c r="BG73" s="7">
        <v>0</v>
      </c>
      <c r="BH73" s="7">
        <v>0</v>
      </c>
      <c r="BI73" s="7">
        <v>0</v>
      </c>
      <c r="BJ73" s="7">
        <v>0</v>
      </c>
      <c r="BK73" s="7">
        <v>0</v>
      </c>
      <c r="BL73" s="7">
        <v>0</v>
      </c>
      <c r="BM73" s="7">
        <v>0</v>
      </c>
      <c r="BN73" s="7">
        <v>0</v>
      </c>
      <c r="BO73" s="7">
        <v>0</v>
      </c>
      <c r="BP73" s="7">
        <v>0</v>
      </c>
      <c r="BQ73" s="7">
        <v>0</v>
      </c>
      <c r="BR73" s="7">
        <v>0</v>
      </c>
      <c r="BS73" s="7">
        <v>0</v>
      </c>
      <c r="BT73" s="7">
        <v>0</v>
      </c>
      <c r="BU73" s="7">
        <v>0</v>
      </c>
      <c r="BV73" s="7">
        <v>0</v>
      </c>
      <c r="BW73" s="7">
        <v>0</v>
      </c>
      <c r="BX73" s="7">
        <v>0</v>
      </c>
      <c r="BY73" s="7">
        <v>0</v>
      </c>
      <c r="BZ73" s="7">
        <v>0</v>
      </c>
      <c r="CA73" s="7">
        <v>0</v>
      </c>
      <c r="CB73" s="7">
        <v>0</v>
      </c>
      <c r="CC73" s="7">
        <v>0</v>
      </c>
      <c r="CD73" s="7">
        <v>0</v>
      </c>
      <c r="CE73" s="7">
        <v>0</v>
      </c>
      <c r="CF73" s="7">
        <v>0</v>
      </c>
      <c r="CG73" s="7">
        <v>0</v>
      </c>
      <c r="CH73" s="7">
        <v>0</v>
      </c>
      <c r="CI73" s="7">
        <f>VLOOKUP(B73,'abrasion emissions'!$A$4:$D$32,4,FALSE)</f>
        <v>6.0000000000000002E-6</v>
      </c>
      <c r="CJ73" s="7">
        <f>VLOOKUP(B73,'abrasion emissions'!$A$4:$D$32,2,FALSE)</f>
        <v>7.3669999999999991E-6</v>
      </c>
      <c r="CK73" s="7">
        <f>VLOOKUP(B73,'abrasion emissions'!$A$4:$D$32,3,FALSE)</f>
        <v>4.1749999999999998E-6</v>
      </c>
    </row>
    <row r="74" spans="1:89" x14ac:dyDescent="0.3">
      <c r="A74" t="str">
        <f t="shared" si="35"/>
        <v>Motorbike, electric, &lt;4kW - 2050 - CH</v>
      </c>
      <c r="B74" t="s">
        <v>520</v>
      </c>
      <c r="D74">
        <v>2050</v>
      </c>
      <c r="E74" t="s">
        <v>37</v>
      </c>
      <c r="F74" t="s">
        <v>146</v>
      </c>
      <c r="G74" t="s">
        <v>39</v>
      </c>
      <c r="H74" t="s">
        <v>32</v>
      </c>
      <c r="I74" t="s">
        <v>43</v>
      </c>
      <c r="J74" s="21">
        <v>33400</v>
      </c>
      <c r="K74" s="21">
        <v>2553</v>
      </c>
      <c r="L74" s="2">
        <f t="shared" si="36"/>
        <v>13.082647865256561</v>
      </c>
      <c r="M74">
        <v>1.1000000000000001</v>
      </c>
      <c r="N74">
        <v>70</v>
      </c>
      <c r="O74">
        <v>6</v>
      </c>
      <c r="P74" s="2">
        <f t="shared" si="13"/>
        <v>75.69</v>
      </c>
      <c r="Q74" s="2">
        <f t="shared" si="37"/>
        <v>158.69</v>
      </c>
      <c r="R74">
        <v>2.5</v>
      </c>
      <c r="S74" s="2">
        <v>53</v>
      </c>
      <c r="T74" s="1">
        <v>7.0000000000000007E-2</v>
      </c>
      <c r="U74" s="2">
        <f t="shared" si="43"/>
        <v>49.29</v>
      </c>
      <c r="V74" s="2">
        <v>4.5</v>
      </c>
      <c r="W74" s="2">
        <v>7.5</v>
      </c>
      <c r="X74" s="3">
        <v>6</v>
      </c>
      <c r="Y74" s="1">
        <v>0.8</v>
      </c>
      <c r="Z74" s="3">
        <f t="shared" si="38"/>
        <v>4.8000000000000007</v>
      </c>
      <c r="AA74" s="3">
        <f>X74/'energy battery'!B$6</f>
        <v>12</v>
      </c>
      <c r="AB74" s="3">
        <f t="shared" si="44"/>
        <v>2.4000000000000004</v>
      </c>
      <c r="AC74" s="3">
        <f t="shared" si="39"/>
        <v>14.4</v>
      </c>
      <c r="AD74" s="3">
        <v>0</v>
      </c>
      <c r="AE74" s="3">
        <v>0</v>
      </c>
      <c r="AF74">
        <f>AE74*'fuels and tailpipe emissions'!$B$3</f>
        <v>0</v>
      </c>
      <c r="AG74">
        <v>0</v>
      </c>
      <c r="AH74" s="3">
        <v>0</v>
      </c>
      <c r="AI74" s="3">
        <v>3</v>
      </c>
      <c r="AJ74" s="3">
        <v>1</v>
      </c>
      <c r="AK74" s="3">
        <f t="shared" si="45"/>
        <v>0.66800000000000004</v>
      </c>
      <c r="AL74">
        <f t="shared" si="15"/>
        <v>8.5216530000000002E-5</v>
      </c>
      <c r="AM74">
        <v>1.2899999999999999E-3</v>
      </c>
      <c r="AN74" s="2">
        <f t="shared" si="40"/>
        <v>49.29</v>
      </c>
      <c r="AO74" s="2">
        <f t="shared" si="41"/>
        <v>12</v>
      </c>
      <c r="AP74" s="2">
        <f t="shared" si="42"/>
        <v>14.4</v>
      </c>
      <c r="AQ74" s="6" t="s">
        <v>86</v>
      </c>
      <c r="AR74" s="6">
        <v>0.121</v>
      </c>
      <c r="AS74" s="2">
        <f>SUM(Z74,AG74)/(SUM(AQ74:AR74)/3.6)</f>
        <v>142.80991735537191</v>
      </c>
      <c r="AT74" s="5">
        <v>0</v>
      </c>
      <c r="AU74" s="7">
        <v>0</v>
      </c>
      <c r="AV74" s="7">
        <v>0</v>
      </c>
      <c r="AW74" s="7">
        <v>0</v>
      </c>
      <c r="AX74" s="7">
        <v>0</v>
      </c>
      <c r="AY74" s="7">
        <v>0</v>
      </c>
      <c r="AZ74" s="7">
        <v>0</v>
      </c>
      <c r="BA74" s="7">
        <v>0</v>
      </c>
      <c r="BB74" s="7">
        <v>0</v>
      </c>
      <c r="BC74" s="7">
        <v>0</v>
      </c>
      <c r="BD74" s="7">
        <v>0</v>
      </c>
      <c r="BE74" s="7">
        <v>0</v>
      </c>
      <c r="BF74" s="7">
        <v>0</v>
      </c>
      <c r="BG74" s="7">
        <v>0</v>
      </c>
      <c r="BH74" s="7">
        <v>0</v>
      </c>
      <c r="BI74" s="7">
        <v>0</v>
      </c>
      <c r="BJ74" s="7">
        <v>0</v>
      </c>
      <c r="BK74" s="7">
        <v>0</v>
      </c>
      <c r="BL74" s="7">
        <v>0</v>
      </c>
      <c r="BM74" s="7">
        <v>0</v>
      </c>
      <c r="BN74" s="7">
        <v>0</v>
      </c>
      <c r="BO74" s="7">
        <v>0</v>
      </c>
      <c r="BP74" s="7">
        <v>0</v>
      </c>
      <c r="BQ74" s="7">
        <v>0</v>
      </c>
      <c r="BR74" s="7">
        <v>0</v>
      </c>
      <c r="BS74" s="7">
        <v>0</v>
      </c>
      <c r="BT74" s="7">
        <v>0</v>
      </c>
      <c r="BU74" s="7">
        <v>0</v>
      </c>
      <c r="BV74" s="7">
        <v>0</v>
      </c>
      <c r="BW74" s="7">
        <v>0</v>
      </c>
      <c r="BX74" s="7">
        <v>0</v>
      </c>
      <c r="BY74" s="7">
        <v>0</v>
      </c>
      <c r="BZ74" s="7">
        <v>0</v>
      </c>
      <c r="CA74" s="7">
        <v>0</v>
      </c>
      <c r="CB74" s="7">
        <v>0</v>
      </c>
      <c r="CC74" s="7">
        <v>0</v>
      </c>
      <c r="CD74" s="7">
        <v>0</v>
      </c>
      <c r="CE74" s="7">
        <v>0</v>
      </c>
      <c r="CF74" s="7">
        <v>0</v>
      </c>
      <c r="CG74" s="7">
        <v>0</v>
      </c>
      <c r="CH74" s="7">
        <v>0</v>
      </c>
      <c r="CI74" s="7">
        <f>VLOOKUP(B74,'abrasion emissions'!$A$4:$D$32,4,FALSE)</f>
        <v>6.0000000000000002E-6</v>
      </c>
      <c r="CJ74" s="7">
        <f>VLOOKUP(B74,'abrasion emissions'!$A$4:$D$32,2,FALSE)</f>
        <v>7.3669999999999991E-6</v>
      </c>
      <c r="CK74" s="7">
        <f>VLOOKUP(B74,'abrasion emissions'!$A$4:$D$32,3,FALSE)</f>
        <v>4.1749999999999998E-6</v>
      </c>
    </row>
    <row r="75" spans="1:89" x14ac:dyDescent="0.3">
      <c r="A75" t="str">
        <f t="shared" si="35"/>
        <v>Motorbike, electric, 4-11kW - 2020 - CH</v>
      </c>
      <c r="B75" t="s">
        <v>521</v>
      </c>
      <c r="D75">
        <v>2020</v>
      </c>
      <c r="E75" t="s">
        <v>37</v>
      </c>
      <c r="F75" t="s">
        <v>146</v>
      </c>
      <c r="G75" t="s">
        <v>39</v>
      </c>
      <c r="H75" t="s">
        <v>32</v>
      </c>
      <c r="I75" t="s">
        <v>43</v>
      </c>
      <c r="J75">
        <v>39800</v>
      </c>
      <c r="K75" s="21">
        <v>2731</v>
      </c>
      <c r="L75" s="2">
        <f t="shared" si="36"/>
        <v>14.573416331014281</v>
      </c>
      <c r="M75">
        <v>1.1000000000000001</v>
      </c>
      <c r="N75">
        <v>70</v>
      </c>
      <c r="O75">
        <v>6</v>
      </c>
      <c r="P75" s="2">
        <f t="shared" si="13"/>
        <v>103.63382696032849</v>
      </c>
      <c r="Q75" s="2">
        <f t="shared" si="37"/>
        <v>186.63382696032849</v>
      </c>
      <c r="R75">
        <v>4.7</v>
      </c>
      <c r="S75" s="2">
        <v>65.433826960328489</v>
      </c>
      <c r="T75" s="1">
        <v>0</v>
      </c>
      <c r="U75" s="2">
        <f t="shared" si="43"/>
        <v>65.433826960328489</v>
      </c>
      <c r="V75" s="2">
        <v>7.8</v>
      </c>
      <c r="W75" s="2">
        <v>13</v>
      </c>
      <c r="X75" s="3">
        <v>2.9</v>
      </c>
      <c r="Y75" s="1">
        <v>0.8</v>
      </c>
      <c r="Z75" s="3">
        <f t="shared" si="38"/>
        <v>2.3199999999999998</v>
      </c>
      <c r="AA75" s="3">
        <f>X75/'energy battery'!B$3</f>
        <v>14.499999999999998</v>
      </c>
      <c r="AB75" s="3">
        <f t="shared" si="44"/>
        <v>2.9</v>
      </c>
      <c r="AC75" s="3">
        <f t="shared" si="39"/>
        <v>17.399999999999999</v>
      </c>
      <c r="AD75" s="3">
        <v>1</v>
      </c>
      <c r="AE75" s="3">
        <v>0</v>
      </c>
      <c r="AF75">
        <f>AE75*'fuels and tailpipe emissions'!$B$3</f>
        <v>0</v>
      </c>
      <c r="AG75">
        <v>0</v>
      </c>
      <c r="AH75" s="3">
        <v>0</v>
      </c>
      <c r="AI75" s="3">
        <v>3</v>
      </c>
      <c r="AJ75" s="3">
        <v>1</v>
      </c>
      <c r="AK75" s="3">
        <f t="shared" si="45"/>
        <v>0.79600000000000004</v>
      </c>
      <c r="AL75">
        <f t="shared" si="15"/>
        <v>1.002223650776964E-4</v>
      </c>
      <c r="AM75">
        <v>1.2899999999999999E-3</v>
      </c>
      <c r="AN75" s="2">
        <f t="shared" si="40"/>
        <v>65.433826960328489</v>
      </c>
      <c r="AO75" s="2">
        <f t="shared" si="41"/>
        <v>20.8</v>
      </c>
      <c r="AP75" s="2">
        <f t="shared" si="42"/>
        <v>17.399999999999999</v>
      </c>
      <c r="AQ75" s="6" t="s">
        <v>86</v>
      </c>
      <c r="AR75" s="6">
        <v>0.182</v>
      </c>
      <c r="AS75" s="2">
        <f>SUM(Z75,AG75)/(SUM(AQ75:AR75)/3.6)</f>
        <v>45.890109890109891</v>
      </c>
      <c r="AT75" s="5">
        <v>0</v>
      </c>
      <c r="AU75" s="7">
        <v>0</v>
      </c>
      <c r="AV75" s="7">
        <v>0</v>
      </c>
      <c r="AW75" s="7">
        <v>0</v>
      </c>
      <c r="AX75" s="7">
        <v>0</v>
      </c>
      <c r="AY75" s="7">
        <v>0</v>
      </c>
      <c r="AZ75" s="7">
        <v>0</v>
      </c>
      <c r="BA75" s="7">
        <v>0</v>
      </c>
      <c r="BB75" s="7">
        <v>0</v>
      </c>
      <c r="BC75" s="7">
        <v>0</v>
      </c>
      <c r="BD75" s="7">
        <v>0</v>
      </c>
      <c r="BE75" s="7">
        <v>0</v>
      </c>
      <c r="BF75" s="7">
        <v>0</v>
      </c>
      <c r="BG75" s="7">
        <v>0</v>
      </c>
      <c r="BH75" s="7">
        <v>0</v>
      </c>
      <c r="BI75" s="7">
        <v>0</v>
      </c>
      <c r="BJ75" s="7">
        <v>0</v>
      </c>
      <c r="BK75" s="7">
        <v>0</v>
      </c>
      <c r="BL75" s="7">
        <v>0</v>
      </c>
      <c r="BM75" s="7">
        <v>0</v>
      </c>
      <c r="BN75" s="7">
        <v>0</v>
      </c>
      <c r="BO75" s="7">
        <v>0</v>
      </c>
      <c r="BP75" s="7">
        <v>0</v>
      </c>
      <c r="BQ75" s="7">
        <v>0</v>
      </c>
      <c r="BR75" s="7">
        <v>0</v>
      </c>
      <c r="BS75" s="7">
        <v>0</v>
      </c>
      <c r="BT75" s="7">
        <v>0</v>
      </c>
      <c r="BU75" s="7">
        <v>0</v>
      </c>
      <c r="BV75" s="7">
        <v>0</v>
      </c>
      <c r="BW75" s="7">
        <v>0</v>
      </c>
      <c r="BX75" s="7">
        <v>0</v>
      </c>
      <c r="BY75" s="7">
        <v>0</v>
      </c>
      <c r="BZ75" s="7">
        <v>0</v>
      </c>
      <c r="CA75" s="7">
        <v>0</v>
      </c>
      <c r="CB75" s="7">
        <v>0</v>
      </c>
      <c r="CC75" s="7">
        <v>0</v>
      </c>
      <c r="CD75" s="7">
        <v>0</v>
      </c>
      <c r="CE75" s="7">
        <v>0</v>
      </c>
      <c r="CF75" s="7">
        <v>0</v>
      </c>
      <c r="CG75" s="7">
        <v>0</v>
      </c>
      <c r="CH75" s="7">
        <v>0</v>
      </c>
      <c r="CI75" s="7">
        <f>VLOOKUP(B75,'abrasion emissions'!$A$4:$D$32,4,FALSE)</f>
        <v>6.0000000000000002E-6</v>
      </c>
      <c r="CJ75" s="7">
        <f>VLOOKUP(B75,'abrasion emissions'!$A$4:$D$32,2,FALSE)</f>
        <v>7.3669999999999991E-6</v>
      </c>
      <c r="CK75" s="7">
        <f>VLOOKUP(B75,'abrasion emissions'!$A$4:$D$32,3,FALSE)</f>
        <v>4.1749999999999998E-6</v>
      </c>
    </row>
    <row r="76" spans="1:89" x14ac:dyDescent="0.3">
      <c r="A76" t="str">
        <f t="shared" si="35"/>
        <v>Motorbike, electric, 4-11kW - 2030 - CH</v>
      </c>
      <c r="B76" t="s">
        <v>521</v>
      </c>
      <c r="D76">
        <v>2030</v>
      </c>
      <c r="E76" t="s">
        <v>37</v>
      </c>
      <c r="F76" t="s">
        <v>146</v>
      </c>
      <c r="G76" t="s">
        <v>39</v>
      </c>
      <c r="H76" t="s">
        <v>32</v>
      </c>
      <c r="I76" t="s">
        <v>43</v>
      </c>
      <c r="J76" s="21">
        <v>39800</v>
      </c>
      <c r="K76" s="21">
        <v>2731</v>
      </c>
      <c r="L76" s="2">
        <f t="shared" si="36"/>
        <v>14.573416331014281</v>
      </c>
      <c r="M76">
        <v>1.1000000000000001</v>
      </c>
      <c r="N76">
        <v>70</v>
      </c>
      <c r="O76">
        <v>6</v>
      </c>
      <c r="P76" s="2">
        <f t="shared" si="13"/>
        <v>104.27081215151863</v>
      </c>
      <c r="Q76" s="2">
        <f t="shared" si="37"/>
        <v>187.27081215151861</v>
      </c>
      <c r="R76">
        <v>4.7</v>
      </c>
      <c r="S76" s="2">
        <v>65.433826960328489</v>
      </c>
      <c r="T76" s="1">
        <v>0.03</v>
      </c>
      <c r="U76" s="2">
        <f t="shared" si="43"/>
        <v>63.470812151518629</v>
      </c>
      <c r="V76" s="2">
        <v>7.8</v>
      </c>
      <c r="W76" s="2">
        <v>13</v>
      </c>
      <c r="X76" s="3">
        <v>5</v>
      </c>
      <c r="Y76" s="1">
        <v>0.8</v>
      </c>
      <c r="Z76" s="3">
        <f t="shared" si="38"/>
        <v>4</v>
      </c>
      <c r="AA76" s="3">
        <f>X76/'energy battery'!B$4</f>
        <v>16.666666666666668</v>
      </c>
      <c r="AB76" s="3">
        <f t="shared" si="44"/>
        <v>3.3333333333333339</v>
      </c>
      <c r="AC76" s="3">
        <f t="shared" si="39"/>
        <v>20</v>
      </c>
      <c r="AD76" s="3">
        <v>0.5</v>
      </c>
      <c r="AE76" s="3">
        <v>0</v>
      </c>
      <c r="AF76">
        <f>AE76*'fuels and tailpipe emissions'!$B$3</f>
        <v>0</v>
      </c>
      <c r="AG76">
        <v>0</v>
      </c>
      <c r="AH76" s="3">
        <v>0</v>
      </c>
      <c r="AI76" s="3">
        <v>3</v>
      </c>
      <c r="AJ76" s="3">
        <v>1</v>
      </c>
      <c r="AK76" s="3">
        <f t="shared" si="45"/>
        <v>0.79600000000000004</v>
      </c>
      <c r="AL76">
        <f t="shared" si="15"/>
        <v>1.005644261253655E-4</v>
      </c>
      <c r="AM76">
        <v>1.2899999999999999E-3</v>
      </c>
      <c r="AN76" s="2">
        <f t="shared" si="40"/>
        <v>63.470812151518629</v>
      </c>
      <c r="AO76" s="2">
        <f t="shared" si="41"/>
        <v>20.8</v>
      </c>
      <c r="AP76" s="2">
        <f t="shared" si="42"/>
        <v>20</v>
      </c>
      <c r="AQ76" s="6" t="s">
        <v>86</v>
      </c>
      <c r="AR76" s="6">
        <v>0.182</v>
      </c>
      <c r="AS76" s="2">
        <f>SUM(Z76,AG76)/(SUM(AQ76:AR76)/3.6)</f>
        <v>79.120879120879124</v>
      </c>
      <c r="AT76" s="5">
        <v>0</v>
      </c>
      <c r="AU76" s="7">
        <v>0</v>
      </c>
      <c r="AV76" s="7">
        <v>0</v>
      </c>
      <c r="AW76" s="7">
        <v>0</v>
      </c>
      <c r="AX76" s="7">
        <v>0</v>
      </c>
      <c r="AY76" s="7">
        <v>0</v>
      </c>
      <c r="AZ76" s="7">
        <v>0</v>
      </c>
      <c r="BA76" s="7">
        <v>0</v>
      </c>
      <c r="BB76" s="7">
        <v>0</v>
      </c>
      <c r="BC76" s="7">
        <v>0</v>
      </c>
      <c r="BD76" s="7">
        <v>0</v>
      </c>
      <c r="BE76" s="7">
        <v>0</v>
      </c>
      <c r="BF76" s="7">
        <v>0</v>
      </c>
      <c r="BG76" s="7">
        <v>0</v>
      </c>
      <c r="BH76" s="7">
        <v>0</v>
      </c>
      <c r="BI76" s="7">
        <v>0</v>
      </c>
      <c r="BJ76" s="7">
        <v>0</v>
      </c>
      <c r="BK76" s="7">
        <v>0</v>
      </c>
      <c r="BL76" s="7">
        <v>0</v>
      </c>
      <c r="BM76" s="7">
        <v>0</v>
      </c>
      <c r="BN76" s="7">
        <v>0</v>
      </c>
      <c r="BO76" s="7">
        <v>0</v>
      </c>
      <c r="BP76" s="7">
        <v>0</v>
      </c>
      <c r="BQ76" s="7">
        <v>0</v>
      </c>
      <c r="BR76" s="7">
        <v>0</v>
      </c>
      <c r="BS76" s="7">
        <v>0</v>
      </c>
      <c r="BT76" s="7">
        <v>0</v>
      </c>
      <c r="BU76" s="7">
        <v>0</v>
      </c>
      <c r="BV76" s="7">
        <v>0</v>
      </c>
      <c r="BW76" s="7">
        <v>0</v>
      </c>
      <c r="BX76" s="7">
        <v>0</v>
      </c>
      <c r="BY76" s="7">
        <v>0</v>
      </c>
      <c r="BZ76" s="7">
        <v>0</v>
      </c>
      <c r="CA76" s="7">
        <v>0</v>
      </c>
      <c r="CB76" s="7">
        <v>0</v>
      </c>
      <c r="CC76" s="7">
        <v>0</v>
      </c>
      <c r="CD76" s="7">
        <v>0</v>
      </c>
      <c r="CE76" s="7">
        <v>0</v>
      </c>
      <c r="CF76" s="7">
        <v>0</v>
      </c>
      <c r="CG76" s="7">
        <v>0</v>
      </c>
      <c r="CH76" s="7">
        <v>0</v>
      </c>
      <c r="CI76" s="7">
        <f>VLOOKUP(B76,'abrasion emissions'!$A$4:$D$32,4,FALSE)</f>
        <v>6.0000000000000002E-6</v>
      </c>
      <c r="CJ76" s="7">
        <f>VLOOKUP(B76,'abrasion emissions'!$A$4:$D$32,2,FALSE)</f>
        <v>7.3669999999999991E-6</v>
      </c>
      <c r="CK76" s="7">
        <f>VLOOKUP(B76,'abrasion emissions'!$A$4:$D$32,3,FALSE)</f>
        <v>4.1749999999999998E-6</v>
      </c>
    </row>
    <row r="77" spans="1:89" x14ac:dyDescent="0.3">
      <c r="A77" t="str">
        <f t="shared" si="35"/>
        <v>Motorbike, electric, 4-11kW - 2040 - CH</v>
      </c>
      <c r="B77" t="s">
        <v>521</v>
      </c>
      <c r="D77">
        <v>2040</v>
      </c>
      <c r="E77" t="s">
        <v>37</v>
      </c>
      <c r="F77" t="s">
        <v>146</v>
      </c>
      <c r="G77" t="s">
        <v>39</v>
      </c>
      <c r="H77" t="s">
        <v>32</v>
      </c>
      <c r="I77" t="s">
        <v>43</v>
      </c>
      <c r="J77" s="21">
        <v>39800</v>
      </c>
      <c r="K77" s="21">
        <v>2731</v>
      </c>
      <c r="L77" s="2">
        <f t="shared" si="36"/>
        <v>14.573416331014281</v>
      </c>
      <c r="M77">
        <v>1.1000000000000001</v>
      </c>
      <c r="N77">
        <v>70</v>
      </c>
      <c r="O77">
        <v>6</v>
      </c>
      <c r="P77" s="2">
        <f t="shared" si="13"/>
        <v>103.96213561231207</v>
      </c>
      <c r="Q77" s="2">
        <f t="shared" si="37"/>
        <v>186.96213561231207</v>
      </c>
      <c r="R77">
        <v>4.7</v>
      </c>
      <c r="S77" s="2">
        <v>65.433826960328489</v>
      </c>
      <c r="T77" s="1">
        <v>0.05</v>
      </c>
      <c r="U77" s="2">
        <f t="shared" si="43"/>
        <v>62.162135612312063</v>
      </c>
      <c r="V77" s="2">
        <v>7.8</v>
      </c>
      <c r="W77" s="2">
        <v>13</v>
      </c>
      <c r="X77" s="3">
        <v>7</v>
      </c>
      <c r="Y77" s="1">
        <v>0.8</v>
      </c>
      <c r="Z77" s="3">
        <f t="shared" si="38"/>
        <v>5.6000000000000005</v>
      </c>
      <c r="AA77" s="3">
        <f>X77/'energy battery'!B$5</f>
        <v>17.5</v>
      </c>
      <c r="AB77" s="3">
        <f t="shared" si="44"/>
        <v>3.5</v>
      </c>
      <c r="AC77" s="3">
        <f t="shared" si="39"/>
        <v>21</v>
      </c>
      <c r="AD77" s="3">
        <v>0.25</v>
      </c>
      <c r="AE77" s="3">
        <v>0</v>
      </c>
      <c r="AF77">
        <f>AE77*'fuels and tailpipe emissions'!$B$3</f>
        <v>0</v>
      </c>
      <c r="AG77">
        <v>0</v>
      </c>
      <c r="AH77" s="3">
        <v>0</v>
      </c>
      <c r="AI77" s="3">
        <v>3</v>
      </c>
      <c r="AJ77" s="3">
        <v>1</v>
      </c>
      <c r="AK77" s="3">
        <f t="shared" si="45"/>
        <v>0.79600000000000004</v>
      </c>
      <c r="AL77">
        <f t="shared" si="15"/>
        <v>1.0039866682381158E-4</v>
      </c>
      <c r="AM77">
        <v>1.2899999999999999E-3</v>
      </c>
      <c r="AN77" s="2">
        <f t="shared" si="40"/>
        <v>62.162135612312063</v>
      </c>
      <c r="AO77" s="2">
        <f t="shared" si="41"/>
        <v>20.8</v>
      </c>
      <c r="AP77" s="2">
        <f t="shared" si="42"/>
        <v>21</v>
      </c>
      <c r="AQ77" s="6" t="s">
        <v>86</v>
      </c>
      <c r="AR77" s="6">
        <v>0.182</v>
      </c>
      <c r="AS77" s="2">
        <f>SUM(Z77,AG77)/(SUM(AQ77:AR77)/3.6)</f>
        <v>110.76923076923079</v>
      </c>
      <c r="AT77" s="5">
        <v>0</v>
      </c>
      <c r="AU77" s="7">
        <v>0</v>
      </c>
      <c r="AV77" s="7">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f>VLOOKUP(B77,'abrasion emissions'!$A$4:$D$32,4,FALSE)</f>
        <v>6.0000000000000002E-6</v>
      </c>
      <c r="CJ77" s="7">
        <f>VLOOKUP(B77,'abrasion emissions'!$A$4:$D$32,2,FALSE)</f>
        <v>7.3669999999999991E-6</v>
      </c>
      <c r="CK77" s="7">
        <f>VLOOKUP(B77,'abrasion emissions'!$A$4:$D$32,3,FALSE)</f>
        <v>4.1749999999999998E-6</v>
      </c>
    </row>
    <row r="78" spans="1:89" x14ac:dyDescent="0.3">
      <c r="A78" t="str">
        <f t="shared" si="35"/>
        <v>Motorbike, electric, 4-11kW - 2050 - CH</v>
      </c>
      <c r="B78" t="s">
        <v>521</v>
      </c>
      <c r="D78">
        <v>2050</v>
      </c>
      <c r="E78" t="s">
        <v>37</v>
      </c>
      <c r="F78" t="s">
        <v>146</v>
      </c>
      <c r="G78" t="s">
        <v>39</v>
      </c>
      <c r="H78" t="s">
        <v>32</v>
      </c>
      <c r="I78" t="s">
        <v>43</v>
      </c>
      <c r="J78" s="21">
        <v>39800</v>
      </c>
      <c r="K78" s="21">
        <v>2731</v>
      </c>
      <c r="L78" s="2">
        <f t="shared" si="36"/>
        <v>14.573416331014281</v>
      </c>
      <c r="M78">
        <v>1.1000000000000001</v>
      </c>
      <c r="N78">
        <v>70</v>
      </c>
      <c r="O78">
        <v>6</v>
      </c>
      <c r="P78" s="2">
        <f t="shared" si="13"/>
        <v>104.45345907310549</v>
      </c>
      <c r="Q78" s="2">
        <f t="shared" si="37"/>
        <v>187.45345907310548</v>
      </c>
      <c r="R78">
        <v>4.7</v>
      </c>
      <c r="S78" s="2">
        <v>65.433826960328489</v>
      </c>
      <c r="T78" s="1">
        <v>7.0000000000000007E-2</v>
      </c>
      <c r="U78" s="2">
        <f t="shared" si="43"/>
        <v>60.853459073105491</v>
      </c>
      <c r="V78" s="2">
        <v>7.8</v>
      </c>
      <c r="W78" s="2">
        <v>13</v>
      </c>
      <c r="X78" s="3">
        <v>9.5</v>
      </c>
      <c r="Y78" s="1">
        <v>0.8</v>
      </c>
      <c r="Z78" s="3">
        <f t="shared" si="38"/>
        <v>7.6000000000000005</v>
      </c>
      <c r="AA78" s="3">
        <f>X78/'energy battery'!B$6</f>
        <v>19</v>
      </c>
      <c r="AB78" s="3">
        <f t="shared" si="44"/>
        <v>3.8000000000000003</v>
      </c>
      <c r="AC78" s="3">
        <f t="shared" si="39"/>
        <v>22.8</v>
      </c>
      <c r="AD78" s="3">
        <v>0</v>
      </c>
      <c r="AE78" s="3">
        <v>0</v>
      </c>
      <c r="AF78">
        <f>AE78*'fuels and tailpipe emissions'!$B$3</f>
        <v>0</v>
      </c>
      <c r="AG78">
        <v>0</v>
      </c>
      <c r="AH78" s="3">
        <v>0</v>
      </c>
      <c r="AI78" s="3">
        <v>3</v>
      </c>
      <c r="AJ78" s="3">
        <v>1</v>
      </c>
      <c r="AK78" s="3">
        <f t="shared" si="45"/>
        <v>0.79600000000000004</v>
      </c>
      <c r="AL78">
        <f t="shared" si="15"/>
        <v>1.0066250752225764E-4</v>
      </c>
      <c r="AM78">
        <v>1.2899999999999999E-3</v>
      </c>
      <c r="AN78" s="2">
        <f t="shared" si="40"/>
        <v>60.853459073105491</v>
      </c>
      <c r="AO78" s="2">
        <f t="shared" si="41"/>
        <v>20.8</v>
      </c>
      <c r="AP78" s="2">
        <f t="shared" si="42"/>
        <v>22.8</v>
      </c>
      <c r="AQ78" s="6" t="s">
        <v>86</v>
      </c>
      <c r="AR78" s="6">
        <v>0.182</v>
      </c>
      <c r="AS78" s="2">
        <f>SUM(Z78,AG78)/(SUM(AQ78:AR78)/3.6)</f>
        <v>150.32967032967034</v>
      </c>
      <c r="AT78" s="5">
        <v>0</v>
      </c>
      <c r="AU78" s="7">
        <v>0</v>
      </c>
      <c r="AV78" s="7">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f>VLOOKUP(B78,'abrasion emissions'!$A$4:$D$32,4,FALSE)</f>
        <v>6.0000000000000002E-6</v>
      </c>
      <c r="CJ78" s="7">
        <f>VLOOKUP(B78,'abrasion emissions'!$A$4:$D$32,2,FALSE)</f>
        <v>7.3669999999999991E-6</v>
      </c>
      <c r="CK78" s="7">
        <f>VLOOKUP(B78,'abrasion emissions'!$A$4:$D$32,3,FALSE)</f>
        <v>4.1749999999999998E-6</v>
      </c>
    </row>
    <row r="79" spans="1:89" x14ac:dyDescent="0.3">
      <c r="A79" t="str">
        <f t="shared" si="35"/>
        <v>Motorbike, electric, 11-35kW - 2020 - CH</v>
      </c>
      <c r="B79" t="s">
        <v>522</v>
      </c>
      <c r="D79">
        <v>2020</v>
      </c>
      <c r="E79" t="s">
        <v>37</v>
      </c>
      <c r="F79" t="s">
        <v>146</v>
      </c>
      <c r="G79" t="s">
        <v>39</v>
      </c>
      <c r="H79" t="s">
        <v>32</v>
      </c>
      <c r="I79" t="s">
        <v>43</v>
      </c>
      <c r="J79">
        <v>62100</v>
      </c>
      <c r="K79" s="21">
        <v>4690</v>
      </c>
      <c r="L79" s="2">
        <f t="shared" si="36"/>
        <v>13.240938166311301</v>
      </c>
      <c r="M79">
        <v>1.1000000000000001</v>
      </c>
      <c r="N79">
        <v>70</v>
      </c>
      <c r="O79">
        <v>6</v>
      </c>
      <c r="P79" s="2">
        <f t="shared" si="13"/>
        <v>161.6</v>
      </c>
      <c r="Q79" s="2">
        <f t="shared" si="37"/>
        <v>244.6</v>
      </c>
      <c r="R79">
        <v>14</v>
      </c>
      <c r="S79" s="2">
        <v>81</v>
      </c>
      <c r="T79" s="1">
        <v>0</v>
      </c>
      <c r="U79" s="2">
        <f t="shared" si="43"/>
        <v>81</v>
      </c>
      <c r="V79" s="2">
        <v>13</v>
      </c>
      <c r="W79" s="2">
        <v>19</v>
      </c>
      <c r="X79" s="3">
        <v>8.1</v>
      </c>
      <c r="Y79" s="1">
        <v>0.8</v>
      </c>
      <c r="Z79" s="3">
        <f t="shared" si="38"/>
        <v>6.48</v>
      </c>
      <c r="AA79" s="3">
        <f>X79/'energy battery'!B$3</f>
        <v>40.499999999999993</v>
      </c>
      <c r="AB79" s="3">
        <f t="shared" si="44"/>
        <v>8.1</v>
      </c>
      <c r="AC79" s="3">
        <f t="shared" si="39"/>
        <v>48.599999999999994</v>
      </c>
      <c r="AD79" s="3">
        <v>1</v>
      </c>
      <c r="AE79" s="3">
        <v>0</v>
      </c>
      <c r="AF79">
        <f>AE79*'fuels and tailpipe emissions'!$B$3</f>
        <v>0</v>
      </c>
      <c r="AG79">
        <v>0</v>
      </c>
      <c r="AH79" s="3">
        <v>0</v>
      </c>
      <c r="AI79" s="3">
        <v>5</v>
      </c>
      <c r="AJ79" s="3">
        <v>1</v>
      </c>
      <c r="AK79" s="3">
        <f t="shared" si="45"/>
        <v>1.242</v>
      </c>
      <c r="AL79">
        <f t="shared" si="15"/>
        <v>1.3135020000000001E-4</v>
      </c>
      <c r="AM79">
        <v>1.2899999999999999E-3</v>
      </c>
      <c r="AN79" s="2">
        <f t="shared" si="40"/>
        <v>81</v>
      </c>
      <c r="AO79" s="2">
        <f t="shared" si="41"/>
        <v>32</v>
      </c>
      <c r="AP79" s="2">
        <f t="shared" si="42"/>
        <v>48.599999999999994</v>
      </c>
      <c r="AQ79" s="6" t="s">
        <v>86</v>
      </c>
      <c r="AR79" s="6">
        <v>0.24635579913730349</v>
      </c>
      <c r="AS79" s="2">
        <f>SUM(Z79,AG79)/(SUM(AQ79:AR79)/3.6)</f>
        <v>94.692311208791224</v>
      </c>
      <c r="AT79" s="5">
        <v>0</v>
      </c>
      <c r="AU79" s="7">
        <v>0</v>
      </c>
      <c r="AV79" s="7">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f>VLOOKUP(B79,'abrasion emissions'!$A$4:$D$32,4,FALSE)</f>
        <v>6.0000000000000002E-6</v>
      </c>
      <c r="CJ79" s="7">
        <f>VLOOKUP(B79,'abrasion emissions'!$A$4:$D$32,2,FALSE)</f>
        <v>7.3669999999999991E-6</v>
      </c>
      <c r="CK79" s="7">
        <f>VLOOKUP(B79,'abrasion emissions'!$A$4:$D$32,3,FALSE)</f>
        <v>4.1749999999999998E-6</v>
      </c>
    </row>
    <row r="80" spans="1:89" x14ac:dyDescent="0.3">
      <c r="A80" t="str">
        <f t="shared" si="35"/>
        <v>Motorbike, electric, 11-35kW - 2030 - CH</v>
      </c>
      <c r="B80" t="s">
        <v>522</v>
      </c>
      <c r="D80">
        <v>2030</v>
      </c>
      <c r="E80" t="s">
        <v>37</v>
      </c>
      <c r="F80" t="s">
        <v>146</v>
      </c>
      <c r="G80" t="s">
        <v>39</v>
      </c>
      <c r="H80" t="s">
        <v>32</v>
      </c>
      <c r="I80" t="s">
        <v>43</v>
      </c>
      <c r="J80" s="21">
        <v>62100</v>
      </c>
      <c r="K80" s="21">
        <v>4690</v>
      </c>
      <c r="L80" s="2">
        <f t="shared" si="36"/>
        <v>13.240938166311301</v>
      </c>
      <c r="M80">
        <v>1.1000000000000001</v>
      </c>
      <c r="N80">
        <v>70</v>
      </c>
      <c r="O80">
        <v>6</v>
      </c>
      <c r="P80" s="2">
        <f t="shared" si="13"/>
        <v>161.76999999999998</v>
      </c>
      <c r="Q80" s="2">
        <f t="shared" si="37"/>
        <v>244.76999999999998</v>
      </c>
      <c r="R80" s="21">
        <v>14</v>
      </c>
      <c r="S80" s="2">
        <v>81</v>
      </c>
      <c r="T80" s="1">
        <v>0.03</v>
      </c>
      <c r="U80" s="2">
        <f t="shared" si="43"/>
        <v>78.569999999999993</v>
      </c>
      <c r="V80" s="2">
        <v>13</v>
      </c>
      <c r="W80" s="2">
        <v>19</v>
      </c>
      <c r="X80" s="3">
        <v>12.8</v>
      </c>
      <c r="Y80" s="1">
        <v>0.8</v>
      </c>
      <c r="Z80" s="3">
        <f t="shared" si="38"/>
        <v>10.240000000000002</v>
      </c>
      <c r="AA80" s="3">
        <f>X80/'energy battery'!B$4</f>
        <v>42.666666666666671</v>
      </c>
      <c r="AB80" s="3">
        <f t="shared" si="44"/>
        <v>8.533333333333335</v>
      </c>
      <c r="AC80" s="3">
        <f t="shared" si="39"/>
        <v>51.2</v>
      </c>
      <c r="AD80" s="3">
        <v>0.5</v>
      </c>
      <c r="AE80" s="3">
        <v>0</v>
      </c>
      <c r="AF80">
        <f>AE80*'fuels and tailpipe emissions'!$B$3</f>
        <v>0</v>
      </c>
      <c r="AG80">
        <v>0</v>
      </c>
      <c r="AH80" s="3">
        <v>0</v>
      </c>
      <c r="AI80" s="3">
        <v>5</v>
      </c>
      <c r="AJ80" s="3">
        <v>1</v>
      </c>
      <c r="AK80" s="3">
        <f t="shared" si="45"/>
        <v>1.242</v>
      </c>
      <c r="AL80">
        <f t="shared" si="15"/>
        <v>1.3144148999999998E-4</v>
      </c>
      <c r="AM80">
        <v>1.2899999999999999E-3</v>
      </c>
      <c r="AN80" s="2">
        <f t="shared" si="40"/>
        <v>78.569999999999993</v>
      </c>
      <c r="AO80" s="2">
        <f t="shared" si="41"/>
        <v>32</v>
      </c>
      <c r="AP80" s="2">
        <f t="shared" si="42"/>
        <v>51.2</v>
      </c>
      <c r="AQ80" s="6" t="s">
        <v>86</v>
      </c>
      <c r="AR80" s="6">
        <v>0.24635579913730349</v>
      </c>
      <c r="AS80" s="2">
        <f>SUM(Z80,AG80)/(SUM(AQ80:AR80)/3.6)</f>
        <v>149.63723252747255</v>
      </c>
      <c r="AT80" s="5">
        <v>0</v>
      </c>
      <c r="AU80" s="7">
        <v>0</v>
      </c>
      <c r="AV80" s="7">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f>VLOOKUP(B80,'abrasion emissions'!$A$4:$D$32,4,FALSE)</f>
        <v>6.0000000000000002E-6</v>
      </c>
      <c r="CJ80" s="7">
        <f>VLOOKUP(B80,'abrasion emissions'!$A$4:$D$32,2,FALSE)</f>
        <v>7.3669999999999991E-6</v>
      </c>
      <c r="CK80" s="7">
        <f>VLOOKUP(B80,'abrasion emissions'!$A$4:$D$32,3,FALSE)</f>
        <v>4.1749999999999998E-6</v>
      </c>
    </row>
    <row r="81" spans="1:89" x14ac:dyDescent="0.3">
      <c r="A81" t="str">
        <f t="shared" si="35"/>
        <v>Motorbike, electric, 11-35kW - 2040 - CH</v>
      </c>
      <c r="B81" t="s">
        <v>522</v>
      </c>
      <c r="D81">
        <v>2040</v>
      </c>
      <c r="E81" t="s">
        <v>37</v>
      </c>
      <c r="F81" t="s">
        <v>146</v>
      </c>
      <c r="G81" t="s">
        <v>39</v>
      </c>
      <c r="H81" t="s">
        <v>32</v>
      </c>
      <c r="I81" t="s">
        <v>43</v>
      </c>
      <c r="J81" s="21">
        <v>62100</v>
      </c>
      <c r="K81" s="21">
        <v>4690</v>
      </c>
      <c r="L81" s="2">
        <f t="shared" si="36"/>
        <v>13.240938166311301</v>
      </c>
      <c r="M81">
        <v>1.1000000000000001</v>
      </c>
      <c r="N81">
        <v>70</v>
      </c>
      <c r="O81">
        <v>6</v>
      </c>
      <c r="P81" s="2">
        <f t="shared" si="13"/>
        <v>162.35</v>
      </c>
      <c r="Q81" s="2">
        <f t="shared" si="37"/>
        <v>245.35</v>
      </c>
      <c r="R81" s="21">
        <v>14</v>
      </c>
      <c r="S81" s="2">
        <v>81</v>
      </c>
      <c r="T81" s="1">
        <v>0.05</v>
      </c>
      <c r="U81" s="2">
        <f t="shared" si="43"/>
        <v>76.95</v>
      </c>
      <c r="V81" s="2">
        <v>13</v>
      </c>
      <c r="W81" s="2">
        <v>19</v>
      </c>
      <c r="X81" s="3">
        <v>17.8</v>
      </c>
      <c r="Y81" s="1">
        <v>0.8</v>
      </c>
      <c r="Z81" s="3">
        <f t="shared" si="38"/>
        <v>14.240000000000002</v>
      </c>
      <c r="AA81" s="3">
        <f>X81/'energy battery'!B$5</f>
        <v>44.5</v>
      </c>
      <c r="AB81" s="3">
        <f t="shared" si="44"/>
        <v>8.9</v>
      </c>
      <c r="AC81" s="3">
        <f t="shared" si="39"/>
        <v>53.4</v>
      </c>
      <c r="AD81" s="3">
        <v>0.25</v>
      </c>
      <c r="AE81" s="3">
        <v>0</v>
      </c>
      <c r="AF81">
        <f>AE81*'fuels and tailpipe emissions'!$B$3</f>
        <v>0</v>
      </c>
      <c r="AG81">
        <v>0</v>
      </c>
      <c r="AH81" s="3">
        <v>0</v>
      </c>
      <c r="AI81" s="3">
        <v>5</v>
      </c>
      <c r="AJ81" s="3">
        <v>1</v>
      </c>
      <c r="AK81" s="3">
        <f t="shared" si="45"/>
        <v>1.242</v>
      </c>
      <c r="AL81">
        <f t="shared" si="15"/>
        <v>1.3175295000000001E-4</v>
      </c>
      <c r="AM81">
        <v>1.2899999999999999E-3</v>
      </c>
      <c r="AN81" s="2">
        <f t="shared" si="40"/>
        <v>76.95</v>
      </c>
      <c r="AO81" s="2">
        <f t="shared" si="41"/>
        <v>32</v>
      </c>
      <c r="AP81" s="2">
        <f t="shared" si="42"/>
        <v>53.4</v>
      </c>
      <c r="AQ81" s="6" t="s">
        <v>86</v>
      </c>
      <c r="AR81" s="6">
        <v>0.24635579913730349</v>
      </c>
      <c r="AS81" s="2">
        <f>SUM(Z81,AG81)/(SUM(AQ81:AR81)/3.6)</f>
        <v>208.08927648351653</v>
      </c>
      <c r="AT81" s="5">
        <v>0</v>
      </c>
      <c r="AU81" s="7">
        <v>0</v>
      </c>
      <c r="AV81" s="7">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f>VLOOKUP(B81,'abrasion emissions'!$A$4:$D$32,4,FALSE)</f>
        <v>6.0000000000000002E-6</v>
      </c>
      <c r="CJ81" s="7">
        <f>VLOOKUP(B81,'abrasion emissions'!$A$4:$D$32,2,FALSE)</f>
        <v>7.3669999999999991E-6</v>
      </c>
      <c r="CK81" s="7">
        <f>VLOOKUP(B81,'abrasion emissions'!$A$4:$D$32,3,FALSE)</f>
        <v>4.1749999999999998E-6</v>
      </c>
    </row>
    <row r="82" spans="1:89" x14ac:dyDescent="0.3">
      <c r="A82" t="str">
        <f t="shared" si="35"/>
        <v>Motorbike, electric, 11-35kW - 2050 - CH</v>
      </c>
      <c r="B82" t="s">
        <v>522</v>
      </c>
      <c r="D82">
        <v>2050</v>
      </c>
      <c r="E82" t="s">
        <v>37</v>
      </c>
      <c r="F82" t="s">
        <v>146</v>
      </c>
      <c r="G82" t="s">
        <v>39</v>
      </c>
      <c r="H82" t="s">
        <v>32</v>
      </c>
      <c r="I82" t="s">
        <v>43</v>
      </c>
      <c r="J82" s="21">
        <v>62100</v>
      </c>
      <c r="K82" s="21">
        <v>4690</v>
      </c>
      <c r="L82" s="2">
        <f t="shared" si="36"/>
        <v>13.240938166311301</v>
      </c>
      <c r="M82">
        <v>1.1000000000000001</v>
      </c>
      <c r="N82">
        <v>70</v>
      </c>
      <c r="O82">
        <v>6</v>
      </c>
      <c r="P82" s="2">
        <f t="shared" si="13"/>
        <v>162.05000000000001</v>
      </c>
      <c r="Q82" s="2">
        <f t="shared" si="37"/>
        <v>245.05</v>
      </c>
      <c r="R82" s="21">
        <v>14</v>
      </c>
      <c r="S82" s="2">
        <v>81</v>
      </c>
      <c r="T82" s="1">
        <v>7.0000000000000007E-2</v>
      </c>
      <c r="U82" s="2">
        <f t="shared" si="43"/>
        <v>75.33</v>
      </c>
      <c r="V82" s="2">
        <v>13</v>
      </c>
      <c r="W82" s="2">
        <v>19</v>
      </c>
      <c r="X82" s="3">
        <v>22.8</v>
      </c>
      <c r="Y82" s="1">
        <v>0.8</v>
      </c>
      <c r="Z82" s="3">
        <f t="shared" si="38"/>
        <v>18.240000000000002</v>
      </c>
      <c r="AA82" s="3">
        <f>X82/'energy battery'!B$6</f>
        <v>45.6</v>
      </c>
      <c r="AB82" s="3">
        <f t="shared" si="44"/>
        <v>9.120000000000001</v>
      </c>
      <c r="AC82" s="3">
        <f t="shared" si="39"/>
        <v>54.72</v>
      </c>
      <c r="AD82" s="3">
        <v>0</v>
      </c>
      <c r="AE82" s="3">
        <v>0</v>
      </c>
      <c r="AF82">
        <f>AE82*'fuels and tailpipe emissions'!$B$3</f>
        <v>0</v>
      </c>
      <c r="AG82">
        <v>0</v>
      </c>
      <c r="AH82" s="3">
        <v>0</v>
      </c>
      <c r="AI82" s="3">
        <v>5</v>
      </c>
      <c r="AJ82" s="3">
        <v>1</v>
      </c>
      <c r="AK82" s="3">
        <f t="shared" si="45"/>
        <v>1.242</v>
      </c>
      <c r="AL82">
        <f t="shared" si="15"/>
        <v>1.3159185000000001E-4</v>
      </c>
      <c r="AM82">
        <v>1.2899999999999999E-3</v>
      </c>
      <c r="AN82" s="2">
        <f t="shared" si="40"/>
        <v>75.33</v>
      </c>
      <c r="AO82" s="2">
        <f t="shared" si="41"/>
        <v>32</v>
      </c>
      <c r="AP82" s="2">
        <f t="shared" si="42"/>
        <v>54.72</v>
      </c>
      <c r="AQ82" s="6" t="s">
        <v>86</v>
      </c>
      <c r="AR82" s="6">
        <v>0.24635579913730349</v>
      </c>
      <c r="AS82" s="2">
        <f>SUM(Z82,AG82)/(SUM(AQ82:AR82)/3.6)</f>
        <v>266.54132043956048</v>
      </c>
      <c r="AT82" s="5">
        <v>0</v>
      </c>
      <c r="AU82" s="7">
        <v>0</v>
      </c>
      <c r="AV82" s="7">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f>VLOOKUP(B82,'abrasion emissions'!$A$4:$D$32,4,FALSE)</f>
        <v>6.0000000000000002E-6</v>
      </c>
      <c r="CJ82" s="7">
        <f>VLOOKUP(B82,'abrasion emissions'!$A$4:$D$32,2,FALSE)</f>
        <v>7.3669999999999991E-6</v>
      </c>
      <c r="CK82" s="7">
        <f>VLOOKUP(B82,'abrasion emissions'!$A$4:$D$32,3,FALSE)</f>
        <v>4.1749999999999998E-6</v>
      </c>
    </row>
    <row r="83" spans="1:89" x14ac:dyDescent="0.3">
      <c r="A83" t="str">
        <f t="shared" si="35"/>
        <v>Motorbike, electric, &gt;35kW - 2020 - CH</v>
      </c>
      <c r="B83" t="s">
        <v>523</v>
      </c>
      <c r="D83">
        <v>2020</v>
      </c>
      <c r="E83" t="s">
        <v>37</v>
      </c>
      <c r="F83" t="s">
        <v>146</v>
      </c>
      <c r="G83" t="s">
        <v>39</v>
      </c>
      <c r="H83" t="s">
        <v>32</v>
      </c>
      <c r="I83" t="s">
        <v>43</v>
      </c>
      <c r="J83" s="21">
        <v>62100</v>
      </c>
      <c r="K83" s="21">
        <v>4690</v>
      </c>
      <c r="L83" s="2">
        <f t="shared" si="36"/>
        <v>13.240938166311301</v>
      </c>
      <c r="M83">
        <v>1.1000000000000001</v>
      </c>
      <c r="N83">
        <v>70</v>
      </c>
      <c r="O83">
        <v>6</v>
      </c>
      <c r="P83" s="2">
        <f t="shared" si="13"/>
        <v>246.64</v>
      </c>
      <c r="Q83" s="2">
        <f t="shared" si="37"/>
        <v>329.64</v>
      </c>
      <c r="R83">
        <v>49</v>
      </c>
      <c r="S83" s="2">
        <v>111</v>
      </c>
      <c r="T83" s="1">
        <v>0</v>
      </c>
      <c r="U83" s="2">
        <f t="shared" si="43"/>
        <v>111</v>
      </c>
      <c r="V83" s="2">
        <v>13.74</v>
      </c>
      <c r="W83" s="2">
        <v>22.900000000000002</v>
      </c>
      <c r="X83" s="3">
        <v>16.5</v>
      </c>
      <c r="Y83" s="1">
        <v>0.8</v>
      </c>
      <c r="Z83" s="3">
        <f t="shared" si="38"/>
        <v>13.200000000000001</v>
      </c>
      <c r="AA83" s="3">
        <f>X83/'energy battery'!B$3</f>
        <v>82.5</v>
      </c>
      <c r="AB83" s="3">
        <f t="shared" si="44"/>
        <v>16.5</v>
      </c>
      <c r="AC83" s="3">
        <f t="shared" si="39"/>
        <v>99</v>
      </c>
      <c r="AD83" s="3">
        <v>1</v>
      </c>
      <c r="AE83" s="3">
        <v>0</v>
      </c>
      <c r="AF83">
        <f>AE83*'fuels and tailpipe emissions'!$B$3</f>
        <v>0</v>
      </c>
      <c r="AG83">
        <v>0</v>
      </c>
      <c r="AH83" s="3">
        <v>0</v>
      </c>
      <c r="AI83" s="3">
        <v>5</v>
      </c>
      <c r="AJ83" s="3">
        <v>1</v>
      </c>
      <c r="AK83" s="3">
        <f t="shared" si="45"/>
        <v>1.242</v>
      </c>
      <c r="AL83">
        <f t="shared" si="15"/>
        <v>1.7701667999999999E-4</v>
      </c>
      <c r="AM83">
        <v>1.2899999999999999E-3</v>
      </c>
      <c r="AN83" s="2">
        <f t="shared" si="40"/>
        <v>111</v>
      </c>
      <c r="AO83" s="2">
        <f t="shared" si="41"/>
        <v>36.64</v>
      </c>
      <c r="AP83" s="2">
        <f t="shared" si="42"/>
        <v>99</v>
      </c>
      <c r="AQ83" s="6" t="s">
        <v>86</v>
      </c>
      <c r="AR83" s="6">
        <v>0.27473182101357863</v>
      </c>
      <c r="AS83" s="2">
        <f>SUM(Z83,AG83)/(SUM(AQ83:AR83)/3.6)</f>
        <v>172.96867841767528</v>
      </c>
      <c r="AT83" s="5">
        <v>0</v>
      </c>
      <c r="AU83" s="7">
        <v>0</v>
      </c>
      <c r="AV83" s="7">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f>VLOOKUP(B83,'abrasion emissions'!$A$4:$D$32,4,FALSE)</f>
        <v>6.0000000000000002E-6</v>
      </c>
      <c r="CJ83" s="7">
        <f>VLOOKUP(B83,'abrasion emissions'!$A$4:$D$32,2,FALSE)</f>
        <v>7.3669999999999991E-6</v>
      </c>
      <c r="CK83" s="7">
        <f>VLOOKUP(B83,'abrasion emissions'!$A$4:$D$32,3,FALSE)</f>
        <v>4.1749999999999998E-6</v>
      </c>
    </row>
    <row r="84" spans="1:89" x14ac:dyDescent="0.3">
      <c r="A84" t="str">
        <f t="shared" si="35"/>
        <v>Motorbike, electric, &gt;35kW - 2030 - CH</v>
      </c>
      <c r="B84" t="s">
        <v>523</v>
      </c>
      <c r="D84">
        <v>2030</v>
      </c>
      <c r="E84" t="s">
        <v>37</v>
      </c>
      <c r="F84" t="s">
        <v>146</v>
      </c>
      <c r="G84" t="s">
        <v>39</v>
      </c>
      <c r="H84" t="s">
        <v>32</v>
      </c>
      <c r="I84" t="s">
        <v>43</v>
      </c>
      <c r="J84" s="21">
        <v>62100</v>
      </c>
      <c r="K84" s="21">
        <v>4690</v>
      </c>
      <c r="L84" s="2">
        <f t="shared" si="36"/>
        <v>13.240938166311301</v>
      </c>
      <c r="M84">
        <v>1.1000000000000001</v>
      </c>
      <c r="N84">
        <v>70</v>
      </c>
      <c r="O84">
        <v>6</v>
      </c>
      <c r="P84" s="2">
        <f t="shared" si="13"/>
        <v>246.71</v>
      </c>
      <c r="Q84" s="2">
        <f t="shared" si="37"/>
        <v>329.71000000000004</v>
      </c>
      <c r="R84" s="21">
        <v>49</v>
      </c>
      <c r="S84" s="2">
        <v>111</v>
      </c>
      <c r="T84" s="1">
        <v>0.03</v>
      </c>
      <c r="U84" s="2">
        <f t="shared" si="43"/>
        <v>107.67</v>
      </c>
      <c r="V84" s="2">
        <v>13.74</v>
      </c>
      <c r="W84" s="2">
        <v>22.900000000000002</v>
      </c>
      <c r="X84" s="3">
        <v>25.6</v>
      </c>
      <c r="Y84" s="1">
        <v>0.8</v>
      </c>
      <c r="Z84" s="3">
        <f t="shared" si="38"/>
        <v>20.480000000000004</v>
      </c>
      <c r="AA84" s="3">
        <f>X84/'energy battery'!B$4</f>
        <v>85.333333333333343</v>
      </c>
      <c r="AB84" s="3">
        <f t="shared" si="44"/>
        <v>17.06666666666667</v>
      </c>
      <c r="AC84" s="3">
        <f t="shared" si="39"/>
        <v>102.4</v>
      </c>
      <c r="AD84" s="3">
        <v>0.5</v>
      </c>
      <c r="AE84" s="3">
        <v>0</v>
      </c>
      <c r="AF84">
        <f>AE84*'fuels and tailpipe emissions'!$B$3</f>
        <v>0</v>
      </c>
      <c r="AG84">
        <v>0</v>
      </c>
      <c r="AH84" s="3">
        <v>0</v>
      </c>
      <c r="AI84" s="3">
        <v>5</v>
      </c>
      <c r="AJ84" s="3">
        <v>1</v>
      </c>
      <c r="AK84" s="3">
        <f t="shared" si="45"/>
        <v>1.242</v>
      </c>
      <c r="AL84">
        <f t="shared" si="15"/>
        <v>1.7705427000000001E-4</v>
      </c>
      <c r="AM84">
        <v>1.2899999999999999E-3</v>
      </c>
      <c r="AN84" s="2">
        <f t="shared" si="40"/>
        <v>107.67</v>
      </c>
      <c r="AO84" s="2">
        <f t="shared" si="41"/>
        <v>36.64</v>
      </c>
      <c r="AP84" s="2">
        <f t="shared" si="42"/>
        <v>102.4</v>
      </c>
      <c r="AQ84" s="6" t="s">
        <v>86</v>
      </c>
      <c r="AR84" s="6">
        <v>0.27473182101357863</v>
      </c>
      <c r="AS84" s="2">
        <f>SUM(Z84,AG84)/(SUM(AQ84:AR84)/3.6)</f>
        <v>268.363525302575</v>
      </c>
      <c r="AT84" s="5">
        <v>0</v>
      </c>
      <c r="AU84" s="7">
        <v>0</v>
      </c>
      <c r="AV84" s="7">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f>VLOOKUP(B84,'abrasion emissions'!$A$4:$D$32,4,FALSE)</f>
        <v>6.0000000000000002E-6</v>
      </c>
      <c r="CJ84" s="7">
        <f>VLOOKUP(B84,'abrasion emissions'!$A$4:$D$32,2,FALSE)</f>
        <v>7.3669999999999991E-6</v>
      </c>
      <c r="CK84" s="7">
        <f>VLOOKUP(B84,'abrasion emissions'!$A$4:$D$32,3,FALSE)</f>
        <v>4.1749999999999998E-6</v>
      </c>
    </row>
    <row r="85" spans="1:89" x14ac:dyDescent="0.3">
      <c r="A85" t="str">
        <f t="shared" si="35"/>
        <v>Motorbike, electric, &gt;35kW - 2040 - CH</v>
      </c>
      <c r="B85" t="s">
        <v>523</v>
      </c>
      <c r="D85">
        <v>2040</v>
      </c>
      <c r="E85" t="s">
        <v>37</v>
      </c>
      <c r="F85" t="s">
        <v>146</v>
      </c>
      <c r="G85" t="s">
        <v>39</v>
      </c>
      <c r="H85" t="s">
        <v>32</v>
      </c>
      <c r="I85" t="s">
        <v>43</v>
      </c>
      <c r="J85" s="21">
        <v>62100</v>
      </c>
      <c r="K85" s="21">
        <v>4690</v>
      </c>
      <c r="L85" s="2">
        <f t="shared" si="36"/>
        <v>13.240938166311301</v>
      </c>
      <c r="M85">
        <v>1.1000000000000001</v>
      </c>
      <c r="N85">
        <v>70</v>
      </c>
      <c r="O85">
        <v>6</v>
      </c>
      <c r="P85" s="2">
        <f t="shared" si="13"/>
        <v>247.08999999999997</v>
      </c>
      <c r="Q85" s="2">
        <f t="shared" si="37"/>
        <v>330.09</v>
      </c>
      <c r="R85" s="21">
        <v>49</v>
      </c>
      <c r="S85" s="2">
        <v>111</v>
      </c>
      <c r="T85" s="1">
        <v>0.05</v>
      </c>
      <c r="U85" s="2">
        <f t="shared" si="43"/>
        <v>105.44999999999999</v>
      </c>
      <c r="V85" s="2">
        <v>13.74</v>
      </c>
      <c r="W85" s="2">
        <v>22.900000000000002</v>
      </c>
      <c r="X85" s="3">
        <v>35</v>
      </c>
      <c r="Y85" s="1">
        <v>0.8</v>
      </c>
      <c r="Z85" s="3">
        <f t="shared" si="38"/>
        <v>28</v>
      </c>
      <c r="AA85" s="3">
        <f>X85/'energy battery'!B$5</f>
        <v>87.5</v>
      </c>
      <c r="AB85" s="3">
        <f t="shared" si="44"/>
        <v>17.5</v>
      </c>
      <c r="AC85" s="3">
        <f t="shared" si="39"/>
        <v>105</v>
      </c>
      <c r="AD85" s="3">
        <v>0.25</v>
      </c>
      <c r="AE85" s="3">
        <v>0</v>
      </c>
      <c r="AF85">
        <f>AE85*'fuels and tailpipe emissions'!$B$3</f>
        <v>0</v>
      </c>
      <c r="AG85">
        <v>0</v>
      </c>
      <c r="AH85" s="3">
        <v>0</v>
      </c>
      <c r="AI85" s="3">
        <v>5</v>
      </c>
      <c r="AJ85" s="3">
        <v>1</v>
      </c>
      <c r="AK85" s="3">
        <f t="shared" si="45"/>
        <v>1.242</v>
      </c>
      <c r="AL85">
        <f t="shared" si="15"/>
        <v>1.7725833E-4</v>
      </c>
      <c r="AM85">
        <v>1.2899999999999999E-3</v>
      </c>
      <c r="AN85" s="2">
        <f t="shared" si="40"/>
        <v>105.44999999999999</v>
      </c>
      <c r="AO85" s="2">
        <f t="shared" si="41"/>
        <v>36.64</v>
      </c>
      <c r="AP85" s="2">
        <f t="shared" si="42"/>
        <v>105</v>
      </c>
      <c r="AQ85" s="6" t="s">
        <v>86</v>
      </c>
      <c r="AR85" s="6">
        <v>0.27473182101357863</v>
      </c>
      <c r="AS85" s="2">
        <f>SUM(Z85,AG85)/(SUM(AQ85:AR85)/3.6)</f>
        <v>366.90325724961417</v>
      </c>
      <c r="AT85" s="5">
        <v>0</v>
      </c>
      <c r="AU85" s="7">
        <v>0</v>
      </c>
      <c r="AV85" s="7">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f>VLOOKUP(B85,'abrasion emissions'!$A$4:$D$32,4,FALSE)</f>
        <v>6.0000000000000002E-6</v>
      </c>
      <c r="CJ85" s="7">
        <f>VLOOKUP(B85,'abrasion emissions'!$A$4:$D$32,2,FALSE)</f>
        <v>7.3669999999999991E-6</v>
      </c>
      <c r="CK85" s="7">
        <f>VLOOKUP(B85,'abrasion emissions'!$A$4:$D$32,3,FALSE)</f>
        <v>4.1749999999999998E-6</v>
      </c>
    </row>
    <row r="86" spans="1:89" x14ac:dyDescent="0.3">
      <c r="A86" t="str">
        <f t="shared" si="35"/>
        <v>Motorbike, electric, &gt;35kW - 2050 - CH</v>
      </c>
      <c r="B86" t="s">
        <v>523</v>
      </c>
      <c r="D86">
        <v>2050</v>
      </c>
      <c r="E86" t="s">
        <v>37</v>
      </c>
      <c r="F86" t="s">
        <v>146</v>
      </c>
      <c r="G86" t="s">
        <v>39</v>
      </c>
      <c r="H86" t="s">
        <v>32</v>
      </c>
      <c r="I86" t="s">
        <v>43</v>
      </c>
      <c r="J86" s="21">
        <v>62100</v>
      </c>
      <c r="K86" s="21">
        <v>4690</v>
      </c>
      <c r="L86" s="2">
        <f t="shared" si="36"/>
        <v>13.240938166311301</v>
      </c>
      <c r="M86">
        <v>1.1000000000000001</v>
      </c>
      <c r="N86">
        <v>70</v>
      </c>
      <c r="O86">
        <v>6</v>
      </c>
      <c r="P86" s="2">
        <f t="shared" si="13"/>
        <v>246.66999999999996</v>
      </c>
      <c r="Q86" s="2">
        <f t="shared" si="37"/>
        <v>329.66999999999996</v>
      </c>
      <c r="R86" s="21">
        <v>49</v>
      </c>
      <c r="S86" s="2">
        <v>111</v>
      </c>
      <c r="T86" s="1">
        <v>7.0000000000000007E-2</v>
      </c>
      <c r="U86" s="2">
        <f t="shared" si="43"/>
        <v>103.22999999999999</v>
      </c>
      <c r="V86" s="2">
        <v>13.74</v>
      </c>
      <c r="W86" s="2">
        <v>22.900000000000002</v>
      </c>
      <c r="X86" s="3">
        <v>44.5</v>
      </c>
      <c r="Y86" s="1">
        <v>0.8</v>
      </c>
      <c r="Z86" s="3">
        <f t="shared" si="38"/>
        <v>35.6</v>
      </c>
      <c r="AA86" s="3">
        <f>X86/'energy battery'!B$6</f>
        <v>89</v>
      </c>
      <c r="AB86" s="3">
        <f t="shared" si="44"/>
        <v>17.8</v>
      </c>
      <c r="AC86" s="3">
        <f t="shared" si="39"/>
        <v>106.8</v>
      </c>
      <c r="AD86" s="3">
        <v>0</v>
      </c>
      <c r="AE86" s="3">
        <v>0</v>
      </c>
      <c r="AF86">
        <f>AE86*'fuels and tailpipe emissions'!$B$3</f>
        <v>0</v>
      </c>
      <c r="AG86">
        <v>0</v>
      </c>
      <c r="AH86" s="3">
        <v>0</v>
      </c>
      <c r="AI86" s="3">
        <v>5</v>
      </c>
      <c r="AJ86" s="3">
        <v>1</v>
      </c>
      <c r="AK86" s="3">
        <f t="shared" si="45"/>
        <v>1.242</v>
      </c>
      <c r="AL86">
        <f t="shared" si="15"/>
        <v>1.7703278999999997E-4</v>
      </c>
      <c r="AM86">
        <v>1.2899999999999999E-3</v>
      </c>
      <c r="AN86" s="2">
        <f t="shared" si="40"/>
        <v>103.22999999999999</v>
      </c>
      <c r="AO86" s="2">
        <f t="shared" si="41"/>
        <v>36.64</v>
      </c>
      <c r="AP86" s="2">
        <f t="shared" si="42"/>
        <v>106.8</v>
      </c>
      <c r="AQ86" s="6" t="s">
        <v>86</v>
      </c>
      <c r="AR86" s="6">
        <v>0.27473182101357863</v>
      </c>
      <c r="AS86" s="2">
        <f>SUM(Z86,AG86)/(SUM(AQ86:AR86)/3.6)</f>
        <v>466.49128421736663</v>
      </c>
      <c r="AT86" s="5">
        <v>0</v>
      </c>
      <c r="AU86" s="7">
        <v>0</v>
      </c>
      <c r="AV86" s="7">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f>VLOOKUP(B86,'abrasion emissions'!$A$4:$D$32,4,FALSE)</f>
        <v>6.0000000000000002E-6</v>
      </c>
      <c r="CJ86" s="7">
        <f>VLOOKUP(B86,'abrasion emissions'!$A$4:$D$32,2,FALSE)</f>
        <v>7.3669999999999991E-6</v>
      </c>
      <c r="CK86" s="7">
        <f>VLOOKUP(B86,'abrasion emissions'!$A$4:$D$32,3,FALSE)</f>
        <v>4.1749999999999998E-6</v>
      </c>
    </row>
    <row r="87" spans="1:89" x14ac:dyDescent="0.3">
      <c r="T87"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workbookViewId="0">
      <selection activeCell="F284" sqref="F284"/>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Moped, gasoline, &lt;4kW, EURO-3, 2006</v>
      </c>
    </row>
    <row r="2" spans="1:2" x14ac:dyDescent="0.3">
      <c r="A2" t="s">
        <v>73</v>
      </c>
      <c r="B2" t="s">
        <v>37</v>
      </c>
    </row>
    <row r="3" spans="1:2" x14ac:dyDescent="0.3">
      <c r="A3" t="s">
        <v>87</v>
      </c>
      <c r="B3" t="s">
        <v>645</v>
      </c>
    </row>
    <row r="4" spans="1:2" x14ac:dyDescent="0.3">
      <c r="A4" t="s">
        <v>88</v>
      </c>
      <c r="B4" s="12"/>
    </row>
    <row r="5" spans="1:2" x14ac:dyDescent="0.3">
      <c r="A5" t="s">
        <v>89</v>
      </c>
      <c r="B5" s="12">
        <v>2006</v>
      </c>
    </row>
    <row r="6" spans="1:2" x14ac:dyDescent="0.3">
      <c r="A6" t="s">
        <v>131</v>
      </c>
      <c r="B6" s="12" t="str">
        <f>B3&amp;" - "&amp;B5&amp;" - "&amp;B2</f>
        <v>Moped, gasoline, &lt;4kW, EURO-3 - 2006 - CH</v>
      </c>
    </row>
    <row r="7" spans="1:2" x14ac:dyDescent="0.3">
      <c r="A7" t="s">
        <v>74</v>
      </c>
      <c r="B7" t="str">
        <f>B3</f>
        <v>Moped, gasoline, &lt;4kW, EURO-3</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33400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1</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2553</v>
      </c>
    </row>
    <row r="16" spans="1:2" x14ac:dyDescent="0.3">
      <c r="A16" t="s">
        <v>137</v>
      </c>
      <c r="B16" s="2">
        <f>INDEX('vehicles specifications'!$B$3:$CK$86,MATCH(B6,'vehicles specifications'!$A$3:$A$86,0),MATCH("Curb mass [kg]",'vehicles specifications'!$B$2:$CK$2,0))</f>
        <v>65.098124999999996</v>
      </c>
    </row>
    <row r="17" spans="1:8" x14ac:dyDescent="0.3">
      <c r="A17" t="s">
        <v>138</v>
      </c>
      <c r="B17">
        <f>INDEX('vehicles specifications'!$B$3:$CK$86,MATCH(B6,'vehicles specifications'!$A$3:$A$86,0),MATCH("Power [kW]",'vehicles specifications'!$B$2:$CK$2,0))</f>
        <v>2.5</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s="2">
        <f>INDEX('vehicles specifications'!$B$3:$CK$86,MATCH(B6,'vehicles specifications'!$A$3:$A$86,0),MATCH("Oxydation energy stored [kWh]",'vehicles specifications'!$B$2:$CK$2,0))</f>
        <v>61.833333333333329</v>
      </c>
    </row>
    <row r="21" spans="1:8" x14ac:dyDescent="0.3">
      <c r="A21" t="s">
        <v>145</v>
      </c>
      <c r="B21">
        <f>INDEX('vehicles specifications'!$B$3:$CK$86,MATCH(B6,'vehicles specifications'!$A$3:$A$86,0),MATCH("Fuel mass [kg]",'vehicles specifications'!$B$2:$CK$2,0))</f>
        <v>5.25</v>
      </c>
    </row>
    <row r="22" spans="1:8" x14ac:dyDescent="0.3">
      <c r="A22" t="s">
        <v>141</v>
      </c>
      <c r="B22" s="2">
        <f>INDEX('vehicles specifications'!$B$3:$CK$86,MATCH(B6,'vehicles specifications'!$A$3:$A$86,0),MATCH("Range [km]",'vehicles specifications'!$B$2:$CK$2,0))</f>
        <v>265.15715823918839</v>
      </c>
    </row>
    <row r="23" spans="1:8" x14ac:dyDescent="0.3">
      <c r="A23" t="s">
        <v>142</v>
      </c>
      <c r="B23" t="str">
        <f>INDEX('vehicles specifications'!$B$3:$CK$86,MATCH(B6,'vehicles specifications'!$A$3:$A$86,0),MATCH("Emission standard",'vehicles specifications'!$B$2:$CK$2,0))</f>
        <v>EURO-3</v>
      </c>
    </row>
    <row r="24" spans="1:8" x14ac:dyDescent="0.3">
      <c r="A24" t="s">
        <v>144</v>
      </c>
      <c r="B24" s="6">
        <f>INDEX('vehicles specifications'!$B$3:$CK$86,MATCH(B6,'vehicles specifications'!$A$3:$A$86,0),MATCH("Lightweighting rate [%]",'vehicles specifications'!$B$2:$CK$2,0))</f>
        <v>-0.05</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2.5 kW. Lifetime: 33400 km. Annual kilometers: 2553 km. Number of passengers: 1. Curb mass: 65.1 kg. Lightweighting of glider: -5%. Emission standard: EURO-3. Service visits throughout lifetime: 1. Range: 265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Moped, gasoline, &lt;4kW, EURO-3, 2006</v>
      </c>
      <c r="B31" s="12">
        <v>1</v>
      </c>
      <c r="C31" s="12" t="str">
        <f>B2</f>
        <v>CH</v>
      </c>
      <c r="D31" s="12" t="str">
        <f>B9</f>
        <v>unit</v>
      </c>
      <c r="E31" s="12"/>
      <c r="F31" s="12" t="s">
        <v>85</v>
      </c>
      <c r="G31" s="12" t="s">
        <v>86</v>
      </c>
      <c r="H31" s="12" t="str">
        <f>B3</f>
        <v>Moped, gasoline, &lt;4kW, EURO-3</v>
      </c>
    </row>
    <row r="32" spans="1:8" x14ac:dyDescent="0.3">
      <c r="A32" s="12" t="str">
        <f>INDEX('ei names mapping'!$B$4:$R$33,MATCH(B3,'ei names mapping'!$A$4:$A$33,0),MATCH(G32,'ei names mapping'!$B$3:$R$3,0))</f>
        <v>motor scooter production</v>
      </c>
      <c r="B32" s="16">
        <f>INDEX('vehicles specifications'!$B$3:$CK$86,MATCH(B6,'vehicles specifications'!$A$3:$A$86,0),MATCH(G32,'vehicles specifications'!$B$2:$CK$2,0))*INDEX('ei names mapping'!$B$137:$BK$220,MATCH(B6,'ei names mapping'!$A$137:$A$220,0),MATCH(G32,'ei names mapping'!$B$136:$BK$136,0))</f>
        <v>0.46625</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motor scooter, 50 cubic cm engine</v>
      </c>
    </row>
    <row r="33" spans="1:8" x14ac:dyDescent="0.3">
      <c r="A33" s="12" t="str">
        <f>INDEX('ei names mapping'!$B$4:$R$33,MATCH(B3,'ei names mapping'!$A$4:$A$33,0),MATCH(G33,'ei names mapping'!$B$3:$R$3,0))</f>
        <v>motor scooter production</v>
      </c>
      <c r="B33" s="16">
        <f>INDEX('vehicles specifications'!$B$3:$CK$86,MATCH(B6,'vehicles specifications'!$A$3:$A$86,0),MATCH(G33,'vehicles specifications'!$B$2:$CK$2,0))*INDEX('ei names mapping'!$B$137:$BK$220,MATCH(B6,'ei names mapping'!$A$137:$A$220,0),MATCH(G33,'ei names mapping'!$B$136:$BK$136,0))</f>
        <v>0.16666666666666669</v>
      </c>
      <c r="C33" s="12" t="str">
        <f>INDEX('ei names mapping'!$B$38:$R$67,MATCH(B3,'ei names mapping'!$A$4:$A$33,0),MATCH(G33,'ei names mapping'!$B$3:$R$3,0))</f>
        <v>RER</v>
      </c>
      <c r="D33" s="12" t="str">
        <f>INDEX('ei names mapping'!$B$104:$R$133,MATCH(B3,'ei names mapping'!$A$104:$A$133,0),MATCH(G33,'ei names mapping'!$B$3:$R$3,0))</f>
        <v>unit</v>
      </c>
      <c r="E33" s="12"/>
      <c r="F33" s="12" t="s">
        <v>91</v>
      </c>
      <c r="G33" t="s">
        <v>16</v>
      </c>
      <c r="H33" s="12" t="str">
        <f>INDEX('ei names mapping'!$B$71:$R$100,MATCH(B3,'ei names mapping'!$A$4:$A$33,0),MATCH(G33,'ei names mapping'!$B$3:$R$3,0))</f>
        <v>motor scooter, 50 cubic cm engine</v>
      </c>
    </row>
    <row r="34" spans="1:8" x14ac:dyDescent="0.3">
      <c r="A34" s="12" t="str">
        <f>INDEX('ei names mapping'!$B$4:$R$33,MATCH(B3,'ei names mapping'!$A$4:$A$33,0),MATCH(G34,'ei names mapping'!$B$3:$R$3,0))</f>
        <v>polyethylene production, high density, granulate</v>
      </c>
      <c r="B34" s="16">
        <f>INDEX('vehicles specifications'!$B$3:$CK$86,MATCH(B6,'vehicles specifications'!$A$3:$A$86,0),MATCH(G34,'vehicles specifications'!$B$2:$CK$2,0))*INDEX('ei names mapping'!$B$137:$BK$220,MATCH(B6,'ei names mapping'!$A$137:$A$220,0),MATCH(G34,'ei names mapping'!$B$136:$BK$136,0))</f>
        <v>0.78749999999999998</v>
      </c>
      <c r="C34" s="12" t="str">
        <f>INDEX('ei names mapping'!$B$38:$R$67,MATCH(B3,'ei names mapping'!$A$4:$A$33,0),MATCH(G34,'ei names mapping'!$B$3:$R$3,0))</f>
        <v>RER</v>
      </c>
      <c r="D34" s="12" t="str">
        <f>INDEX('ei names mapping'!$B$104:$R$133,MATCH(B3,'ei names mapping'!$A$104:$A$133,0),MATCH(G34,'ei names mapping'!$B$3:$R$3,0))</f>
        <v>kilogram</v>
      </c>
      <c r="E34" s="12"/>
      <c r="F34" s="12" t="s">
        <v>91</v>
      </c>
      <c r="G34" t="s">
        <v>24</v>
      </c>
      <c r="H34" s="12" t="str">
        <f>INDEX('ei names mapping'!$B$71:$R$100,MATCH(B3,'ei names mapping'!$A$4:$A$33,0),MATCH(G34,'ei names mapping'!$B$3:$R$3,0))</f>
        <v>polyethylene, high density, granulate</v>
      </c>
    </row>
    <row r="35" spans="1:8" s="21" customFormat="1" x14ac:dyDescent="0.3">
      <c r="A35" s="22" t="s">
        <v>468</v>
      </c>
      <c r="B35" s="21">
        <f>(B16/1000)*B27</f>
        <v>65.098124999999996</v>
      </c>
      <c r="C35" s="21" t="s">
        <v>94</v>
      </c>
      <c r="D35" s="21" t="s">
        <v>243</v>
      </c>
      <c r="F35" s="21" t="s">
        <v>91</v>
      </c>
      <c r="H35" s="22" t="s">
        <v>469</v>
      </c>
    </row>
    <row r="36" spans="1:8" s="21" customFormat="1" x14ac:dyDescent="0.3">
      <c r="A36" s="22" t="s">
        <v>467</v>
      </c>
      <c r="B36" s="2">
        <f>(B16/1000)*B26</f>
        <v>1035.0601875</v>
      </c>
      <c r="C36" s="21" t="s">
        <v>98</v>
      </c>
      <c r="D36" s="21" t="s">
        <v>243</v>
      </c>
      <c r="F36" s="21" t="s">
        <v>91</v>
      </c>
      <c r="H36" s="22" t="s">
        <v>467</v>
      </c>
    </row>
    <row r="37" spans="1:8" x14ac:dyDescent="0.3">
      <c r="A37" s="12"/>
      <c r="B37" s="16"/>
      <c r="C37" s="12"/>
      <c r="D37" s="12"/>
      <c r="E37" s="12"/>
      <c r="F37" s="12"/>
      <c r="H37" s="12"/>
    </row>
    <row r="38" spans="1:8" ht="15.6" x14ac:dyDescent="0.3">
      <c r="A38" s="11" t="s">
        <v>72</v>
      </c>
      <c r="B38" s="9" t="str">
        <f>B40&amp;", "&amp;B42</f>
        <v>Moped, gasoline, &lt;4kW, EURO-4, 2016</v>
      </c>
    </row>
    <row r="39" spans="1:8" x14ac:dyDescent="0.3">
      <c r="A39" t="s">
        <v>73</v>
      </c>
      <c r="B39" t="s">
        <v>37</v>
      </c>
    </row>
    <row r="40" spans="1:8" x14ac:dyDescent="0.3">
      <c r="A40" t="s">
        <v>87</v>
      </c>
      <c r="B40" t="s">
        <v>646</v>
      </c>
    </row>
    <row r="41" spans="1:8" x14ac:dyDescent="0.3">
      <c r="A41" t="s">
        <v>88</v>
      </c>
      <c r="B41" s="12"/>
    </row>
    <row r="42" spans="1:8" x14ac:dyDescent="0.3">
      <c r="A42" t="s">
        <v>89</v>
      </c>
      <c r="B42" s="12">
        <v>2016</v>
      </c>
    </row>
    <row r="43" spans="1:8" x14ac:dyDescent="0.3">
      <c r="A43" t="s">
        <v>131</v>
      </c>
      <c r="B43" s="12" t="str">
        <f>B40&amp;" - "&amp;B42&amp;" - "&amp;B39</f>
        <v>Moped, gasoline, &lt;4kW, EURO-4 - 2016 - CH</v>
      </c>
    </row>
    <row r="44" spans="1:8" x14ac:dyDescent="0.3">
      <c r="A44" t="s">
        <v>74</v>
      </c>
      <c r="B44" t="str">
        <f>B40</f>
        <v>Moped, gasoline, &lt;4kW, EURO-4</v>
      </c>
    </row>
    <row r="45" spans="1:8" x14ac:dyDescent="0.3">
      <c r="A45" t="s">
        <v>75</v>
      </c>
      <c r="B45" t="s">
        <v>76</v>
      </c>
    </row>
    <row r="46" spans="1:8" x14ac:dyDescent="0.3">
      <c r="A46" t="s">
        <v>77</v>
      </c>
      <c r="B46" t="s">
        <v>77</v>
      </c>
    </row>
    <row r="47" spans="1:8" x14ac:dyDescent="0.3">
      <c r="A47" t="s">
        <v>79</v>
      </c>
      <c r="B47" t="s">
        <v>90</v>
      </c>
    </row>
    <row r="48" spans="1:8" x14ac:dyDescent="0.3">
      <c r="A48" t="s">
        <v>132</v>
      </c>
      <c r="B48">
        <f>INDEX('vehicles specifications'!$B$3:$CK$86,MATCH(B43,'vehicles specifications'!$A$3:$A$86,0),MATCH("Lifetime [km]",'vehicles specifications'!$B$2:$CK$2,0))</f>
        <v>33400</v>
      </c>
    </row>
    <row r="49" spans="1:2" x14ac:dyDescent="0.3">
      <c r="A49" t="s">
        <v>133</v>
      </c>
      <c r="B49">
        <f>INDEX('vehicles specifications'!$B$3:$CK$86,MATCH(B43,'vehicles specifications'!$A$3:$A$86,0),MATCH("Passengers [unit]",'vehicles specifications'!$B$2:$CK$2,0))</f>
        <v>1</v>
      </c>
    </row>
    <row r="50" spans="1:2" x14ac:dyDescent="0.3">
      <c r="A50" t="s">
        <v>134</v>
      </c>
      <c r="B50">
        <f>INDEX('vehicles specifications'!$B$3:$CK$86,MATCH(B43,'vehicles specifications'!$A$3:$A$86,0),MATCH("Servicing [unit]",'vehicles specifications'!$B$2:$CK$2,0))</f>
        <v>1</v>
      </c>
    </row>
    <row r="51" spans="1:2" x14ac:dyDescent="0.3">
      <c r="A51" t="s">
        <v>135</v>
      </c>
      <c r="B51">
        <f>INDEX('vehicles specifications'!$B$3:$CK$86,MATCH(B43,'vehicles specifications'!$A$3:$A$86,0),MATCH("Energy battery replacement [unit]",'vehicles specifications'!$B$2:$CK$2,0))</f>
        <v>0</v>
      </c>
    </row>
    <row r="52" spans="1:2" x14ac:dyDescent="0.3">
      <c r="A52" t="s">
        <v>136</v>
      </c>
      <c r="B52">
        <f>INDEX('vehicles specifications'!$B$3:$CK$86,MATCH(B43,'vehicles specifications'!$A$3:$A$86,0),MATCH("Annual kilometers [km]",'vehicles specifications'!$B$2:$CK$2,0))</f>
        <v>2553</v>
      </c>
    </row>
    <row r="53" spans="1:2" x14ac:dyDescent="0.3">
      <c r="A53" t="s">
        <v>137</v>
      </c>
      <c r="B53" s="2">
        <f>INDEX('vehicles specifications'!$B$3:$CK$86,MATCH(B43,'vehicles specifications'!$A$3:$A$86,0),MATCH("Curb mass [kg]",'vehicles specifications'!$B$2:$CK$2,0))</f>
        <v>63.83925</v>
      </c>
    </row>
    <row r="54" spans="1:2" x14ac:dyDescent="0.3">
      <c r="A54" t="s">
        <v>138</v>
      </c>
      <c r="B54">
        <f>INDEX('vehicles specifications'!$B$3:$CK$86,MATCH(B43,'vehicles specifications'!$A$3:$A$86,0),MATCH("Power [kW]",'vehicles specifications'!$B$2:$CK$2,0))</f>
        <v>2.5</v>
      </c>
    </row>
    <row r="55" spans="1:2" x14ac:dyDescent="0.3">
      <c r="A55" t="s">
        <v>139</v>
      </c>
      <c r="B55">
        <f>INDEX('vehicles specifications'!$B$3:$CK$86,MATCH(B43,'vehicles specifications'!$A$3:$A$86,0),MATCH("Energy battery mass [kg]",'vehicles specifications'!$B$2:$CK$2,0))</f>
        <v>0</v>
      </c>
    </row>
    <row r="56" spans="1:2" x14ac:dyDescent="0.3">
      <c r="A56" t="s">
        <v>140</v>
      </c>
      <c r="B56">
        <f>INDEX('vehicles specifications'!$B$3:$CK$86,MATCH(B43,'vehicles specifications'!$A$3:$A$86,0),MATCH("Electric energy available [kWh]",'vehicles specifications'!$B$2:$CK$2,0))</f>
        <v>0</v>
      </c>
    </row>
    <row r="57" spans="1:2" x14ac:dyDescent="0.3">
      <c r="A57" t="s">
        <v>143</v>
      </c>
      <c r="B57" s="2">
        <f>INDEX('vehicles specifications'!$B$3:$CK$86,MATCH(B43,'vehicles specifications'!$A$3:$A$86,0),MATCH("Oxydation energy stored [kWh]",'vehicles specifications'!$B$2:$CK$2,0))</f>
        <v>61.833333333333329</v>
      </c>
    </row>
    <row r="58" spans="1:2" x14ac:dyDescent="0.3">
      <c r="A58" t="s">
        <v>145</v>
      </c>
      <c r="B58">
        <f>INDEX('vehicles specifications'!$B$3:$CK$86,MATCH(B43,'vehicles specifications'!$A$3:$A$86,0),MATCH("Fuel mass [kg]",'vehicles specifications'!$B$2:$CK$2,0))</f>
        <v>5.25</v>
      </c>
    </row>
    <row r="59" spans="1:2" x14ac:dyDescent="0.3">
      <c r="A59" t="s">
        <v>141</v>
      </c>
      <c r="B59" s="2">
        <f>INDEX('vehicles specifications'!$B$3:$CK$86,MATCH(B43,'vehicles specifications'!$A$3:$A$86,0),MATCH("Range [km]",'vehicles specifications'!$B$2:$CK$2,0))</f>
        <v>267.8087298215803</v>
      </c>
    </row>
    <row r="60" spans="1:2" x14ac:dyDescent="0.3">
      <c r="A60" t="s">
        <v>142</v>
      </c>
      <c r="B60" t="str">
        <f>INDEX('vehicles specifications'!$B$3:$CK$86,MATCH(B43,'vehicles specifications'!$A$3:$A$86,0),MATCH("Emission standard",'vehicles specifications'!$B$2:$CK$2,0))</f>
        <v>EURO-4</v>
      </c>
    </row>
    <row r="61" spans="1:2" x14ac:dyDescent="0.3">
      <c r="A61" t="s">
        <v>144</v>
      </c>
      <c r="B61" s="6">
        <f>INDEX('vehicles specifications'!$B$3:$CK$86,MATCH(B43,'vehicles specifications'!$A$3:$A$86,0),MATCH("Lightweighting rate [%]",'vehicles specifications'!$B$2:$CK$2,0))</f>
        <v>-0.02</v>
      </c>
    </row>
    <row r="62" spans="1:2" s="21" customFormat="1" x14ac:dyDescent="0.3">
      <c r="A62" s="21" t="s">
        <v>513</v>
      </c>
      <c r="B62" s="6" t="s">
        <v>514</v>
      </c>
    </row>
    <row r="63" spans="1:2" s="21" customFormat="1" x14ac:dyDescent="0.3">
      <c r="A63" s="21" t="s">
        <v>515</v>
      </c>
      <c r="B63" s="2">
        <v>15900</v>
      </c>
    </row>
    <row r="64" spans="1:2" s="21" customFormat="1" x14ac:dyDescent="0.3">
      <c r="A64" s="21" t="s">
        <v>516</v>
      </c>
      <c r="B64" s="2">
        <v>1000</v>
      </c>
    </row>
    <row r="65" spans="1:8" s="21" customFormat="1" x14ac:dyDescent="0.3">
      <c r="A65" s="21" t="s">
        <v>84</v>
      </c>
      <c r="B65" s="21"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Battery capacity: "&amp;ROUND(B56,1)&amp;" kWh. Battery mass: "&amp;ROUND(B55,1)&amp; " kg. Battery replacement throughout lifetime: "&amp;ROUND(B51,1)&amp;". Fuel tank capacity: "&amp;ROUND(B57,1)&amp;" kWh. Fuel mass: "&amp;ROUND(B58,1)&amp;" kg. Origin of manufacture: "&amp;B62&amp;". Shipping distance: "&amp;B63&amp;" km. Lorry distribution distance: "&amp;B64&amp;" km. Documentation: "&amp;Readmefirst!$B$2&amp;", "&amp;Readmefirst!$B$3&amp;". "&amp;B47</f>
        <v>Power: 2.5 kW. Lifetime: 33400 km. Annual kilometers: 2553 km. Number of passengers: 1. Curb mass: 63.8 kg. Lightweighting of glider: -2%. Emission standard: EURO-4. Service visits throughout lifetime: 1. Range: 268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6" spans="1:8" ht="15.6" x14ac:dyDescent="0.3">
      <c r="A66" s="11" t="s">
        <v>80</v>
      </c>
    </row>
    <row r="67" spans="1:8" x14ac:dyDescent="0.3">
      <c r="A67" t="s">
        <v>81</v>
      </c>
      <c r="B67" t="s">
        <v>82</v>
      </c>
      <c r="C67" t="s">
        <v>73</v>
      </c>
      <c r="D67" t="s">
        <v>77</v>
      </c>
      <c r="E67" t="s">
        <v>83</v>
      </c>
      <c r="F67" t="s">
        <v>75</v>
      </c>
      <c r="G67" t="s">
        <v>84</v>
      </c>
      <c r="H67" t="s">
        <v>74</v>
      </c>
    </row>
    <row r="68" spans="1:8" x14ac:dyDescent="0.3">
      <c r="A68" s="12" t="str">
        <f>B38</f>
        <v>Moped, gasoline, &lt;4kW, EURO-4, 2016</v>
      </c>
      <c r="B68" s="12">
        <v>1</v>
      </c>
      <c r="C68" s="12" t="str">
        <f>B39</f>
        <v>CH</v>
      </c>
      <c r="D68" s="12" t="str">
        <f>B46</f>
        <v>unit</v>
      </c>
      <c r="E68" s="12"/>
      <c r="F68" s="12" t="s">
        <v>85</v>
      </c>
      <c r="G68" s="12" t="s">
        <v>86</v>
      </c>
      <c r="H68" s="12" t="str">
        <f>B40</f>
        <v>Moped, gasoline, &lt;4kW, EURO-4</v>
      </c>
    </row>
    <row r="69" spans="1:8" x14ac:dyDescent="0.3">
      <c r="A69" s="12" t="str">
        <f>INDEX('ei names mapping'!$B$4:$R$33,MATCH(B40,'ei names mapping'!$A$4:$A$33,0),MATCH(G69,'ei names mapping'!$B$3:$R$3,0))</f>
        <v>motor scooter production</v>
      </c>
      <c r="B69" s="16">
        <f>INDEX('vehicles specifications'!$B$3:$CK$86,MATCH(B43,'vehicles specifications'!$A$3:$A$86,0),MATCH(G69,'vehicles specifications'!$B$2:$CK$2,0))*INDEX('ei names mapping'!$B$137:$BK$220,MATCH(B43,'ei names mapping'!$A$137:$A$220,0),MATCH(G69,'ei names mapping'!$B$136:$BK$136,0))</f>
        <v>0.46625</v>
      </c>
      <c r="C69" s="12" t="str">
        <f>INDEX('ei names mapping'!$B$38:$R$67,MATCH(B40,'ei names mapping'!$A$4:$A$33,0),MATCH(G69,'ei names mapping'!$B$3:$R$3,0))</f>
        <v>RER</v>
      </c>
      <c r="D69" s="12" t="str">
        <f>INDEX('ei names mapping'!$B$104:$R$133,MATCH(B40,'ei names mapping'!$A$104:$A$133,0),MATCH(G69,'ei names mapping'!$B$3:$R$3,0))</f>
        <v>unit</v>
      </c>
      <c r="E69" s="12"/>
      <c r="F69" s="12" t="s">
        <v>91</v>
      </c>
      <c r="G69" s="21" t="s">
        <v>15</v>
      </c>
      <c r="H69" s="12" t="str">
        <f>INDEX('ei names mapping'!$B$71:$R$100,MATCH(B40,'ei names mapping'!$A$4:$A$33,0),MATCH(G69,'ei names mapping'!$B$3:$R$3,0))</f>
        <v>motor scooter, 50 cubic cm engine</v>
      </c>
    </row>
    <row r="70" spans="1:8" x14ac:dyDescent="0.3">
      <c r="A70" s="12" t="str">
        <f>INDEX('ei names mapping'!$B$4:$R$33,MATCH(B40,'ei names mapping'!$A$4:$A$33,0),MATCH(G70,'ei names mapping'!$B$3:$R$3,0))</f>
        <v>motor scooter production</v>
      </c>
      <c r="B70" s="16">
        <f>INDEX('vehicles specifications'!$B$3:$CK$86,MATCH(B43,'vehicles specifications'!$A$3:$A$86,0),MATCH(G70,'vehicles specifications'!$B$2:$CK$2,0))*INDEX('ei names mapping'!$B$137:$BK$220,MATCH(B43,'ei names mapping'!$A$137:$A$220,0),MATCH(G70,'ei names mapping'!$B$136:$BK$136,0))</f>
        <v>0.16666666666666669</v>
      </c>
      <c r="C70" s="12" t="str">
        <f>INDEX('ei names mapping'!$B$38:$R$67,MATCH(B40,'ei names mapping'!$A$4:$A$33,0),MATCH(G70,'ei names mapping'!$B$3:$R$3,0))</f>
        <v>RER</v>
      </c>
      <c r="D70" s="12" t="str">
        <f>INDEX('ei names mapping'!$B$104:$R$133,MATCH(B40,'ei names mapping'!$A$104:$A$133,0),MATCH(G70,'ei names mapping'!$B$3:$R$3,0))</f>
        <v>unit</v>
      </c>
      <c r="E70" s="12"/>
      <c r="F70" s="12" t="s">
        <v>91</v>
      </c>
      <c r="G70" t="s">
        <v>16</v>
      </c>
      <c r="H70" s="12" t="str">
        <f>INDEX('ei names mapping'!$B$71:$R$100,MATCH(B40,'ei names mapping'!$A$4:$A$33,0),MATCH(G70,'ei names mapping'!$B$3:$R$3,0))</f>
        <v>motor scooter, 50 cubic cm engine</v>
      </c>
    </row>
    <row r="71" spans="1:8" x14ac:dyDescent="0.3">
      <c r="A71" s="12" t="str">
        <f>INDEX('ei names mapping'!$B$4:$R$33,MATCH(B40,'ei names mapping'!$A$4:$A$33,0),MATCH(G71,'ei names mapping'!$B$3:$R$3,0))</f>
        <v>polyethylene production, high density, granulate</v>
      </c>
      <c r="B71" s="16">
        <f>INDEX('vehicles specifications'!$B$3:$CK$86,MATCH(B43,'vehicles specifications'!$A$3:$A$86,0),MATCH(G71,'vehicles specifications'!$B$2:$CK$2,0))*INDEX('ei names mapping'!$B$137:$BK$220,MATCH(B43,'ei names mapping'!$A$137:$A$220,0),MATCH(G71,'ei names mapping'!$B$136:$BK$136,0))</f>
        <v>0.78749999999999998</v>
      </c>
      <c r="C71" s="12" t="str">
        <f>INDEX('ei names mapping'!$B$38:$R$67,MATCH(B40,'ei names mapping'!$A$4:$A$33,0),MATCH(G71,'ei names mapping'!$B$3:$R$3,0))</f>
        <v>RER</v>
      </c>
      <c r="D71" s="12" t="str">
        <f>INDEX('ei names mapping'!$B$104:$R$133,MATCH(B40,'ei names mapping'!$A$104:$A$133,0),MATCH(G71,'ei names mapping'!$B$3:$R$3,0))</f>
        <v>kilogram</v>
      </c>
      <c r="E71" s="12"/>
      <c r="F71" s="12" t="s">
        <v>91</v>
      </c>
      <c r="G71" t="s">
        <v>24</v>
      </c>
      <c r="H71" s="12" t="str">
        <f>INDEX('ei names mapping'!$B$71:$R$100,MATCH(B40,'ei names mapping'!$A$4:$A$33,0),MATCH(G71,'ei names mapping'!$B$3:$R$3,0))</f>
        <v>polyethylene, high density, granulate</v>
      </c>
    </row>
    <row r="72" spans="1:8" s="21" customFormat="1" x14ac:dyDescent="0.3">
      <c r="A72" s="22" t="s">
        <v>468</v>
      </c>
      <c r="B72" s="21">
        <f>(B53/1000)*B64</f>
        <v>63.83925</v>
      </c>
      <c r="C72" s="21" t="s">
        <v>94</v>
      </c>
      <c r="D72" s="21" t="s">
        <v>243</v>
      </c>
      <c r="F72" s="21" t="s">
        <v>91</v>
      </c>
      <c r="H72" s="22" t="s">
        <v>469</v>
      </c>
    </row>
    <row r="73" spans="1:8" s="21" customFormat="1" x14ac:dyDescent="0.3">
      <c r="A73" s="22" t="s">
        <v>467</v>
      </c>
      <c r="B73" s="2">
        <f>(B53/1000)*B63</f>
        <v>1015.044075</v>
      </c>
      <c r="C73" s="21" t="s">
        <v>98</v>
      </c>
      <c r="D73" s="21" t="s">
        <v>243</v>
      </c>
      <c r="F73" s="21" t="s">
        <v>91</v>
      </c>
      <c r="H73" s="22" t="s">
        <v>467</v>
      </c>
    </row>
    <row r="75" spans="1:8" ht="15.6" x14ac:dyDescent="0.3">
      <c r="A75" s="11" t="s">
        <v>72</v>
      </c>
      <c r="B75" s="9" t="str">
        <f>B77&amp;", "&amp;B79</f>
        <v>Moped, gasoline, &lt;4kW, EURO-5, 2020</v>
      </c>
    </row>
    <row r="76" spans="1:8" x14ac:dyDescent="0.3">
      <c r="A76" t="s">
        <v>73</v>
      </c>
      <c r="B76" t="s">
        <v>37</v>
      </c>
    </row>
    <row r="77" spans="1:8" x14ac:dyDescent="0.3">
      <c r="A77" t="s">
        <v>87</v>
      </c>
      <c r="B77" t="s">
        <v>647</v>
      </c>
    </row>
    <row r="78" spans="1:8" x14ac:dyDescent="0.3">
      <c r="A78" t="s">
        <v>88</v>
      </c>
      <c r="B78" s="12"/>
    </row>
    <row r="79" spans="1:8" x14ac:dyDescent="0.3">
      <c r="A79" t="s">
        <v>89</v>
      </c>
      <c r="B79" s="12">
        <v>2020</v>
      </c>
    </row>
    <row r="80" spans="1:8" x14ac:dyDescent="0.3">
      <c r="A80" t="s">
        <v>131</v>
      </c>
      <c r="B80" s="12" t="str">
        <f>B77&amp;" - "&amp;B79&amp;" - "&amp;B76</f>
        <v>Moped, gasoline, &lt;4kW, EURO-5 - 2020 - CH</v>
      </c>
    </row>
    <row r="81" spans="1:2" x14ac:dyDescent="0.3">
      <c r="A81" t="s">
        <v>74</v>
      </c>
      <c r="B81" t="str">
        <f>B77</f>
        <v>Moped, gasoline, &lt;4kW, EURO-5</v>
      </c>
    </row>
    <row r="82" spans="1:2" x14ac:dyDescent="0.3">
      <c r="A82" t="s">
        <v>75</v>
      </c>
      <c r="B82" t="s">
        <v>76</v>
      </c>
    </row>
    <row r="83" spans="1:2" x14ac:dyDescent="0.3">
      <c r="A83" t="s">
        <v>77</v>
      </c>
      <c r="B83" t="s">
        <v>77</v>
      </c>
    </row>
    <row r="84" spans="1:2" x14ac:dyDescent="0.3">
      <c r="A84" t="s">
        <v>79</v>
      </c>
      <c r="B84" t="s">
        <v>90</v>
      </c>
    </row>
    <row r="85" spans="1:2" x14ac:dyDescent="0.3">
      <c r="A85" t="s">
        <v>132</v>
      </c>
      <c r="B85">
        <f>INDEX('vehicles specifications'!$B$3:$CK$86,MATCH(B80,'vehicles specifications'!$A$3:$A$86,0),MATCH("Lifetime [km]",'vehicles specifications'!$B$2:$CK$2,0))</f>
        <v>33400</v>
      </c>
    </row>
    <row r="86" spans="1:2" x14ac:dyDescent="0.3">
      <c r="A86" t="s">
        <v>133</v>
      </c>
      <c r="B86">
        <f>INDEX('vehicles specifications'!$B$3:$CK$86,MATCH(B80,'vehicles specifications'!$A$3:$A$86,0),MATCH("Passengers [unit]",'vehicles specifications'!$B$2:$CK$2,0))</f>
        <v>1</v>
      </c>
    </row>
    <row r="87" spans="1:2" x14ac:dyDescent="0.3">
      <c r="A87" t="s">
        <v>134</v>
      </c>
      <c r="B87">
        <f>INDEX('vehicles specifications'!$B$3:$CK$86,MATCH(B80,'vehicles specifications'!$A$3:$A$86,0),MATCH("Servicing [unit]",'vehicles specifications'!$B$2:$CK$2,0))</f>
        <v>1</v>
      </c>
    </row>
    <row r="88" spans="1:2" x14ac:dyDescent="0.3">
      <c r="A88" t="s">
        <v>135</v>
      </c>
      <c r="B88">
        <f>INDEX('vehicles specifications'!$B$3:$CK$86,MATCH(B80,'vehicles specifications'!$A$3:$A$86,0),MATCH("Energy battery replacement [unit]",'vehicles specifications'!$B$2:$CK$2,0))</f>
        <v>0</v>
      </c>
    </row>
    <row r="89" spans="1:2" x14ac:dyDescent="0.3">
      <c r="A89" t="s">
        <v>136</v>
      </c>
      <c r="B89">
        <f>INDEX('vehicles specifications'!$B$3:$CK$86,MATCH(B80,'vehicles specifications'!$A$3:$A$86,0),MATCH("Annual kilometers [km]",'vehicles specifications'!$B$2:$CK$2,0))</f>
        <v>2553</v>
      </c>
    </row>
    <row r="90" spans="1:2" x14ac:dyDescent="0.3">
      <c r="A90" t="s">
        <v>137</v>
      </c>
      <c r="B90" s="2">
        <f>INDEX('vehicles specifications'!$B$3:$CK$86,MATCH(B80,'vehicles specifications'!$A$3:$A$86,0),MATCH("Curb mass [kg]",'vehicles specifications'!$B$2:$CK$2,0))</f>
        <v>63</v>
      </c>
    </row>
    <row r="91" spans="1:2" x14ac:dyDescent="0.3">
      <c r="A91" t="s">
        <v>138</v>
      </c>
      <c r="B91">
        <f>INDEX('vehicles specifications'!$B$3:$CK$86,MATCH(B80,'vehicles specifications'!$A$3:$A$86,0),MATCH("Power [kW]",'vehicles specifications'!$B$2:$CK$2,0))</f>
        <v>2.5</v>
      </c>
    </row>
    <row r="92" spans="1:2" x14ac:dyDescent="0.3">
      <c r="A92" t="s">
        <v>139</v>
      </c>
      <c r="B92">
        <f>INDEX('vehicles specifications'!$B$3:$CK$86,MATCH(B80,'vehicles specifications'!$A$3:$A$86,0),MATCH("Energy battery mass [kg]",'vehicles specifications'!$B$2:$CK$2,0))</f>
        <v>0</v>
      </c>
    </row>
    <row r="93" spans="1:2" x14ac:dyDescent="0.3">
      <c r="A93" t="s">
        <v>140</v>
      </c>
      <c r="B93">
        <f>INDEX('vehicles specifications'!$B$3:$CK$86,MATCH(B80,'vehicles specifications'!$A$3:$A$86,0),MATCH("Electric energy available [kWh]",'vehicles specifications'!$B$2:$CK$2,0))</f>
        <v>0</v>
      </c>
    </row>
    <row r="94" spans="1:2" x14ac:dyDescent="0.3">
      <c r="A94" t="s">
        <v>143</v>
      </c>
      <c r="B94" s="2">
        <f>INDEX('vehicles specifications'!$B$3:$CK$86,MATCH(B80,'vehicles specifications'!$A$3:$A$86,0),MATCH("Oxydation energy stored [kWh]",'vehicles specifications'!$B$2:$CK$2,0))</f>
        <v>61.833333333333329</v>
      </c>
    </row>
    <row r="95" spans="1:2" x14ac:dyDescent="0.3">
      <c r="A95" t="s">
        <v>145</v>
      </c>
      <c r="B95">
        <f>INDEX('vehicles specifications'!$B$3:$CK$86,MATCH(B80,'vehicles specifications'!$A$3:$A$86,0),MATCH("Fuel mass [kg]",'vehicles specifications'!$B$2:$CK$2,0))</f>
        <v>5.25</v>
      </c>
    </row>
    <row r="96" spans="1:2" x14ac:dyDescent="0.3">
      <c r="A96" t="s">
        <v>141</v>
      </c>
      <c r="B96" s="2">
        <f>INDEX('vehicles specifications'!$B$3:$CK$86,MATCH(B80,'vehicles specifications'!$A$3:$A$86,0),MATCH("Range [km]",'vehicles specifications'!$B$2:$CK$2,0))</f>
        <v>270.51386850664676</v>
      </c>
    </row>
    <row r="97" spans="1:8" x14ac:dyDescent="0.3">
      <c r="A97" t="s">
        <v>142</v>
      </c>
      <c r="B97" t="str">
        <f>INDEX('vehicles specifications'!$B$3:$CK$86,MATCH(B80,'vehicles specifications'!$A$3:$A$86,0),MATCH("Emission standard",'vehicles specifications'!$B$2:$CK$2,0))</f>
        <v>EURO-5</v>
      </c>
    </row>
    <row r="98" spans="1:8" x14ac:dyDescent="0.3">
      <c r="A98" t="s">
        <v>144</v>
      </c>
      <c r="B98" s="6">
        <f>INDEX('vehicles specifications'!$B$3:$CK$86,MATCH(B80,'vehicles specifications'!$A$3:$A$86,0),MATCH("Lightweighting rate [%]",'vehicles specifications'!$B$2:$CK$2,0))</f>
        <v>0</v>
      </c>
    </row>
    <row r="99" spans="1:8" s="21" customFormat="1" x14ac:dyDescent="0.3">
      <c r="A99" s="21" t="s">
        <v>513</v>
      </c>
      <c r="B99" s="6" t="s">
        <v>514</v>
      </c>
    </row>
    <row r="100" spans="1:8" s="21" customFormat="1" x14ac:dyDescent="0.3">
      <c r="A100" s="21" t="s">
        <v>515</v>
      </c>
      <c r="B100" s="2">
        <v>15900</v>
      </c>
    </row>
    <row r="101" spans="1:8" s="21" customFormat="1" x14ac:dyDescent="0.3">
      <c r="A101" s="21" t="s">
        <v>516</v>
      </c>
      <c r="B101" s="2">
        <v>1000</v>
      </c>
    </row>
    <row r="102" spans="1:8" s="21" customFormat="1" x14ac:dyDescent="0.3">
      <c r="A102" s="21" t="s">
        <v>84</v>
      </c>
      <c r="B102" s="21"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Battery capacity: "&amp;ROUND(B93,1)&amp;" kWh. Battery mass: "&amp;ROUND(B92,1)&amp; " kg. Battery replacement throughout lifetime: "&amp;ROUND(B88,1)&amp;". Fuel tank capacity: "&amp;ROUND(B94,1)&amp;" kWh. Fuel mass: "&amp;ROUND(B95,1)&amp;" kg. Origin of manufacture: "&amp;B99&amp;". Shipping distance: "&amp;B100&amp;" km. Lorry distribution distance: "&amp;B101&amp;" km. Documentation: "&amp;Readmefirst!$B$2&amp;", "&amp;Readmefirst!$B$3&amp;". "&amp;B84</f>
        <v>Power: 2.5 kW. Lifetime: 33400 km. Annual kilometers: 2553 km. Number of passengers: 1. Curb mass: 63 kg. Lightweighting of glider: 0%. Emission standard: EURO-5. Service visits throughout lifetime: 1. Range: 271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3" spans="1:8" ht="15.6" x14ac:dyDescent="0.3">
      <c r="A103" s="11" t="s">
        <v>80</v>
      </c>
    </row>
    <row r="104" spans="1:8" x14ac:dyDescent="0.3">
      <c r="A104" t="s">
        <v>81</v>
      </c>
      <c r="B104" t="s">
        <v>82</v>
      </c>
      <c r="C104" t="s">
        <v>73</v>
      </c>
      <c r="D104" t="s">
        <v>77</v>
      </c>
      <c r="E104" t="s">
        <v>83</v>
      </c>
      <c r="F104" t="s">
        <v>75</v>
      </c>
      <c r="G104" t="s">
        <v>84</v>
      </c>
      <c r="H104" t="s">
        <v>74</v>
      </c>
    </row>
    <row r="105" spans="1:8" x14ac:dyDescent="0.3">
      <c r="A105" s="12" t="str">
        <f>B75</f>
        <v>Moped, gasoline, &lt;4kW, EURO-5, 2020</v>
      </c>
      <c r="B105" s="12">
        <v>1</v>
      </c>
      <c r="C105" s="12" t="str">
        <f>B76</f>
        <v>CH</v>
      </c>
      <c r="D105" s="12" t="str">
        <f>B83</f>
        <v>unit</v>
      </c>
      <c r="E105" s="12"/>
      <c r="F105" s="12" t="s">
        <v>85</v>
      </c>
      <c r="G105" s="12" t="s">
        <v>86</v>
      </c>
      <c r="H105" s="12" t="str">
        <f>B77</f>
        <v>Moped, gasoline, &lt;4kW, EURO-5</v>
      </c>
    </row>
    <row r="106" spans="1:8" x14ac:dyDescent="0.3">
      <c r="A106" s="12" t="str">
        <f>INDEX('ei names mapping'!$B$4:$R$33,MATCH(B77,'ei names mapping'!$A$4:$A$33,0),MATCH(G106,'ei names mapping'!$B$3:$R$3,0))</f>
        <v>motor scooter production</v>
      </c>
      <c r="B106" s="16">
        <f>INDEX('vehicles specifications'!$B$3:$CK$86,MATCH(B80,'vehicles specifications'!$A$3:$A$86,0),MATCH(G106,'vehicles specifications'!$B$2:$CK$2,0))*INDEX('ei names mapping'!$B$137:$BK$220,MATCH(B80,'ei names mapping'!$A$137:$A$220,0),MATCH(G106,'ei names mapping'!$B$136:$BK$136,0))</f>
        <v>0.46625</v>
      </c>
      <c r="C106" s="12" t="str">
        <f>INDEX('ei names mapping'!$B$38:$R$67,MATCH(B77,'ei names mapping'!$A$4:$A$33,0),MATCH(G106,'ei names mapping'!$B$3:$R$3,0))</f>
        <v>RER</v>
      </c>
      <c r="D106" s="12" t="str">
        <f>INDEX('ei names mapping'!$B$104:$R$133,MATCH(B77,'ei names mapping'!$A$104:$A$133,0),MATCH(G106,'ei names mapping'!$B$3:$R$3,0))</f>
        <v>unit</v>
      </c>
      <c r="E106" s="12"/>
      <c r="F106" s="12" t="s">
        <v>91</v>
      </c>
      <c r="G106" s="21" t="s">
        <v>15</v>
      </c>
      <c r="H106" s="12" t="str">
        <f>INDEX('ei names mapping'!$B$71:$R$100,MATCH(B77,'ei names mapping'!$A$4:$A$33,0),MATCH(G106,'ei names mapping'!$B$3:$R$3,0))</f>
        <v>motor scooter, 50 cubic cm engine</v>
      </c>
    </row>
    <row r="107" spans="1:8" x14ac:dyDescent="0.3">
      <c r="A107" s="12" t="str">
        <f>INDEX('ei names mapping'!$B$4:$R$33,MATCH(B77,'ei names mapping'!$A$4:$A$33,0),MATCH(G107,'ei names mapping'!$B$3:$R$3,0))</f>
        <v>motor scooter production</v>
      </c>
      <c r="B107" s="16">
        <f>INDEX('vehicles specifications'!$B$3:$CK$86,MATCH(B80,'vehicles specifications'!$A$3:$A$86,0),MATCH(G107,'vehicles specifications'!$B$2:$CK$2,0))*INDEX('ei names mapping'!$B$137:$BK$220,MATCH(B80,'ei names mapping'!$A$137:$A$220,0),MATCH(G107,'ei names mapping'!$B$136:$BK$136,0))</f>
        <v>0.16666666666666669</v>
      </c>
      <c r="C107" s="12" t="str">
        <f>INDEX('ei names mapping'!$B$38:$R$67,MATCH(B77,'ei names mapping'!$A$4:$A$33,0),MATCH(G107,'ei names mapping'!$B$3:$R$3,0))</f>
        <v>RER</v>
      </c>
      <c r="D107" s="12" t="str">
        <f>INDEX('ei names mapping'!$B$104:$R$133,MATCH(B77,'ei names mapping'!$A$104:$A$133,0),MATCH(G107,'ei names mapping'!$B$3:$R$3,0))</f>
        <v>unit</v>
      </c>
      <c r="E107" s="12"/>
      <c r="F107" s="12" t="s">
        <v>91</v>
      </c>
      <c r="G107" t="s">
        <v>16</v>
      </c>
      <c r="H107" s="12" t="str">
        <f>INDEX('ei names mapping'!$B$71:$R$100,MATCH(B77,'ei names mapping'!$A$4:$A$33,0),MATCH(G107,'ei names mapping'!$B$3:$R$3,0))</f>
        <v>motor scooter, 50 cubic cm engine</v>
      </c>
    </row>
    <row r="108" spans="1:8" s="21" customFormat="1" x14ac:dyDescent="0.3">
      <c r="A108" s="12" t="str">
        <f>INDEX('ei names mapping'!$B$4:$R$33,MATCH(B77,'ei names mapping'!$A$4:$A$33,0),MATCH(G108,'ei names mapping'!$B$3:$R$3,0))</f>
        <v>glider lightweighting</v>
      </c>
      <c r="B108" s="16">
        <f>INDEX('vehicles specifications'!$B$3:$CK$86,MATCH(B80,'vehicles specifications'!$A$3:$A$86,0),MATCH(G108,'vehicles specifications'!$B$2:$CK$2,0))*INDEX('ei names mapping'!$B$137:$BK$220,MATCH(B80,'ei names mapping'!$A$137:$A$220,0),MATCH(G108,'ei names mapping'!$B$136:$BK$136,0))</f>
        <v>0</v>
      </c>
      <c r="C108" s="12" t="str">
        <f>INDEX('ei names mapping'!$B$38:$R$67,MATCH(B77,'ei names mapping'!$A$4:$A$33,0),MATCH(G108,'ei names mapping'!$B$3:$R$3,0))</f>
        <v>GLO</v>
      </c>
      <c r="D108" s="12" t="str">
        <f>INDEX('ei names mapping'!$B$104:$R$133,MATCH(B77,'ei names mapping'!$A$104:$A$133,0),MATCH(G108,'ei names mapping'!$B$3:$R$3,0))</f>
        <v>kilogram</v>
      </c>
      <c r="E108" s="12"/>
      <c r="F108" s="12" t="s">
        <v>91</v>
      </c>
      <c r="G108" s="21" t="s">
        <v>14</v>
      </c>
      <c r="H108" s="12" t="str">
        <f>INDEX('ei names mapping'!$B$71:$R$100,MATCH(B77,'ei names mapping'!$A$4:$A$33,0),MATCH(G108,'ei names mapping'!$B$3:$R$3,0))</f>
        <v>glider lightweighting</v>
      </c>
    </row>
    <row r="109" spans="1:8" x14ac:dyDescent="0.3">
      <c r="A109" s="12" t="str">
        <f>INDEX('ei names mapping'!$B$4:$R$33,MATCH(B77,'ei names mapping'!$A$4:$A$33,0),MATCH(G109,'ei names mapping'!$B$3:$R$3,0))</f>
        <v>polyethylene production, high density, granulate</v>
      </c>
      <c r="B109" s="16">
        <f>INDEX('vehicles specifications'!$B$3:$CK$86,MATCH(B80,'vehicles specifications'!$A$3:$A$86,0),MATCH(G109,'vehicles specifications'!$B$2:$CK$2,0))*INDEX('ei names mapping'!$B$137:$BK$220,MATCH(B80,'ei names mapping'!$A$137:$A$220,0),MATCH(G109,'ei names mapping'!$B$136:$BK$136,0))</f>
        <v>0.78749999999999998</v>
      </c>
      <c r="C109" s="12" t="str">
        <f>INDEX('ei names mapping'!$B$38:$R$67,MATCH(B77,'ei names mapping'!$A$4:$A$33,0),MATCH(G109,'ei names mapping'!$B$3:$R$3,0))</f>
        <v>RER</v>
      </c>
      <c r="D109" s="12" t="str">
        <f>INDEX('ei names mapping'!$B$104:$R$133,MATCH(B77,'ei names mapping'!$A$104:$A$133,0),MATCH(G109,'ei names mapping'!$B$3:$R$3,0))</f>
        <v>kilogram</v>
      </c>
      <c r="E109" s="12"/>
      <c r="F109" s="12" t="s">
        <v>91</v>
      </c>
      <c r="G109" t="s">
        <v>24</v>
      </c>
      <c r="H109" s="12" t="str">
        <f>INDEX('ei names mapping'!$B$71:$R$100,MATCH(B77,'ei names mapping'!$A$4:$A$33,0),MATCH(G109,'ei names mapping'!$B$3:$R$3,0))</f>
        <v>polyethylene, high density, granulate</v>
      </c>
    </row>
    <row r="110" spans="1:8" s="21" customFormat="1" x14ac:dyDescent="0.3">
      <c r="A110" s="22" t="s">
        <v>468</v>
      </c>
      <c r="B110" s="21">
        <f>(B90/1000)*B101</f>
        <v>63</v>
      </c>
      <c r="C110" s="21" t="s">
        <v>94</v>
      </c>
      <c r="D110" s="21" t="s">
        <v>243</v>
      </c>
      <c r="F110" s="21" t="s">
        <v>91</v>
      </c>
      <c r="H110" s="22" t="s">
        <v>469</v>
      </c>
    </row>
    <row r="111" spans="1:8" s="21" customFormat="1" x14ac:dyDescent="0.3">
      <c r="A111" s="22" t="s">
        <v>467</v>
      </c>
      <c r="B111" s="2">
        <f>(B90/1000)*B100</f>
        <v>1001.7</v>
      </c>
      <c r="C111" s="21" t="s">
        <v>98</v>
      </c>
      <c r="D111" s="21" t="s">
        <v>243</v>
      </c>
      <c r="F111" s="21" t="s">
        <v>91</v>
      </c>
      <c r="H111" s="22" t="s">
        <v>467</v>
      </c>
    </row>
    <row r="113" spans="1:2" ht="15.6" x14ac:dyDescent="0.3">
      <c r="A113" s="11" t="s">
        <v>72</v>
      </c>
      <c r="B113" s="9" t="str">
        <f>B115&amp;", "&amp;B117</f>
        <v>Moped, gasoline, &lt;4kW, EURO-5, 2030</v>
      </c>
    </row>
    <row r="114" spans="1:2" x14ac:dyDescent="0.3">
      <c r="A114" t="s">
        <v>73</v>
      </c>
      <c r="B114" t="s">
        <v>37</v>
      </c>
    </row>
    <row r="115" spans="1:2" x14ac:dyDescent="0.3">
      <c r="A115" t="s">
        <v>87</v>
      </c>
      <c r="B115" t="s">
        <v>647</v>
      </c>
    </row>
    <row r="116" spans="1:2" x14ac:dyDescent="0.3">
      <c r="A116" t="s">
        <v>88</v>
      </c>
      <c r="B116" s="12"/>
    </row>
    <row r="117" spans="1:2" x14ac:dyDescent="0.3">
      <c r="A117" t="s">
        <v>89</v>
      </c>
      <c r="B117" s="12">
        <v>2030</v>
      </c>
    </row>
    <row r="118" spans="1:2" x14ac:dyDescent="0.3">
      <c r="A118" t="s">
        <v>131</v>
      </c>
      <c r="B118" s="12" t="str">
        <f>B115&amp;" - "&amp;B117&amp;" - "&amp;B114</f>
        <v>Moped, gasoline, &lt;4kW, EURO-5 - 2030 - CH</v>
      </c>
    </row>
    <row r="119" spans="1:2" x14ac:dyDescent="0.3">
      <c r="A119" t="s">
        <v>74</v>
      </c>
      <c r="B119" t="str">
        <f>B115</f>
        <v>Moped, gasoline, &lt;4kW, EURO-5</v>
      </c>
    </row>
    <row r="120" spans="1:2" x14ac:dyDescent="0.3">
      <c r="A120" t="s">
        <v>75</v>
      </c>
      <c r="B120" t="s">
        <v>76</v>
      </c>
    </row>
    <row r="121" spans="1:2" x14ac:dyDescent="0.3">
      <c r="A121" t="s">
        <v>77</v>
      </c>
      <c r="B121" t="s">
        <v>77</v>
      </c>
    </row>
    <row r="122" spans="1:2" x14ac:dyDescent="0.3">
      <c r="A122" t="s">
        <v>79</v>
      </c>
      <c r="B122" t="s">
        <v>90</v>
      </c>
    </row>
    <row r="123" spans="1:2" x14ac:dyDescent="0.3">
      <c r="A123" t="s">
        <v>132</v>
      </c>
      <c r="B123">
        <f>INDEX('vehicles specifications'!$B$3:$CK$86,MATCH(B118,'vehicles specifications'!$A$3:$A$86,0),MATCH("Lifetime [km]",'vehicles specifications'!$B$2:$CK$2,0))</f>
        <v>33400</v>
      </c>
    </row>
    <row r="124" spans="1:2" x14ac:dyDescent="0.3">
      <c r="A124" t="s">
        <v>133</v>
      </c>
      <c r="B124">
        <f>INDEX('vehicles specifications'!$B$3:$CK$86,MATCH(B118,'vehicles specifications'!$A$3:$A$86,0),MATCH("Passengers [unit]",'vehicles specifications'!$B$2:$CK$2,0))</f>
        <v>1</v>
      </c>
    </row>
    <row r="125" spans="1:2" x14ac:dyDescent="0.3">
      <c r="A125" t="s">
        <v>134</v>
      </c>
      <c r="B125">
        <f>INDEX('vehicles specifications'!$B$3:$CK$86,MATCH(B118,'vehicles specifications'!$A$3:$A$86,0),MATCH("Servicing [unit]",'vehicles specifications'!$B$2:$CK$2,0))</f>
        <v>1</v>
      </c>
    </row>
    <row r="126" spans="1:2" x14ac:dyDescent="0.3">
      <c r="A126" t="s">
        <v>135</v>
      </c>
      <c r="B126">
        <f>INDEX('vehicles specifications'!$B$3:$CK$86,MATCH(B118,'vehicles specifications'!$A$3:$A$86,0),MATCH("Energy battery replacement [unit]",'vehicles specifications'!$B$2:$CK$2,0))</f>
        <v>0</v>
      </c>
    </row>
    <row r="127" spans="1:2" x14ac:dyDescent="0.3">
      <c r="A127" t="s">
        <v>136</v>
      </c>
      <c r="B127">
        <f>INDEX('vehicles specifications'!$B$3:$CK$86,MATCH(B118,'vehicles specifications'!$A$3:$A$86,0),MATCH("Annual kilometers [km]",'vehicles specifications'!$B$2:$CK$2,0))</f>
        <v>2553</v>
      </c>
    </row>
    <row r="128" spans="1:2" x14ac:dyDescent="0.3">
      <c r="A128" t="s">
        <v>137</v>
      </c>
      <c r="B128" s="2">
        <f>INDEX('vehicles specifications'!$B$3:$CK$86,MATCH(B118,'vehicles specifications'!$A$3:$A$86,0),MATCH("Curb mass [kg]",'vehicles specifications'!$B$2:$CK$2,0))</f>
        <v>61.729124999999996</v>
      </c>
    </row>
    <row r="129" spans="1:8" x14ac:dyDescent="0.3">
      <c r="A129" t="s">
        <v>138</v>
      </c>
      <c r="B129">
        <f>INDEX('vehicles specifications'!$B$3:$CK$86,MATCH(B118,'vehicles specifications'!$A$3:$A$86,0),MATCH("Power [kW]",'vehicles specifications'!$B$2:$CK$2,0))</f>
        <v>2.5</v>
      </c>
    </row>
    <row r="130" spans="1:8" x14ac:dyDescent="0.3">
      <c r="A130" t="s">
        <v>139</v>
      </c>
      <c r="B130">
        <f>INDEX('vehicles specifications'!$B$3:$CK$86,MATCH(B118,'vehicles specifications'!$A$3:$A$86,0),MATCH("Energy battery mass [kg]",'vehicles specifications'!$B$2:$CK$2,0))</f>
        <v>0</v>
      </c>
    </row>
    <row r="131" spans="1:8" x14ac:dyDescent="0.3">
      <c r="A131" t="s">
        <v>140</v>
      </c>
      <c r="B131">
        <f>INDEX('vehicles specifications'!$B$3:$CK$86,MATCH(B118,'vehicles specifications'!$A$3:$A$86,0),MATCH("Electric energy available [kWh]",'vehicles specifications'!$B$2:$CK$2,0))</f>
        <v>0</v>
      </c>
    </row>
    <row r="132" spans="1:8" x14ac:dyDescent="0.3">
      <c r="A132" t="s">
        <v>143</v>
      </c>
      <c r="B132" s="2">
        <f>INDEX('vehicles specifications'!$B$3:$CK$86,MATCH(B118,'vehicles specifications'!$A$3:$A$86,0),MATCH("Oxydation energy stored [kWh]",'vehicles specifications'!$B$2:$CK$2,0))</f>
        <v>61.833333333333329</v>
      </c>
    </row>
    <row r="133" spans="1:8" x14ac:dyDescent="0.3">
      <c r="A133" t="s">
        <v>145</v>
      </c>
      <c r="B133">
        <f>INDEX('vehicles specifications'!$B$3:$CK$86,MATCH(B118,'vehicles specifications'!$A$3:$A$86,0),MATCH("Fuel mass [kg]",'vehicles specifications'!$B$2:$CK$2,0))</f>
        <v>5.25</v>
      </c>
    </row>
    <row r="134" spans="1:8" x14ac:dyDescent="0.3">
      <c r="A134" t="s">
        <v>141</v>
      </c>
      <c r="B134" s="2">
        <f>INDEX('vehicles specifications'!$B$3:$CK$86,MATCH(B118,'vehicles specifications'!$A$3:$A$86,0),MATCH("Range [km]",'vehicles specifications'!$B$2:$CK$2,0))</f>
        <v>273.24633182489572</v>
      </c>
    </row>
    <row r="135" spans="1:8" x14ac:dyDescent="0.3">
      <c r="A135" t="s">
        <v>142</v>
      </c>
      <c r="B135" t="str">
        <f>INDEX('vehicles specifications'!$B$3:$CK$86,MATCH(B118,'vehicles specifications'!$A$3:$A$86,0),MATCH("Emission standard",'vehicles specifications'!$B$2:$CK$2,0))</f>
        <v>EURO-5</v>
      </c>
    </row>
    <row r="136" spans="1:8" x14ac:dyDescent="0.3">
      <c r="A136" t="s">
        <v>144</v>
      </c>
      <c r="B136" s="6">
        <f>INDEX('vehicles specifications'!$B$3:$CK$86,MATCH(B118,'vehicles specifications'!$A$3:$A$86,0),MATCH("Lightweighting rate [%]",'vehicles specifications'!$B$2:$CK$2,0))</f>
        <v>0.03</v>
      </c>
    </row>
    <row r="137" spans="1:8" s="21" customFormat="1" x14ac:dyDescent="0.3">
      <c r="A137" s="21" t="s">
        <v>513</v>
      </c>
      <c r="B137" s="6" t="s">
        <v>514</v>
      </c>
    </row>
    <row r="138" spans="1:8" s="21" customFormat="1" x14ac:dyDescent="0.3">
      <c r="A138" s="21" t="s">
        <v>515</v>
      </c>
      <c r="B138" s="2">
        <v>15900</v>
      </c>
    </row>
    <row r="139" spans="1:8" s="21" customFormat="1" x14ac:dyDescent="0.3">
      <c r="A139" s="21" t="s">
        <v>516</v>
      </c>
      <c r="B139" s="2">
        <v>1000</v>
      </c>
    </row>
    <row r="140" spans="1:8" s="21" customFormat="1" x14ac:dyDescent="0.3">
      <c r="A140" s="21" t="s">
        <v>84</v>
      </c>
      <c r="B140" s="21"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Battery capacity: "&amp;ROUND(B131,1)&amp;" kWh. Battery mass: "&amp;ROUND(B130,1)&amp; " kg. Battery replacement throughout lifetime: "&amp;ROUND(B126,1)&amp;". Fuel tank capacity: "&amp;ROUND(B132,1)&amp;" kWh. Fuel mass: "&amp;ROUND(B133,1)&amp;" kg. Origin of manufacture: "&amp;B137&amp;". Shipping distance: "&amp;B138&amp;" km. Lorry distribution distance: "&amp;B139&amp;" km. Documentation: "&amp;Readmefirst!$B$2&amp;", "&amp;Readmefirst!$B$3&amp;". "&amp;B122</f>
        <v>Power: 2.5 kW. Lifetime: 33400 km. Annual kilometers: 2553 km. Number of passengers: 1. Curb mass: 61.7 kg. Lightweighting of glider: 3%. Emission standard: EURO-5. Service visits throughout lifetime: 1. Range: 273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1" spans="1:8" ht="15.6" x14ac:dyDescent="0.3">
      <c r="A141" s="11" t="s">
        <v>80</v>
      </c>
    </row>
    <row r="142" spans="1:8" x14ac:dyDescent="0.3">
      <c r="A142" t="s">
        <v>81</v>
      </c>
      <c r="B142" t="s">
        <v>82</v>
      </c>
      <c r="C142" t="s">
        <v>73</v>
      </c>
      <c r="D142" t="s">
        <v>77</v>
      </c>
      <c r="E142" t="s">
        <v>83</v>
      </c>
      <c r="F142" t="s">
        <v>75</v>
      </c>
      <c r="G142" t="s">
        <v>84</v>
      </c>
      <c r="H142" t="s">
        <v>74</v>
      </c>
    </row>
    <row r="143" spans="1:8" x14ac:dyDescent="0.3">
      <c r="A143" s="12" t="str">
        <f>B113</f>
        <v>Moped, gasoline, &lt;4kW, EURO-5, 2030</v>
      </c>
      <c r="B143" s="12">
        <v>1</v>
      </c>
      <c r="C143" s="12" t="str">
        <f>B114</f>
        <v>CH</v>
      </c>
      <c r="D143" s="12" t="str">
        <f>B121</f>
        <v>unit</v>
      </c>
      <c r="E143" s="12"/>
      <c r="F143" s="12" t="s">
        <v>85</v>
      </c>
      <c r="G143" s="12" t="s">
        <v>86</v>
      </c>
      <c r="H143" s="12" t="str">
        <f>B115</f>
        <v>Moped, gasoline, &lt;4kW, EURO-5</v>
      </c>
    </row>
    <row r="144" spans="1:8" x14ac:dyDescent="0.3">
      <c r="A144" s="12" t="str">
        <f>INDEX('ei names mapping'!$B$4:$R$33,MATCH(B115,'ei names mapping'!$A$4:$A$33,0),MATCH(G144,'ei names mapping'!$B$3:$R$3,0))</f>
        <v>motor scooter production</v>
      </c>
      <c r="B144" s="16">
        <f>INDEX('vehicles specifications'!$B$3:$CK$86,MATCH(B118,'vehicles specifications'!$A$3:$A$86,0),MATCH(G144,'vehicles specifications'!$B$2:$CK$2,0))*INDEX('ei names mapping'!$B$137:$BK$220,MATCH(B118,'ei names mapping'!$A$137:$A$220,0),MATCH(G144,'ei names mapping'!$B$136:$BK$136,0))</f>
        <v>0.47069444444444442</v>
      </c>
      <c r="C144" s="12" t="str">
        <f>INDEX('ei names mapping'!$B$38:$R$67,MATCH(B115,'ei names mapping'!$A$4:$A$33,0),MATCH(G144,'ei names mapping'!$B$3:$R$3,0))</f>
        <v>RER</v>
      </c>
      <c r="D144" s="12" t="str">
        <f>INDEX('ei names mapping'!$B$104:$R$133,MATCH(B115,'ei names mapping'!$A$104:$A$133,0),MATCH(G144,'ei names mapping'!$B$3:$R$3,0))</f>
        <v>unit</v>
      </c>
      <c r="E144" s="12"/>
      <c r="F144" s="12" t="s">
        <v>91</v>
      </c>
      <c r="G144" s="21" t="s">
        <v>15</v>
      </c>
      <c r="H144" s="12" t="str">
        <f>INDEX('ei names mapping'!$B$71:$R$100,MATCH(B115,'ei names mapping'!$A$4:$A$33,0),MATCH(G144,'ei names mapping'!$B$3:$R$3,0))</f>
        <v>motor scooter, 50 cubic cm engine</v>
      </c>
    </row>
    <row r="145" spans="1:8" x14ac:dyDescent="0.3">
      <c r="A145" s="12" t="str">
        <f>INDEX('ei names mapping'!$B$4:$R$33,MATCH(B115,'ei names mapping'!$A$4:$A$33,0),MATCH(G145,'ei names mapping'!$B$3:$R$3,0))</f>
        <v>motor scooter production</v>
      </c>
      <c r="B145" s="16">
        <f>INDEX('vehicles specifications'!$B$3:$CK$86,MATCH(B118,'vehicles specifications'!$A$3:$A$86,0),MATCH(G145,'vehicles specifications'!$B$2:$CK$2,0))*INDEX('ei names mapping'!$B$137:$BK$220,MATCH(B118,'ei names mapping'!$A$137:$A$220,0),MATCH(G145,'ei names mapping'!$B$136:$BK$136,0))</f>
        <v>0.16222222222222221</v>
      </c>
      <c r="C145" s="12" t="str">
        <f>INDEX('ei names mapping'!$B$38:$R$67,MATCH(B115,'ei names mapping'!$A$4:$A$33,0),MATCH(G145,'ei names mapping'!$B$3:$R$3,0))</f>
        <v>RER</v>
      </c>
      <c r="D145" s="12" t="str">
        <f>INDEX('ei names mapping'!$B$104:$R$133,MATCH(B115,'ei names mapping'!$A$104:$A$133,0),MATCH(G145,'ei names mapping'!$B$3:$R$3,0))</f>
        <v>unit</v>
      </c>
      <c r="E145" s="12"/>
      <c r="F145" s="12" t="s">
        <v>91</v>
      </c>
      <c r="G145" t="s">
        <v>16</v>
      </c>
      <c r="H145" s="12" t="str">
        <f>INDEX('ei names mapping'!$B$71:$R$100,MATCH(B115,'ei names mapping'!$A$4:$A$33,0),MATCH(G145,'ei names mapping'!$B$3:$R$3,0))</f>
        <v>motor scooter, 50 cubic cm engine</v>
      </c>
    </row>
    <row r="146" spans="1:8" s="21" customFormat="1" x14ac:dyDescent="0.3">
      <c r="A146" s="12" t="str">
        <f>INDEX('ei names mapping'!$B$4:$R$33,MATCH(B115,'ei names mapping'!$A$4:$A$33,0),MATCH(G146,'ei names mapping'!$B$3:$R$3,0))</f>
        <v>glider lightweighting</v>
      </c>
      <c r="B146" s="16">
        <f>INDEX('vehicles specifications'!$B$3:$CK$86,MATCH(B118,'vehicles specifications'!$A$3:$A$86,0),MATCH(G146,'vehicles specifications'!$B$2:$CK$2,0))*INDEX('ei names mapping'!$B$137:$BK$220,MATCH(B118,'ei names mapping'!$A$137:$A$220,0),MATCH(G146,'ei names mapping'!$B$136:$BK$136,0))</f>
        <v>1.270875</v>
      </c>
      <c r="C146" s="12" t="str">
        <f>INDEX('ei names mapping'!$B$38:$R$67,MATCH(B115,'ei names mapping'!$A$4:$A$33,0),MATCH(G146,'ei names mapping'!$B$3:$R$3,0))</f>
        <v>GLO</v>
      </c>
      <c r="D146" s="12" t="str">
        <f>INDEX('ei names mapping'!$B$104:$R$133,MATCH(B115,'ei names mapping'!$A$104:$A$133,0),MATCH(G146,'ei names mapping'!$B$3:$R$3,0))</f>
        <v>kilogram</v>
      </c>
      <c r="E146" s="12"/>
      <c r="F146" s="12" t="s">
        <v>91</v>
      </c>
      <c r="G146" s="21" t="s">
        <v>14</v>
      </c>
      <c r="H146" s="12" t="str">
        <f>INDEX('ei names mapping'!$B$71:$R$100,MATCH(B115,'ei names mapping'!$A$4:$A$33,0),MATCH(G146,'ei names mapping'!$B$3:$R$3,0))</f>
        <v>glider lightweighting</v>
      </c>
    </row>
    <row r="147" spans="1:8" x14ac:dyDescent="0.3">
      <c r="A147" s="12" t="str">
        <f>INDEX('ei names mapping'!$B$4:$R$33,MATCH(B115,'ei names mapping'!$A$4:$A$33,0),MATCH(G147,'ei names mapping'!$B$3:$R$3,0))</f>
        <v>polyethylene production, high density, granulate</v>
      </c>
      <c r="B147" s="16">
        <f>INDEX('vehicles specifications'!$B$3:$CK$86,MATCH(B118,'vehicles specifications'!$A$3:$A$86,0),MATCH(G147,'vehicles specifications'!$B$2:$CK$2,0))*INDEX('ei names mapping'!$B$137:$BK$220,MATCH(B118,'ei names mapping'!$A$137:$A$220,0),MATCH(G147,'ei names mapping'!$B$136:$BK$136,0))</f>
        <v>0.78749999999999998</v>
      </c>
      <c r="C147" s="12" t="str">
        <f>INDEX('ei names mapping'!$B$38:$R$67,MATCH(B115,'ei names mapping'!$A$4:$A$33,0),MATCH(G147,'ei names mapping'!$B$3:$R$3,0))</f>
        <v>RER</v>
      </c>
      <c r="D147" s="12" t="str">
        <f>INDEX('ei names mapping'!$B$104:$R$133,MATCH(B115,'ei names mapping'!$A$104:$A$133,0),MATCH(G147,'ei names mapping'!$B$3:$R$3,0))</f>
        <v>kilogram</v>
      </c>
      <c r="E147" s="12"/>
      <c r="F147" s="12" t="s">
        <v>91</v>
      </c>
      <c r="G147" t="s">
        <v>24</v>
      </c>
      <c r="H147" s="12" t="str">
        <f>INDEX('ei names mapping'!$B$71:$R$100,MATCH(B115,'ei names mapping'!$A$4:$A$33,0),MATCH(G147,'ei names mapping'!$B$3:$R$3,0))</f>
        <v>polyethylene, high density, granulate</v>
      </c>
    </row>
    <row r="148" spans="1:8" s="21" customFormat="1" x14ac:dyDescent="0.3">
      <c r="A148" s="22" t="s">
        <v>468</v>
      </c>
      <c r="B148" s="21">
        <f>(B128/1000)*B139</f>
        <v>61.729124999999996</v>
      </c>
      <c r="C148" s="21" t="s">
        <v>94</v>
      </c>
      <c r="D148" s="21" t="s">
        <v>243</v>
      </c>
      <c r="F148" s="21" t="s">
        <v>91</v>
      </c>
      <c r="H148" s="22" t="s">
        <v>469</v>
      </c>
    </row>
    <row r="149" spans="1:8" s="21" customFormat="1" x14ac:dyDescent="0.3">
      <c r="A149" s="22" t="s">
        <v>467</v>
      </c>
      <c r="B149" s="2">
        <f>(B128/1000)*B138</f>
        <v>981.49308749999989</v>
      </c>
      <c r="C149" s="21" t="s">
        <v>98</v>
      </c>
      <c r="D149" s="21" t="s">
        <v>243</v>
      </c>
      <c r="F149" s="21" t="s">
        <v>91</v>
      </c>
      <c r="H149" s="22" t="s">
        <v>467</v>
      </c>
    </row>
    <row r="151" spans="1:8" ht="15.6" x14ac:dyDescent="0.3">
      <c r="A151" s="11" t="s">
        <v>72</v>
      </c>
      <c r="B151" s="9" t="str">
        <f>B153&amp;", "&amp;B155</f>
        <v>Moped, gasoline, &lt;4kW, EURO-5, 2040</v>
      </c>
    </row>
    <row r="152" spans="1:8" x14ac:dyDescent="0.3">
      <c r="A152" t="s">
        <v>73</v>
      </c>
      <c r="B152" t="s">
        <v>37</v>
      </c>
    </row>
    <row r="153" spans="1:8" x14ac:dyDescent="0.3">
      <c r="A153" t="s">
        <v>87</v>
      </c>
      <c r="B153" t="s">
        <v>647</v>
      </c>
    </row>
    <row r="154" spans="1:8" x14ac:dyDescent="0.3">
      <c r="A154" t="s">
        <v>88</v>
      </c>
      <c r="B154" s="12"/>
    </row>
    <row r="155" spans="1:8" x14ac:dyDescent="0.3">
      <c r="A155" t="s">
        <v>89</v>
      </c>
      <c r="B155" s="12">
        <v>2040</v>
      </c>
    </row>
    <row r="156" spans="1:8" x14ac:dyDescent="0.3">
      <c r="A156" t="s">
        <v>131</v>
      </c>
      <c r="B156" s="12" t="str">
        <f>B153&amp;" - "&amp;B155&amp;" - "&amp;B152</f>
        <v>Moped, gasoline, &lt;4kW, EURO-5 - 2040 - CH</v>
      </c>
    </row>
    <row r="157" spans="1:8" x14ac:dyDescent="0.3">
      <c r="A157" t="s">
        <v>74</v>
      </c>
      <c r="B157" t="str">
        <f>B153</f>
        <v>Moped, gasoline, &lt;4kW, EURO-5</v>
      </c>
    </row>
    <row r="158" spans="1:8" x14ac:dyDescent="0.3">
      <c r="A158" t="s">
        <v>75</v>
      </c>
      <c r="B158" t="s">
        <v>76</v>
      </c>
    </row>
    <row r="159" spans="1:8" x14ac:dyDescent="0.3">
      <c r="A159" t="s">
        <v>77</v>
      </c>
      <c r="B159" t="s">
        <v>77</v>
      </c>
    </row>
    <row r="160" spans="1:8" x14ac:dyDescent="0.3">
      <c r="A160" t="s">
        <v>79</v>
      </c>
      <c r="B160" t="s">
        <v>90</v>
      </c>
    </row>
    <row r="161" spans="1:2" x14ac:dyDescent="0.3">
      <c r="A161" t="s">
        <v>132</v>
      </c>
      <c r="B161">
        <f>INDEX('vehicles specifications'!$B$3:$CK$86,MATCH(B156,'vehicles specifications'!$A$3:$A$86,0),MATCH("Lifetime [km]",'vehicles specifications'!$B$2:$CK$2,0))</f>
        <v>33400</v>
      </c>
    </row>
    <row r="162" spans="1:2" x14ac:dyDescent="0.3">
      <c r="A162" t="s">
        <v>133</v>
      </c>
      <c r="B162">
        <f>INDEX('vehicles specifications'!$B$3:$CK$86,MATCH(B156,'vehicles specifications'!$A$3:$A$86,0),MATCH("Passengers [unit]",'vehicles specifications'!$B$2:$CK$2,0))</f>
        <v>1</v>
      </c>
    </row>
    <row r="163" spans="1:2" x14ac:dyDescent="0.3">
      <c r="A163" t="s">
        <v>134</v>
      </c>
      <c r="B163">
        <f>INDEX('vehicles specifications'!$B$3:$CK$86,MATCH(B156,'vehicles specifications'!$A$3:$A$86,0),MATCH("Servicing [unit]",'vehicles specifications'!$B$2:$CK$2,0))</f>
        <v>1</v>
      </c>
    </row>
    <row r="164" spans="1:2" x14ac:dyDescent="0.3">
      <c r="A164" t="s">
        <v>135</v>
      </c>
      <c r="B164">
        <f>INDEX('vehicles specifications'!$B$3:$CK$86,MATCH(B156,'vehicles specifications'!$A$3:$A$86,0),MATCH("Energy battery replacement [unit]",'vehicles specifications'!$B$2:$CK$2,0))</f>
        <v>0</v>
      </c>
    </row>
    <row r="165" spans="1:2" x14ac:dyDescent="0.3">
      <c r="A165" t="s">
        <v>136</v>
      </c>
      <c r="B165">
        <f>INDEX('vehicles specifications'!$B$3:$CK$86,MATCH(B156,'vehicles specifications'!$A$3:$A$86,0),MATCH("Annual kilometers [km]",'vehicles specifications'!$B$2:$CK$2,0))</f>
        <v>2553</v>
      </c>
    </row>
    <row r="166" spans="1:2" x14ac:dyDescent="0.3">
      <c r="A166" t="s">
        <v>137</v>
      </c>
      <c r="B166" s="2">
        <f>INDEX('vehicles specifications'!$B$3:$CK$86,MATCH(B156,'vehicles specifications'!$A$3:$A$86,0),MATCH("Curb mass [kg]",'vehicles specifications'!$B$2:$CK$2,0))</f>
        <v>60.856874999999995</v>
      </c>
    </row>
    <row r="167" spans="1:2" x14ac:dyDescent="0.3">
      <c r="A167" t="s">
        <v>138</v>
      </c>
      <c r="B167">
        <f>INDEX('vehicles specifications'!$B$3:$CK$86,MATCH(B156,'vehicles specifications'!$A$3:$A$86,0),MATCH("Power [kW]",'vehicles specifications'!$B$2:$CK$2,0))</f>
        <v>2.5</v>
      </c>
    </row>
    <row r="168" spans="1:2" x14ac:dyDescent="0.3">
      <c r="A168" t="s">
        <v>139</v>
      </c>
      <c r="B168">
        <f>INDEX('vehicles specifications'!$B$3:$CK$86,MATCH(B156,'vehicles specifications'!$A$3:$A$86,0),MATCH("Energy battery mass [kg]",'vehicles specifications'!$B$2:$CK$2,0))</f>
        <v>0</v>
      </c>
    </row>
    <row r="169" spans="1:2" x14ac:dyDescent="0.3">
      <c r="A169" t="s">
        <v>140</v>
      </c>
      <c r="B169">
        <f>INDEX('vehicles specifications'!$B$3:$CK$86,MATCH(B156,'vehicles specifications'!$A$3:$A$86,0),MATCH("Electric energy available [kWh]",'vehicles specifications'!$B$2:$CK$2,0))</f>
        <v>0</v>
      </c>
    </row>
    <row r="170" spans="1:2" x14ac:dyDescent="0.3">
      <c r="A170" t="s">
        <v>143</v>
      </c>
      <c r="B170" s="2">
        <f>INDEX('vehicles specifications'!$B$3:$CK$86,MATCH(B156,'vehicles specifications'!$A$3:$A$86,0),MATCH("Oxydation energy stored [kWh]",'vehicles specifications'!$B$2:$CK$2,0))</f>
        <v>61.833333333333329</v>
      </c>
    </row>
    <row r="171" spans="1:2" x14ac:dyDescent="0.3">
      <c r="A171" t="s">
        <v>145</v>
      </c>
      <c r="B171">
        <f>INDEX('vehicles specifications'!$B$3:$CK$86,MATCH(B156,'vehicles specifications'!$A$3:$A$86,0),MATCH("Fuel mass [kg]",'vehicles specifications'!$B$2:$CK$2,0))</f>
        <v>5.25</v>
      </c>
    </row>
    <row r="172" spans="1:2" x14ac:dyDescent="0.3">
      <c r="A172" t="s">
        <v>141</v>
      </c>
      <c r="B172" s="2">
        <f>INDEX('vehicles specifications'!$B$3:$CK$86,MATCH(B156,'vehicles specifications'!$A$3:$A$86,0),MATCH("Range [km]",'vehicles specifications'!$B$2:$CK$2,0))</f>
        <v>276.0063957827229</v>
      </c>
    </row>
    <row r="173" spans="1:2" x14ac:dyDescent="0.3">
      <c r="A173" t="s">
        <v>142</v>
      </c>
      <c r="B173" t="str">
        <f>INDEX('vehicles specifications'!$B$3:$CK$86,MATCH(B156,'vehicles specifications'!$A$3:$A$86,0),MATCH("Emission standard",'vehicles specifications'!$B$2:$CK$2,0))</f>
        <v>EURO-5</v>
      </c>
    </row>
    <row r="174" spans="1:2" x14ac:dyDescent="0.3">
      <c r="A174" t="s">
        <v>144</v>
      </c>
      <c r="B174" s="6">
        <f>INDEX('vehicles specifications'!$B$3:$CK$86,MATCH(B156,'vehicles specifications'!$A$3:$A$86,0),MATCH("Lightweighting rate [%]",'vehicles specifications'!$B$2:$CK$2,0))</f>
        <v>0.05</v>
      </c>
    </row>
    <row r="175" spans="1:2" s="21" customFormat="1" x14ac:dyDescent="0.3">
      <c r="A175" s="21" t="s">
        <v>513</v>
      </c>
      <c r="B175" s="6" t="s">
        <v>514</v>
      </c>
    </row>
    <row r="176" spans="1:2" s="21" customFormat="1" x14ac:dyDescent="0.3">
      <c r="A176" s="21" t="s">
        <v>515</v>
      </c>
      <c r="B176" s="2">
        <v>15900</v>
      </c>
    </row>
    <row r="177" spans="1:8" s="21" customFormat="1" x14ac:dyDescent="0.3">
      <c r="A177" s="21" t="s">
        <v>516</v>
      </c>
      <c r="B177" s="2">
        <v>1000</v>
      </c>
    </row>
    <row r="178" spans="1:8" s="21" customFormat="1" x14ac:dyDescent="0.3">
      <c r="A178" s="21" t="s">
        <v>84</v>
      </c>
      <c r="B178" s="21"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Battery capacity: "&amp;ROUND(B169,1)&amp;" kWh. Battery mass: "&amp;ROUND(B168,1)&amp; " kg. Battery replacement throughout lifetime: "&amp;ROUND(B164,1)&amp;". Fuel tank capacity: "&amp;ROUND(B170,1)&amp;" kWh. Fuel mass: "&amp;ROUND(B171,1)&amp;" kg. Origin of manufacture: "&amp;B175&amp;". Shipping distance: "&amp;B176&amp;" km. Lorry distribution distance: "&amp;B177&amp;" km. Documentation: "&amp;Readmefirst!$B$2&amp;", "&amp;Readmefirst!$B$3&amp;". "&amp;B160</f>
        <v>Power: 2.5 kW. Lifetime: 33400 km. Annual kilometers: 2553 km. Number of passengers: 1. Curb mass: 60.9 kg. Lightweighting of glider: 5%. Emission standard: EURO-5. Service visits throughout lifetime: 1. Range: 276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9" spans="1:8" ht="15.6" x14ac:dyDescent="0.3">
      <c r="A179" s="11" t="s">
        <v>80</v>
      </c>
    </row>
    <row r="180" spans="1:8" x14ac:dyDescent="0.3">
      <c r="A180" t="s">
        <v>81</v>
      </c>
      <c r="B180" t="s">
        <v>82</v>
      </c>
      <c r="C180" t="s">
        <v>73</v>
      </c>
      <c r="D180" t="s">
        <v>77</v>
      </c>
      <c r="E180" t="s">
        <v>83</v>
      </c>
      <c r="F180" t="s">
        <v>75</v>
      </c>
      <c r="G180" t="s">
        <v>84</v>
      </c>
      <c r="H180" t="s">
        <v>74</v>
      </c>
    </row>
    <row r="181" spans="1:8" x14ac:dyDescent="0.3">
      <c r="A181" s="12" t="str">
        <f>B151</f>
        <v>Moped, gasoline, &lt;4kW, EURO-5, 2040</v>
      </c>
      <c r="B181" s="12">
        <v>1</v>
      </c>
      <c r="C181" s="12" t="str">
        <f>B152</f>
        <v>CH</v>
      </c>
      <c r="D181" s="12" t="str">
        <f>B159</f>
        <v>unit</v>
      </c>
      <c r="E181" s="12"/>
      <c r="F181" s="12" t="s">
        <v>85</v>
      </c>
      <c r="G181" s="12" t="s">
        <v>86</v>
      </c>
      <c r="H181" s="12" t="str">
        <f>B153</f>
        <v>Moped, gasoline, &lt;4kW, EURO-5</v>
      </c>
    </row>
    <row r="182" spans="1:8" x14ac:dyDescent="0.3">
      <c r="A182" s="12" t="str">
        <f>INDEX('ei names mapping'!$B$4:$R$33,MATCH(B153,'ei names mapping'!$A$4:$A$33,0),MATCH(G182,'ei names mapping'!$B$3:$R$3,0))</f>
        <v>motor scooter production</v>
      </c>
      <c r="B182" s="16">
        <f>INDEX('vehicles specifications'!$B$3:$CK$86,MATCH(B156,'vehicles specifications'!$A$3:$A$86,0),MATCH(G182,'vehicles specifications'!$B$2:$CK$2,0))*INDEX('ei names mapping'!$B$137:$BK$220,MATCH(B156,'ei names mapping'!$A$137:$A$220,0),MATCH(G182,'ei names mapping'!$B$136:$BK$136,0))</f>
        <v>0.47625000000000001</v>
      </c>
      <c r="C182" s="12" t="str">
        <f>INDEX('ei names mapping'!$B$38:$R$67,MATCH(B153,'ei names mapping'!$A$4:$A$33,0),MATCH(G182,'ei names mapping'!$B$3:$R$3,0))</f>
        <v>RER</v>
      </c>
      <c r="D182" s="12" t="str">
        <f>INDEX('ei names mapping'!$B$104:$R$133,MATCH(B153,'ei names mapping'!$A$104:$A$133,0),MATCH(G182,'ei names mapping'!$B$3:$R$3,0))</f>
        <v>unit</v>
      </c>
      <c r="E182" s="12"/>
      <c r="F182" s="12" t="s">
        <v>91</v>
      </c>
      <c r="G182" s="21" t="s">
        <v>15</v>
      </c>
      <c r="H182" s="12" t="str">
        <f>INDEX('ei names mapping'!$B$71:$R$100,MATCH(B153,'ei names mapping'!$A$4:$A$33,0),MATCH(G182,'ei names mapping'!$B$3:$R$3,0))</f>
        <v>motor scooter, 50 cubic cm engine</v>
      </c>
    </row>
    <row r="183" spans="1:8" x14ac:dyDescent="0.3">
      <c r="A183" s="12" t="str">
        <f>INDEX('ei names mapping'!$B$4:$R$33,MATCH(B153,'ei names mapping'!$A$4:$A$33,0),MATCH(G183,'ei names mapping'!$B$3:$R$3,0))</f>
        <v>motor scooter production</v>
      </c>
      <c r="B183" s="16">
        <f>INDEX('vehicles specifications'!$B$3:$CK$86,MATCH(B156,'vehicles specifications'!$A$3:$A$86,0),MATCH(G183,'vehicles specifications'!$B$2:$CK$2,0))*INDEX('ei names mapping'!$B$137:$BK$220,MATCH(B156,'ei names mapping'!$A$137:$A$220,0),MATCH(G183,'ei names mapping'!$B$136:$BK$136,0))</f>
        <v>0.15666666666666668</v>
      </c>
      <c r="C183" s="12" t="str">
        <f>INDEX('ei names mapping'!$B$38:$R$67,MATCH(B153,'ei names mapping'!$A$4:$A$33,0),MATCH(G183,'ei names mapping'!$B$3:$R$3,0))</f>
        <v>RER</v>
      </c>
      <c r="D183" s="12" t="str">
        <f>INDEX('ei names mapping'!$B$104:$R$133,MATCH(B153,'ei names mapping'!$A$104:$A$133,0),MATCH(G183,'ei names mapping'!$B$3:$R$3,0))</f>
        <v>unit</v>
      </c>
      <c r="E183" s="12"/>
      <c r="F183" s="12" t="s">
        <v>91</v>
      </c>
      <c r="G183" t="s">
        <v>16</v>
      </c>
      <c r="H183" s="12" t="str">
        <f>INDEX('ei names mapping'!$B$71:$R$100,MATCH(B153,'ei names mapping'!$A$4:$A$33,0),MATCH(G183,'ei names mapping'!$B$3:$R$3,0))</f>
        <v>motor scooter, 50 cubic cm engine</v>
      </c>
    </row>
    <row r="184" spans="1:8" s="21" customFormat="1" x14ac:dyDescent="0.3">
      <c r="A184" s="12" t="str">
        <f>INDEX('ei names mapping'!$B$4:$R$33,MATCH(B153,'ei names mapping'!$A$4:$A$33,0),MATCH(G184,'ei names mapping'!$B$3:$R$3,0))</f>
        <v>glider lightweighting</v>
      </c>
      <c r="B184" s="16">
        <f>INDEX('vehicles specifications'!$B$3:$CK$86,MATCH(B156,'vehicles specifications'!$A$3:$A$86,0),MATCH(G184,'vehicles specifications'!$B$2:$CK$2,0))*INDEX('ei names mapping'!$B$137:$BK$220,MATCH(B156,'ei names mapping'!$A$137:$A$220,0),MATCH(G184,'ei names mapping'!$B$136:$BK$136,0))</f>
        <v>2.1431249999999999</v>
      </c>
      <c r="C184" s="12" t="str">
        <f>INDEX('ei names mapping'!$B$38:$R$67,MATCH(B153,'ei names mapping'!$A$4:$A$33,0),MATCH(G184,'ei names mapping'!$B$3:$R$3,0))</f>
        <v>GLO</v>
      </c>
      <c r="D184" s="12" t="str">
        <f>INDEX('ei names mapping'!$B$104:$R$133,MATCH(B153,'ei names mapping'!$A$104:$A$133,0),MATCH(G184,'ei names mapping'!$B$3:$R$3,0))</f>
        <v>kilogram</v>
      </c>
      <c r="E184" s="12"/>
      <c r="F184" s="12" t="s">
        <v>91</v>
      </c>
      <c r="G184" s="21" t="s">
        <v>14</v>
      </c>
      <c r="H184" s="12" t="str">
        <f>INDEX('ei names mapping'!$B$71:$R$100,MATCH(B153,'ei names mapping'!$A$4:$A$33,0),MATCH(G184,'ei names mapping'!$B$3:$R$3,0))</f>
        <v>glider lightweighting</v>
      </c>
    </row>
    <row r="185" spans="1:8" x14ac:dyDescent="0.3">
      <c r="A185" s="12" t="str">
        <f>INDEX('ei names mapping'!$B$4:$R$33,MATCH(B153,'ei names mapping'!$A$4:$A$33,0),MATCH(G185,'ei names mapping'!$B$3:$R$3,0))</f>
        <v>polyethylene production, high density, granulate</v>
      </c>
      <c r="B185" s="16">
        <f>INDEX('vehicles specifications'!$B$3:$CK$86,MATCH(B156,'vehicles specifications'!$A$3:$A$86,0),MATCH(G185,'vehicles specifications'!$B$2:$CK$2,0))*INDEX('ei names mapping'!$B$137:$BK$220,MATCH(B156,'ei names mapping'!$A$137:$A$220,0),MATCH(G185,'ei names mapping'!$B$136:$BK$136,0))</f>
        <v>0.78749999999999998</v>
      </c>
      <c r="C185" s="12" t="str">
        <f>INDEX('ei names mapping'!$B$38:$R$67,MATCH(B153,'ei names mapping'!$A$4:$A$33,0),MATCH(G185,'ei names mapping'!$B$3:$R$3,0))</f>
        <v>RER</v>
      </c>
      <c r="D185" s="12" t="str">
        <f>INDEX('ei names mapping'!$B$104:$R$133,MATCH(B153,'ei names mapping'!$A$104:$A$133,0),MATCH(G185,'ei names mapping'!$B$3:$R$3,0))</f>
        <v>kilogram</v>
      </c>
      <c r="E185" s="12"/>
      <c r="F185" s="12" t="s">
        <v>91</v>
      </c>
      <c r="G185" t="s">
        <v>24</v>
      </c>
      <c r="H185" s="12" t="str">
        <f>INDEX('ei names mapping'!$B$71:$R$100,MATCH(B153,'ei names mapping'!$A$4:$A$33,0),MATCH(G185,'ei names mapping'!$B$3:$R$3,0))</f>
        <v>polyethylene, high density, granulate</v>
      </c>
    </row>
    <row r="186" spans="1:8" s="21" customFormat="1" x14ac:dyDescent="0.3">
      <c r="A186" s="22" t="s">
        <v>468</v>
      </c>
      <c r="B186" s="21">
        <f>(B166/1000)*B177</f>
        <v>60.856874999999995</v>
      </c>
      <c r="C186" s="21" t="s">
        <v>94</v>
      </c>
      <c r="D186" s="21" t="s">
        <v>243</v>
      </c>
      <c r="F186" s="21" t="s">
        <v>91</v>
      </c>
      <c r="H186" s="22" t="s">
        <v>469</v>
      </c>
    </row>
    <row r="187" spans="1:8" s="21" customFormat="1" x14ac:dyDescent="0.3">
      <c r="A187" s="22" t="s">
        <v>467</v>
      </c>
      <c r="B187" s="2">
        <f>(B166/1000)*B176</f>
        <v>967.62431249999997</v>
      </c>
      <c r="C187" s="21" t="s">
        <v>98</v>
      </c>
      <c r="D187" s="21" t="s">
        <v>243</v>
      </c>
      <c r="F187" s="21" t="s">
        <v>91</v>
      </c>
      <c r="H187" s="22" t="s">
        <v>467</v>
      </c>
    </row>
    <row r="189" spans="1:8" ht="15.6" x14ac:dyDescent="0.3">
      <c r="A189" s="11" t="s">
        <v>72</v>
      </c>
      <c r="B189" s="9" t="str">
        <f>B191&amp;", "&amp;B193</f>
        <v>Moped, gasoline, &lt;4kW, EURO-5, 2050</v>
      </c>
    </row>
    <row r="190" spans="1:8" x14ac:dyDescent="0.3">
      <c r="A190" t="s">
        <v>73</v>
      </c>
      <c r="B190" t="s">
        <v>37</v>
      </c>
    </row>
    <row r="191" spans="1:8" x14ac:dyDescent="0.3">
      <c r="A191" t="s">
        <v>87</v>
      </c>
      <c r="B191" t="s">
        <v>647</v>
      </c>
    </row>
    <row r="192" spans="1:8" x14ac:dyDescent="0.3">
      <c r="A192" t="s">
        <v>88</v>
      </c>
      <c r="B192" s="12"/>
    </row>
    <row r="193" spans="1:2" x14ac:dyDescent="0.3">
      <c r="A193" t="s">
        <v>89</v>
      </c>
      <c r="B193" s="12">
        <v>2050</v>
      </c>
    </row>
    <row r="194" spans="1:2" x14ac:dyDescent="0.3">
      <c r="A194" t="s">
        <v>131</v>
      </c>
      <c r="B194" s="12" t="str">
        <f>B191&amp;" - "&amp;B193&amp;" - "&amp;B190</f>
        <v>Moped, gasoline, &lt;4kW, EURO-5 - 2050 - CH</v>
      </c>
    </row>
    <row r="195" spans="1:2" x14ac:dyDescent="0.3">
      <c r="A195" t="s">
        <v>74</v>
      </c>
      <c r="B195" t="str">
        <f>B191</f>
        <v>Moped, gasoline, &lt;4kW, EURO-5</v>
      </c>
    </row>
    <row r="196" spans="1:2" x14ac:dyDescent="0.3">
      <c r="A196" t="s">
        <v>75</v>
      </c>
      <c r="B196" t="s">
        <v>76</v>
      </c>
    </row>
    <row r="197" spans="1:2" x14ac:dyDescent="0.3">
      <c r="A197" t="s">
        <v>77</v>
      </c>
      <c r="B197" t="s">
        <v>77</v>
      </c>
    </row>
    <row r="198" spans="1:2" x14ac:dyDescent="0.3">
      <c r="A198" t="s">
        <v>79</v>
      </c>
      <c r="B198" t="s">
        <v>90</v>
      </c>
    </row>
    <row r="199" spans="1:2" x14ac:dyDescent="0.3">
      <c r="A199" t="s">
        <v>132</v>
      </c>
      <c r="B199">
        <f>INDEX('vehicles specifications'!$B$3:$CK$86,MATCH(B194,'vehicles specifications'!$A$3:$A$86,0),MATCH("Lifetime [km]",'vehicles specifications'!$B$2:$CK$2,0))</f>
        <v>33400</v>
      </c>
    </row>
    <row r="200" spans="1:2" x14ac:dyDescent="0.3">
      <c r="A200" t="s">
        <v>133</v>
      </c>
      <c r="B200">
        <f>INDEX('vehicles specifications'!$B$3:$CK$86,MATCH(B194,'vehicles specifications'!$A$3:$A$86,0),MATCH("Passengers [unit]",'vehicles specifications'!$B$2:$CK$2,0))</f>
        <v>1</v>
      </c>
    </row>
    <row r="201" spans="1:2" x14ac:dyDescent="0.3">
      <c r="A201" t="s">
        <v>134</v>
      </c>
      <c r="B201">
        <f>INDEX('vehicles specifications'!$B$3:$CK$86,MATCH(B194,'vehicles specifications'!$A$3:$A$86,0),MATCH("Servicing [unit]",'vehicles specifications'!$B$2:$CK$2,0))</f>
        <v>1</v>
      </c>
    </row>
    <row r="202" spans="1:2" x14ac:dyDescent="0.3">
      <c r="A202" t="s">
        <v>135</v>
      </c>
      <c r="B202">
        <f>INDEX('vehicles specifications'!$B$3:$CK$86,MATCH(B194,'vehicles specifications'!$A$3:$A$86,0),MATCH("Energy battery replacement [unit]",'vehicles specifications'!$B$2:$CK$2,0))</f>
        <v>0</v>
      </c>
    </row>
    <row r="203" spans="1:2" x14ac:dyDescent="0.3">
      <c r="A203" t="s">
        <v>136</v>
      </c>
      <c r="B203">
        <f>INDEX('vehicles specifications'!$B$3:$CK$86,MATCH(B194,'vehicles specifications'!$A$3:$A$86,0),MATCH("Annual kilometers [km]",'vehicles specifications'!$B$2:$CK$2,0))</f>
        <v>2553</v>
      </c>
    </row>
    <row r="204" spans="1:2" x14ac:dyDescent="0.3">
      <c r="A204" t="s">
        <v>137</v>
      </c>
      <c r="B204" s="2">
        <f>INDEX('vehicles specifications'!$B$3:$CK$86,MATCH(B194,'vehicles specifications'!$A$3:$A$86,0),MATCH("Curb mass [kg]",'vehicles specifications'!$B$2:$CK$2,0))</f>
        <v>59.971624999999996</v>
      </c>
    </row>
    <row r="205" spans="1:2" x14ac:dyDescent="0.3">
      <c r="A205" t="s">
        <v>138</v>
      </c>
      <c r="B205">
        <f>INDEX('vehicles specifications'!$B$3:$CK$86,MATCH(B194,'vehicles specifications'!$A$3:$A$86,0),MATCH("Power [kW]",'vehicles specifications'!$B$2:$CK$2,0))</f>
        <v>2.5</v>
      </c>
    </row>
    <row r="206" spans="1:2" x14ac:dyDescent="0.3">
      <c r="A206" t="s">
        <v>139</v>
      </c>
      <c r="B206">
        <f>INDEX('vehicles specifications'!$B$3:$CK$86,MATCH(B194,'vehicles specifications'!$A$3:$A$86,0),MATCH("Energy battery mass [kg]",'vehicles specifications'!$B$2:$CK$2,0))</f>
        <v>0</v>
      </c>
    </row>
    <row r="207" spans="1:2" x14ac:dyDescent="0.3">
      <c r="A207" t="s">
        <v>140</v>
      </c>
      <c r="B207">
        <f>INDEX('vehicles specifications'!$B$3:$CK$86,MATCH(B194,'vehicles specifications'!$A$3:$A$86,0),MATCH("Electric energy available [kWh]",'vehicles specifications'!$B$2:$CK$2,0))</f>
        <v>0</v>
      </c>
    </row>
    <row r="208" spans="1:2" x14ac:dyDescent="0.3">
      <c r="A208" t="s">
        <v>143</v>
      </c>
      <c r="B208" s="2">
        <f>INDEX('vehicles specifications'!$B$3:$CK$86,MATCH(B194,'vehicles specifications'!$A$3:$A$86,0),MATCH("Oxydation energy stored [kWh]",'vehicles specifications'!$B$2:$CK$2,0))</f>
        <v>61.833333333333329</v>
      </c>
    </row>
    <row r="209" spans="1:8" x14ac:dyDescent="0.3">
      <c r="A209" t="s">
        <v>145</v>
      </c>
      <c r="B209">
        <f>INDEX('vehicles specifications'!$B$3:$CK$86,MATCH(B194,'vehicles specifications'!$A$3:$A$86,0),MATCH("Fuel mass [kg]",'vehicles specifications'!$B$2:$CK$2,0))</f>
        <v>5.25</v>
      </c>
    </row>
    <row r="210" spans="1:8" x14ac:dyDescent="0.3">
      <c r="A210" t="s">
        <v>141</v>
      </c>
      <c r="B210" s="2">
        <f>INDEX('vehicles specifications'!$B$3:$CK$86,MATCH(B194,'vehicles specifications'!$A$3:$A$86,0),MATCH("Range [km]",'vehicles specifications'!$B$2:$CK$2,0))</f>
        <v>278.79433917446761</v>
      </c>
    </row>
    <row r="211" spans="1:8" x14ac:dyDescent="0.3">
      <c r="A211" t="s">
        <v>142</v>
      </c>
      <c r="B211" t="str">
        <f>INDEX('vehicles specifications'!$B$3:$CK$86,MATCH(B194,'vehicles specifications'!$A$3:$A$86,0),MATCH("Emission standard",'vehicles specifications'!$B$2:$CK$2,0))</f>
        <v>EURO-5</v>
      </c>
    </row>
    <row r="212" spans="1:8" x14ac:dyDescent="0.3">
      <c r="A212" t="s">
        <v>144</v>
      </c>
      <c r="B212" s="6">
        <f>INDEX('vehicles specifications'!$B$3:$CK$86,MATCH(B194,'vehicles specifications'!$A$3:$A$86,0),MATCH("Lightweighting rate [%]",'vehicles specifications'!$B$2:$CK$2,0))</f>
        <v>7.0000000000000007E-2</v>
      </c>
    </row>
    <row r="213" spans="1:8" s="21" customFormat="1" x14ac:dyDescent="0.3">
      <c r="A213" s="21" t="s">
        <v>513</v>
      </c>
      <c r="B213" s="6" t="s">
        <v>514</v>
      </c>
    </row>
    <row r="214" spans="1:8" s="21" customFormat="1" x14ac:dyDescent="0.3">
      <c r="A214" s="21" t="s">
        <v>515</v>
      </c>
      <c r="B214" s="2">
        <v>15900</v>
      </c>
    </row>
    <row r="215" spans="1:8" s="21" customFormat="1" x14ac:dyDescent="0.3">
      <c r="A215" s="21" t="s">
        <v>516</v>
      </c>
      <c r="B215" s="2">
        <v>1000</v>
      </c>
    </row>
    <row r="216" spans="1:8" s="21" customFormat="1" x14ac:dyDescent="0.3">
      <c r="A216" s="21" t="s">
        <v>84</v>
      </c>
      <c r="B216" s="21"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Battery capacity: "&amp;ROUND(B207,1)&amp;" kWh. Battery mass: "&amp;ROUND(B206,1)&amp; " kg. Battery replacement throughout lifetime: "&amp;ROUND(B202,1)&amp;". Fuel tank capacity: "&amp;ROUND(B208,1)&amp;" kWh. Fuel mass: "&amp;ROUND(B209,1)&amp;" kg. Origin of manufacture: "&amp;B213&amp;". Shipping distance: "&amp;B214&amp;" km. Lorry distribution distance: "&amp;B215&amp;" km. Documentation: "&amp;Readmefirst!$B$2&amp;", "&amp;Readmefirst!$B$3&amp;". "&amp;B198</f>
        <v>Power: 2.5 kW. Lifetime: 33400 km. Annual kilometers: 2553 km. Number of passengers: 1. Curb mass: 60 kg. Lightweighting of glider: 7%. Emission standard: EURO-5. Service visits throughout lifetime: 1. Range: 279 km. Battery capacity: 0 kWh. Battery mass: 0 kg. Battery replacement throughout lifetime: 0. Fuel tank capacity: 61.8 kWh. Fuel mass: 5.3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17" spans="1:8" ht="15.6" x14ac:dyDescent="0.3">
      <c r="A217" s="11" t="s">
        <v>80</v>
      </c>
    </row>
    <row r="218" spans="1:8" x14ac:dyDescent="0.3">
      <c r="A218" t="s">
        <v>81</v>
      </c>
      <c r="B218" t="s">
        <v>82</v>
      </c>
      <c r="C218" t="s">
        <v>73</v>
      </c>
      <c r="D218" t="s">
        <v>77</v>
      </c>
      <c r="E218" t="s">
        <v>83</v>
      </c>
      <c r="F218" t="s">
        <v>75</v>
      </c>
      <c r="G218" t="s">
        <v>84</v>
      </c>
      <c r="H218" t="s">
        <v>74</v>
      </c>
    </row>
    <row r="219" spans="1:8" x14ac:dyDescent="0.3">
      <c r="A219" s="12" t="str">
        <f>B189</f>
        <v>Moped, gasoline, &lt;4kW, EURO-5, 2050</v>
      </c>
      <c r="B219" s="12">
        <v>1</v>
      </c>
      <c r="C219" s="12" t="str">
        <f>B190</f>
        <v>CH</v>
      </c>
      <c r="D219" s="12" t="str">
        <f>B197</f>
        <v>unit</v>
      </c>
      <c r="E219" s="12"/>
      <c r="F219" s="12" t="s">
        <v>85</v>
      </c>
      <c r="G219" s="12" t="s">
        <v>86</v>
      </c>
      <c r="H219" s="12" t="str">
        <f>B191</f>
        <v>Moped, gasoline, &lt;4kW, EURO-5</v>
      </c>
    </row>
    <row r="220" spans="1:8" x14ac:dyDescent="0.3">
      <c r="A220" s="12" t="str">
        <f>INDEX('ei names mapping'!$B$4:$R$33,MATCH(B191,'ei names mapping'!$A$4:$A$33,0),MATCH(G220,'ei names mapping'!$B$3:$R$3,0))</f>
        <v>motor scooter production</v>
      </c>
      <c r="B220" s="16">
        <f>INDEX('vehicles specifications'!$B$3:$CK$86,MATCH(B194,'vehicles specifications'!$A$3:$A$86,0),MATCH(G220,'vehicles specifications'!$B$2:$CK$2,0))*INDEX('ei names mapping'!$B$137:$BK$220,MATCH(B194,'ei names mapping'!$A$137:$A$220,0),MATCH(G220,'ei names mapping'!$B$136:$BK$136,0))</f>
        <v>0.48069444444444448</v>
      </c>
      <c r="C220" s="12" t="str">
        <f>INDEX('ei names mapping'!$B$38:$R$67,MATCH(B191,'ei names mapping'!$A$4:$A$33,0),MATCH(G220,'ei names mapping'!$B$3:$R$3,0))</f>
        <v>RER</v>
      </c>
      <c r="D220" s="12" t="str">
        <f>INDEX('ei names mapping'!$B$104:$R$133,MATCH(B191,'ei names mapping'!$A$104:$A$133,0),MATCH(G220,'ei names mapping'!$B$3:$R$3,0))</f>
        <v>unit</v>
      </c>
      <c r="E220" s="12"/>
      <c r="F220" s="12" t="s">
        <v>91</v>
      </c>
      <c r="G220" s="21" t="s">
        <v>15</v>
      </c>
      <c r="H220" s="12" t="str">
        <f>INDEX('ei names mapping'!$B$71:$R$100,MATCH(B191,'ei names mapping'!$A$4:$A$33,0),MATCH(G220,'ei names mapping'!$B$3:$R$3,0))</f>
        <v>motor scooter, 50 cubic cm engine</v>
      </c>
    </row>
    <row r="221" spans="1:8" x14ac:dyDescent="0.3">
      <c r="A221" s="12" t="str">
        <f>INDEX('ei names mapping'!$B$4:$R$33,MATCH(B191,'ei names mapping'!$A$4:$A$33,0),MATCH(G221,'ei names mapping'!$B$3:$R$3,0))</f>
        <v>motor scooter production</v>
      </c>
      <c r="B221" s="16">
        <f>INDEX('vehicles specifications'!$B$3:$CK$86,MATCH(B194,'vehicles specifications'!$A$3:$A$86,0),MATCH(G221,'vehicles specifications'!$B$2:$CK$2,0))*INDEX('ei names mapping'!$B$137:$BK$220,MATCH(B194,'ei names mapping'!$A$137:$A$220,0),MATCH(G221,'ei names mapping'!$B$136:$BK$136,0))</f>
        <v>0.15222222222222223</v>
      </c>
      <c r="C221" s="12" t="str">
        <f>INDEX('ei names mapping'!$B$38:$R$67,MATCH(B191,'ei names mapping'!$A$4:$A$33,0),MATCH(G221,'ei names mapping'!$B$3:$R$3,0))</f>
        <v>RER</v>
      </c>
      <c r="D221" s="12" t="str">
        <f>INDEX('ei names mapping'!$B$104:$R$133,MATCH(B191,'ei names mapping'!$A$104:$A$133,0),MATCH(G221,'ei names mapping'!$B$3:$R$3,0))</f>
        <v>unit</v>
      </c>
      <c r="E221" s="12"/>
      <c r="F221" s="12" t="s">
        <v>91</v>
      </c>
      <c r="G221" t="s">
        <v>16</v>
      </c>
      <c r="H221" s="12" t="str">
        <f>INDEX('ei names mapping'!$B$71:$R$100,MATCH(B191,'ei names mapping'!$A$4:$A$33,0),MATCH(G221,'ei names mapping'!$B$3:$R$3,0))</f>
        <v>motor scooter, 50 cubic cm engine</v>
      </c>
    </row>
    <row r="222" spans="1:8" s="21" customFormat="1" x14ac:dyDescent="0.3">
      <c r="A222" s="12" t="str">
        <f>INDEX('ei names mapping'!$B$4:$R$33,MATCH(B191,'ei names mapping'!$A$4:$A$33,0),MATCH(G222,'ei names mapping'!$B$3:$R$3,0))</f>
        <v>glider lightweighting</v>
      </c>
      <c r="B222" s="16">
        <f>INDEX('vehicles specifications'!$B$3:$CK$86,MATCH(B194,'vehicles specifications'!$A$3:$A$86,0),MATCH(G222,'vehicles specifications'!$B$2:$CK$2,0))*INDEX('ei names mapping'!$B$137:$BK$220,MATCH(B194,'ei names mapping'!$A$137:$A$220,0),MATCH(G222,'ei names mapping'!$B$136:$BK$136,0))</f>
        <v>3.0283750000000005</v>
      </c>
      <c r="C222" s="12" t="str">
        <f>INDEX('ei names mapping'!$B$38:$R$67,MATCH(B191,'ei names mapping'!$A$4:$A$33,0),MATCH(G222,'ei names mapping'!$B$3:$R$3,0))</f>
        <v>GLO</v>
      </c>
      <c r="D222" s="12" t="str">
        <f>INDEX('ei names mapping'!$B$104:$R$133,MATCH(B191,'ei names mapping'!$A$104:$A$133,0),MATCH(G222,'ei names mapping'!$B$3:$R$3,0))</f>
        <v>kilogram</v>
      </c>
      <c r="E222" s="12"/>
      <c r="F222" s="12" t="s">
        <v>91</v>
      </c>
      <c r="G222" s="21" t="s">
        <v>14</v>
      </c>
      <c r="H222" s="12" t="str">
        <f>INDEX('ei names mapping'!$B$71:$R$100,MATCH(B191,'ei names mapping'!$A$4:$A$33,0),MATCH(G222,'ei names mapping'!$B$3:$R$3,0))</f>
        <v>glider lightweighting</v>
      </c>
    </row>
    <row r="223" spans="1:8" x14ac:dyDescent="0.3">
      <c r="A223" s="12" t="str">
        <f>INDEX('ei names mapping'!$B$4:$R$33,MATCH(B191,'ei names mapping'!$A$4:$A$33,0),MATCH(G223,'ei names mapping'!$B$3:$R$3,0))</f>
        <v>polyethylene production, high density, granulate</v>
      </c>
      <c r="B223" s="16">
        <f>INDEX('vehicles specifications'!$B$3:$CK$86,MATCH(B194,'vehicles specifications'!$A$3:$A$86,0),MATCH(G223,'vehicles specifications'!$B$2:$CK$2,0))*INDEX('ei names mapping'!$B$137:$BK$220,MATCH(B194,'ei names mapping'!$A$137:$A$220,0),MATCH(G223,'ei names mapping'!$B$136:$BK$136,0))</f>
        <v>0.78749999999999998</v>
      </c>
      <c r="C223" s="12" t="str">
        <f>INDEX('ei names mapping'!$B$38:$R$67,MATCH(B191,'ei names mapping'!$A$4:$A$33,0),MATCH(G223,'ei names mapping'!$B$3:$R$3,0))</f>
        <v>RER</v>
      </c>
      <c r="D223" s="12" t="str">
        <f>INDEX('ei names mapping'!$B$104:$R$133,MATCH(B191,'ei names mapping'!$A$104:$A$133,0),MATCH(G223,'ei names mapping'!$B$3:$R$3,0))</f>
        <v>kilogram</v>
      </c>
      <c r="E223" s="12"/>
      <c r="F223" s="12" t="s">
        <v>91</v>
      </c>
      <c r="G223" t="s">
        <v>24</v>
      </c>
      <c r="H223" s="12" t="str">
        <f>INDEX('ei names mapping'!$B$71:$R$100,MATCH(B191,'ei names mapping'!$A$4:$A$33,0),MATCH(G223,'ei names mapping'!$B$3:$R$3,0))</f>
        <v>polyethylene, high density, granulate</v>
      </c>
    </row>
    <row r="224" spans="1:8" s="21" customFormat="1" x14ac:dyDescent="0.3">
      <c r="A224" s="22" t="s">
        <v>468</v>
      </c>
      <c r="B224" s="21">
        <f>(B204/1000)*B215</f>
        <v>59.971624999999996</v>
      </c>
      <c r="C224" s="21" t="s">
        <v>94</v>
      </c>
      <c r="D224" s="21" t="s">
        <v>243</v>
      </c>
      <c r="F224" s="21" t="s">
        <v>91</v>
      </c>
      <c r="H224" s="22" t="s">
        <v>469</v>
      </c>
    </row>
    <row r="225" spans="1:8" s="21" customFormat="1" x14ac:dyDescent="0.3">
      <c r="A225" s="22" t="s">
        <v>467</v>
      </c>
      <c r="B225" s="2">
        <f>(B204/1000)*B214</f>
        <v>953.54883749999988</v>
      </c>
      <c r="C225" s="21" t="s">
        <v>98</v>
      </c>
      <c r="D225" s="21" t="s">
        <v>243</v>
      </c>
      <c r="F225" s="21" t="s">
        <v>91</v>
      </c>
      <c r="H225" s="22" t="s">
        <v>467</v>
      </c>
    </row>
    <row r="227" spans="1:8" ht="15.6" x14ac:dyDescent="0.3">
      <c r="A227" s="11" t="s">
        <v>72</v>
      </c>
      <c r="B227" s="9" t="str">
        <f>"transport, "&amp;B229&amp;", "&amp;B231</f>
        <v>transport, Moped, gasoline, &lt;4kW, EURO-3, 2006</v>
      </c>
    </row>
    <row r="228" spans="1:8" x14ac:dyDescent="0.3">
      <c r="A228" t="s">
        <v>73</v>
      </c>
      <c r="B228" t="s">
        <v>37</v>
      </c>
    </row>
    <row r="229" spans="1:8" x14ac:dyDescent="0.3">
      <c r="A229" t="s">
        <v>87</v>
      </c>
      <c r="B229" t="s">
        <v>645</v>
      </c>
    </row>
    <row r="230" spans="1:8" x14ac:dyDescent="0.3">
      <c r="A230" t="s">
        <v>88</v>
      </c>
      <c r="B230" s="12"/>
    </row>
    <row r="231" spans="1:8" x14ac:dyDescent="0.3">
      <c r="A231" t="s">
        <v>89</v>
      </c>
      <c r="B231" s="12">
        <v>2006</v>
      </c>
    </row>
    <row r="232" spans="1:8" x14ac:dyDescent="0.3">
      <c r="A232" t="s">
        <v>131</v>
      </c>
      <c r="B232" s="12" t="str">
        <f>B229&amp;" - "&amp;B231&amp;" - "&amp;B228</f>
        <v>Moped, gasoline, &lt;4kW, EURO-3 - 2006 - CH</v>
      </c>
    </row>
    <row r="233" spans="1:8" x14ac:dyDescent="0.3">
      <c r="A233" t="s">
        <v>74</v>
      </c>
      <c r="B233" s="12" t="str">
        <f>"transport, "&amp;B229</f>
        <v>transport, Moped, gasoline, &lt;4kW, EURO-3</v>
      </c>
    </row>
    <row r="234" spans="1:8" x14ac:dyDescent="0.3">
      <c r="A234" t="s">
        <v>75</v>
      </c>
      <c r="B234" t="s">
        <v>76</v>
      </c>
    </row>
    <row r="235" spans="1:8" x14ac:dyDescent="0.3">
      <c r="A235" t="s">
        <v>77</v>
      </c>
      <c r="B235" t="s">
        <v>172</v>
      </c>
    </row>
    <row r="236" spans="1:8" x14ac:dyDescent="0.3">
      <c r="A236" t="s">
        <v>79</v>
      </c>
      <c r="B236" t="s">
        <v>90</v>
      </c>
    </row>
    <row r="237" spans="1:8" x14ac:dyDescent="0.3">
      <c r="A237" t="s">
        <v>132</v>
      </c>
      <c r="B237">
        <f>INDEX('vehicles specifications'!$B$3:$CK$86,MATCH(B232,'vehicles specifications'!$A$3:$A$86,0),MATCH("Lifetime [km]",'vehicles specifications'!$B$2:$CK$2,0))</f>
        <v>33400</v>
      </c>
    </row>
    <row r="238" spans="1:8" x14ac:dyDescent="0.3">
      <c r="A238" t="s">
        <v>133</v>
      </c>
      <c r="B238">
        <f>INDEX('vehicles specifications'!$B$3:$CK$86,MATCH(B232,'vehicles specifications'!$A$3:$A$86,0),MATCH("Passengers [unit]",'vehicles specifications'!$B$2:$CK$2,0))</f>
        <v>1</v>
      </c>
    </row>
    <row r="239" spans="1:8" x14ac:dyDescent="0.3">
      <c r="A239" t="s">
        <v>134</v>
      </c>
      <c r="B239">
        <f>INDEX('vehicles specifications'!$B$3:$CK$86,MATCH(B232,'vehicles specifications'!$A$3:$A$86,0),MATCH("Servicing [unit]",'vehicles specifications'!$B$2:$CK$2,0))</f>
        <v>1</v>
      </c>
    </row>
    <row r="240" spans="1:8" x14ac:dyDescent="0.3">
      <c r="A240" t="s">
        <v>135</v>
      </c>
      <c r="B240">
        <f>INDEX('vehicles specifications'!$B$3:$CK$86,MATCH(B232,'vehicles specifications'!$A$3:$A$86,0),MATCH("Energy battery replacement [unit]",'vehicles specifications'!$B$2:$CK$2,0))</f>
        <v>0</v>
      </c>
    </row>
    <row r="241" spans="1:8" x14ac:dyDescent="0.3">
      <c r="A241" t="s">
        <v>136</v>
      </c>
      <c r="B241">
        <f>INDEX('vehicles specifications'!$B$3:$CK$86,MATCH(B232,'vehicles specifications'!$A$3:$A$86,0),MATCH("Annual kilometers [km]",'vehicles specifications'!$B$2:$CK$2,0))</f>
        <v>2553</v>
      </c>
    </row>
    <row r="242" spans="1:8" x14ac:dyDescent="0.3">
      <c r="A242" t="s">
        <v>137</v>
      </c>
      <c r="B242" s="2">
        <f>INDEX('vehicles specifications'!$B$3:$CK$86,MATCH(B232,'vehicles specifications'!$A$3:$A$86,0),MATCH("Curb mass [kg]",'vehicles specifications'!$B$2:$CK$2,0))</f>
        <v>65.098124999999996</v>
      </c>
    </row>
    <row r="243" spans="1:8" x14ac:dyDescent="0.3">
      <c r="A243" t="s">
        <v>138</v>
      </c>
      <c r="B243">
        <f>INDEX('vehicles specifications'!$B$3:$CK$86,MATCH(B232,'vehicles specifications'!$A$3:$A$86,0),MATCH("Power [kW]",'vehicles specifications'!$B$2:$CK$2,0))</f>
        <v>2.5</v>
      </c>
    </row>
    <row r="244" spans="1:8" x14ac:dyDescent="0.3">
      <c r="A244" t="s">
        <v>139</v>
      </c>
      <c r="B244">
        <f>INDEX('vehicles specifications'!$B$3:$CK$86,MATCH(B232,'vehicles specifications'!$A$3:$A$86,0),MATCH("Energy battery mass [kg]",'vehicles specifications'!$B$2:$CK$2,0))</f>
        <v>0</v>
      </c>
    </row>
    <row r="245" spans="1:8" x14ac:dyDescent="0.3">
      <c r="A245" t="s">
        <v>140</v>
      </c>
      <c r="B245">
        <f>INDEX('vehicles specifications'!$B$3:$CK$86,MATCH(B232,'vehicles specifications'!$A$3:$A$86,0),MATCH("Electric energy available [kWh]",'vehicles specifications'!$B$2:$CK$2,0))</f>
        <v>0</v>
      </c>
    </row>
    <row r="246" spans="1:8" x14ac:dyDescent="0.3">
      <c r="A246" t="s">
        <v>143</v>
      </c>
      <c r="B246" s="2">
        <f>INDEX('vehicles specifications'!$B$3:$CK$86,MATCH(B232,'vehicles specifications'!$A$3:$A$86,0),MATCH("Oxydation energy stored [kWh]",'vehicles specifications'!$B$2:$CK$2,0))</f>
        <v>61.833333333333329</v>
      </c>
    </row>
    <row r="247" spans="1:8" x14ac:dyDescent="0.3">
      <c r="A247" t="s">
        <v>145</v>
      </c>
      <c r="B247">
        <f>INDEX('vehicles specifications'!$B$3:$CK$86,MATCH(B232,'vehicles specifications'!$A$3:$A$86,0),MATCH("Fuel mass [kg]",'vehicles specifications'!$B$2:$CK$2,0))</f>
        <v>5.25</v>
      </c>
    </row>
    <row r="248" spans="1:8" x14ac:dyDescent="0.3">
      <c r="A248" t="s">
        <v>141</v>
      </c>
      <c r="B248" s="2">
        <f>INDEX('vehicles specifications'!$B$3:$CK$86,MATCH(B232,'vehicles specifications'!$A$3:$A$86,0),MATCH("Range [km]",'vehicles specifications'!$B$2:$CK$2,0))</f>
        <v>265.15715823918839</v>
      </c>
    </row>
    <row r="249" spans="1:8" x14ac:dyDescent="0.3">
      <c r="A249" t="s">
        <v>142</v>
      </c>
      <c r="B249" t="str">
        <f>INDEX('vehicles specifications'!$B$3:$CK$86,MATCH(B232,'vehicles specifications'!$A$3:$A$86,0),MATCH("Emission standard",'vehicles specifications'!$B$2:$CK$2,0))</f>
        <v>EURO-3</v>
      </c>
    </row>
    <row r="250" spans="1:8" x14ac:dyDescent="0.3">
      <c r="A250" t="s">
        <v>144</v>
      </c>
      <c r="B250" s="6">
        <f>INDEX('vehicles specifications'!$B$3:$CK$86,MATCH(B232,'vehicles specifications'!$A$3:$A$86,0),MATCH("Lightweighting rate [%]",'vehicles specifications'!$B$2:$CK$2,0))</f>
        <v>-0.05</v>
      </c>
    </row>
    <row r="251" spans="1:8" x14ac:dyDescent="0.3">
      <c r="A251" t="s">
        <v>84</v>
      </c>
      <c r="B251" s="2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Battery capacity: "&amp;ROUND(B245,1)&amp;" kWh. Battery mass: "&amp;ROUND(B244,1)&amp; " kg. Battery replacement throughout lifetime: "&amp;ROUND(B240,1)&amp;". Fuel tank capacity: "&amp;ROUND(B246,1)&amp;" kWh. Fuel mass: "&amp;ROUND(B247,1)&amp;" kg. Documentation: "&amp;Readmefirst!$B$2&amp;", "&amp;Readmefirst!$B$3&amp;". "&amp;B236</f>
        <v>Power: 2.5 kW. Lifetime: 33400 km. Annual kilometers: 2553 km. Number of passengers: 1. Curb mass: 65.1 kg. Lightweighting of glider: -5%. Emission standard: EURO-3. Service visits throughout lifetime: 1. Range: 265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52" spans="1:8" ht="15.6" x14ac:dyDescent="0.3">
      <c r="A252" s="11" t="s">
        <v>80</v>
      </c>
    </row>
    <row r="253" spans="1:8" x14ac:dyDescent="0.3">
      <c r="A253" t="s">
        <v>81</v>
      </c>
      <c r="B253" t="s">
        <v>82</v>
      </c>
      <c r="C253" t="s">
        <v>73</v>
      </c>
      <c r="D253" t="s">
        <v>77</v>
      </c>
      <c r="E253" t="s">
        <v>83</v>
      </c>
      <c r="F253" t="s">
        <v>75</v>
      </c>
      <c r="G253" t="s">
        <v>84</v>
      </c>
      <c r="H253" t="s">
        <v>74</v>
      </c>
    </row>
    <row r="254" spans="1:8" x14ac:dyDescent="0.3">
      <c r="A254" s="12" t="str">
        <f>B227</f>
        <v>transport, Moped, gasoline, &lt;4kW, EURO-3, 2006</v>
      </c>
      <c r="B254" s="12">
        <v>1</v>
      </c>
      <c r="C254" s="12" t="str">
        <f>B228</f>
        <v>CH</v>
      </c>
      <c r="D254" s="12" t="s">
        <v>172</v>
      </c>
      <c r="E254" s="12"/>
      <c r="F254" s="12" t="s">
        <v>85</v>
      </c>
      <c r="G254" s="12" t="s">
        <v>86</v>
      </c>
      <c r="H254" s="12" t="str">
        <f>B233</f>
        <v>transport, Moped, gasoline, &lt;4kW, EURO-3</v>
      </c>
    </row>
    <row r="255" spans="1:8" x14ac:dyDescent="0.3">
      <c r="A255" s="12" t="str">
        <f>RIGHT(A254,LEN(A254)-11)</f>
        <v>Moped, gasoline, &lt;4kW, EURO-3, 2006</v>
      </c>
      <c r="B255" s="15">
        <f>1/B237</f>
        <v>2.9940119760479042E-5</v>
      </c>
      <c r="C255" s="12" t="str">
        <f>B228</f>
        <v>CH</v>
      </c>
      <c r="D255" s="12" t="s">
        <v>77</v>
      </c>
      <c r="E255" s="12"/>
      <c r="F255" s="12" t="s">
        <v>91</v>
      </c>
      <c r="G255" s="12"/>
      <c r="H255" s="12" t="str">
        <f>RIGHT(H254,LEN(H254)-11)</f>
        <v>Moped, gasoline, &lt;4kW, EURO-3</v>
      </c>
    </row>
    <row r="256" spans="1:8" s="21" customFormat="1" x14ac:dyDescent="0.3">
      <c r="A256" s="12" t="str">
        <f>INDEX('ei names mapping'!$B$4:$R$33,MATCH(B229,'ei names mapping'!$A$4:$A$33,0),MATCH(G256,'ei names mapping'!$B$3:$R$3,0))</f>
        <v>road construction</v>
      </c>
      <c r="B256" s="16">
        <f>INDEX('vehicles specifications'!$B$3:$CK$86,MATCH(B232,'vehicles specifications'!$A$3:$A$86,0),MATCH(G256,'vehicles specifications'!$B$2:$CK$2,0))*INDEX('ei names mapping'!$B$137:$BK$220,MATCH(B232,'ei names mapping'!$A$137:$A$220,0),MATCH(G256,'ei names mapping'!$B$136:$BK$136,0))</f>
        <v>7.3621693124999987E-5</v>
      </c>
      <c r="C256" s="12" t="str">
        <f>INDEX('ei names mapping'!$B$38:$R$67,MATCH(B229,'ei names mapping'!$A$4:$A$33,0),MATCH(G256,'ei names mapping'!$B$3:$R$3,0))</f>
        <v>CH</v>
      </c>
      <c r="D256" s="12" t="str">
        <f>INDEX('ei names mapping'!$B$104:$BK$133,MATCH(B229,'ei names mapping'!$A$4:$A$33,0),MATCH(G256,'ei names mapping'!$B$3:$BK$3,0))</f>
        <v>meter-year</v>
      </c>
      <c r="E256" s="12"/>
      <c r="F256" s="12" t="s">
        <v>91</v>
      </c>
      <c r="G256" s="21" t="s">
        <v>108</v>
      </c>
      <c r="H256" s="12" t="str">
        <f>INDEX('ei names mapping'!$B$71:$BK$100,MATCH(B229,'ei names mapping'!$A$4:$A$33,0),MATCH(G256,'ei names mapping'!$B$3:$BK$3,0))</f>
        <v>road</v>
      </c>
    </row>
    <row r="257" spans="1:8" x14ac:dyDescent="0.3">
      <c r="A257" s="12" t="str">
        <f>INDEX('ei names mapping'!$B$4:$R$33,MATCH(B229,'ei names mapping'!$A$4:$A$33,0),MATCH(G257,'ei names mapping'!$B$3:$R$3,0))</f>
        <v>road maintenance</v>
      </c>
      <c r="B257" s="16">
        <f>INDEX('vehicles specifications'!$B$3:$CK$86,MATCH(B232,'vehicles specifications'!$A$3:$A$86,0),MATCH(G257,'vehicles specifications'!$B$2:$CK$2,0))*INDEX('ei names mapping'!$B$137:$BK$220,MATCH(B232,'ei names mapping'!$A$137:$A$220,0),MATCH(G257,'ei names mapping'!$B$136:$BK$136,0))</f>
        <v>1.2899999999999999E-3</v>
      </c>
      <c r="C257" s="12" t="str">
        <f>INDEX('ei names mapping'!$B$38:$R$67,MATCH(B229,'ei names mapping'!$A$4:$A$33,0),MATCH(G257,'ei names mapping'!$B$3:$R$3,0))</f>
        <v>CH</v>
      </c>
      <c r="D257" s="12" t="str">
        <f>INDEX('ei names mapping'!$B$104:$BK$133,MATCH(B229,'ei names mapping'!$A$104:$A$133,0),MATCH(G257,'ei names mapping'!$B$3:$BK$3,0))</f>
        <v>meter-year</v>
      </c>
      <c r="E257" s="12"/>
      <c r="F257" s="12" t="s">
        <v>91</v>
      </c>
      <c r="G257" t="s">
        <v>117</v>
      </c>
      <c r="H257" s="12" t="str">
        <f>INDEX('ei names mapping'!$B$71:$BK$100,MATCH(B229,'ei names mapping'!$A$4:$A$33,0),MATCH(G257,'ei names mapping'!$B$3:$BK$3,0))</f>
        <v>road maintenance</v>
      </c>
    </row>
    <row r="258" spans="1:8" x14ac:dyDescent="0.3">
      <c r="A258" s="12" t="str">
        <f>INDEX('ei names mapping'!$B$4:$R$33,MATCH(B229,'ei names mapping'!$A$4:$A$33,0),MATCH(G258,'ei names mapping'!$B$3:$R$3,0))</f>
        <v>maintenance, motor scooter</v>
      </c>
      <c r="B258" s="16">
        <f>INDEX('vehicles specifications'!$B$3:$CK$86,MATCH(B232,'vehicles specifications'!$A$3:$A$86,0),MATCH(G258,'vehicles specifications'!$B$2:$CK$2,0))*INDEX('ei names mapping'!$B$137:$BK$220,MATCH(B232,'ei names mapping'!$A$137:$A$220,0),MATCH(G258,'ei names mapping'!$B$136:$BK$136,0))</f>
        <v>2.9940119760479042E-5</v>
      </c>
      <c r="C258" s="12" t="str">
        <f>INDEX('ei names mapping'!$B$38:$BK$67,MATCH(B229,'ei names mapping'!$A$4:$A$33,0),MATCH(G258,'ei names mapping'!$B$3:$BK$3,0))</f>
        <v>CH</v>
      </c>
      <c r="D258" s="12" t="str">
        <f>INDEX('ei names mapping'!$B$104:$BK$133,MATCH(B229,'ei names mapping'!$A$4:$A$33,0),MATCH(G258,'ei names mapping'!$B$3:$BK$3,0))</f>
        <v>unit</v>
      </c>
      <c r="F258" s="12" t="s">
        <v>91</v>
      </c>
      <c r="G258" s="12" t="s">
        <v>123</v>
      </c>
      <c r="H258" s="12" t="str">
        <f>INDEX('ei names mapping'!$B$71:$BK$100,MATCH(B229,'ei names mapping'!$A$4:$A$33,0),MATCH(G258,'ei names mapping'!$B$3:$BK$3,0))</f>
        <v>maintenance, motor scooter</v>
      </c>
    </row>
    <row r="259" spans="1:8" x14ac:dyDescent="0.3">
      <c r="A259" s="12" t="str">
        <f>INDEX('ei names mapping'!$B$4:$R$33,MATCH(B229,'ei names mapping'!$A$4:$A$33,0),MATCH(G259,'ei names mapping'!$B$3:$R$3,0))</f>
        <v>petrol blending for two-stroke engines</v>
      </c>
      <c r="B259" s="16">
        <f>INDEX('vehicles specifications'!$B$3:$CK$86,MATCH(B232,'vehicles specifications'!$A$3:$A$86,0),MATCH(G259,'vehicles specifications'!$B$2:$CK$2,0))*INDEX('ei names mapping'!$B$137:$BK$220,MATCH(B232,'ei names mapping'!$A$137:$A$220,0),MATCH(G259,'ei names mapping'!$B$136:$BK$136,0))</f>
        <v>1.9799578615426895E-2</v>
      </c>
      <c r="C259" s="12" t="str">
        <f>INDEX('ei names mapping'!$B$38:$BK$67,MATCH(B229,'ei names mapping'!$A$4:$A$33,0),MATCH(G259,'ei names mapping'!$B$3:$BK$3,0))</f>
        <v>CH</v>
      </c>
      <c r="D259" s="12" t="str">
        <f>INDEX('ei names mapping'!$B$104:$BK$133,MATCH(B229,'ei names mapping'!$A$4:$A$33,0),MATCH(G259,'ei names mapping'!$B$3:$BK$3,0))</f>
        <v>kilogram</v>
      </c>
      <c r="F259" s="12" t="s">
        <v>91</v>
      </c>
      <c r="G259" s="12" t="s">
        <v>27</v>
      </c>
      <c r="H259" s="12" t="str">
        <f>INDEX('ei names mapping'!$B$71:$BK$100,MATCH(B229,'ei names mapping'!$A$4:$A$33,0),MATCH(G259,'ei names mapping'!$B$3:$BK$3,0))</f>
        <v>petrol, two-stroke blend</v>
      </c>
    </row>
    <row r="260" spans="1:8" x14ac:dyDescent="0.3">
      <c r="A260" s="12" t="str">
        <f>INDEX('ei names mapping'!$B$4:$BK$33,MATCH(B229,'ei names mapping'!$A$4:$A$33,0),MATCH(G260,'ei names mapping'!$B$3:$BK$3,0))</f>
        <v>Carbon dioxide, fossil</v>
      </c>
      <c r="B260" s="16">
        <f>INDEX('vehicles specifications'!$B$3:$CK$86,MATCH(B232,'vehicles specifications'!$A$3:$A$86,0),MATCH(G260,'vehicles specifications'!$B$2:$CK$2,0))*INDEX('ei names mapping'!$B$137:$BK$220,MATCH(B232,'ei names mapping'!$A$137:$A$220,0),MATCH(G260,'ei names mapping'!$B$136:$BK$136,0))</f>
        <v>6.2962659997057524E-2</v>
      </c>
      <c r="C260" s="12"/>
      <c r="D260" s="12" t="str">
        <f>INDEX('ei names mapping'!$B$104:$BK$133,MATCH(B229,'ei names mapping'!$A$4:$A$33,0),MATCH(G260,'ei names mapping'!$B$3:$BK$3,0))</f>
        <v>kilogram</v>
      </c>
      <c r="E260" s="12" t="str">
        <f>INDEX('ei names mapping'!$B$225:$BK$255,MATCH(B229,'ei names mapping'!$A$4:$A$33,0),MATCH(G260,'ei names mapping'!$B$3:$BK$3,0))</f>
        <v>air</v>
      </c>
      <c r="F260" s="12" t="s">
        <v>173</v>
      </c>
      <c r="G260" t="s">
        <v>67</v>
      </c>
      <c r="H260" s="12"/>
    </row>
    <row r="261" spans="1:8" x14ac:dyDescent="0.3">
      <c r="A261" s="12" t="str">
        <f>INDEX('ei names mapping'!$B$4:$BK$33,MATCH(B229,'ei names mapping'!$A$4:$A$33,0),MATCH(G261,'ei names mapping'!$B$3:$BK$3,0))</f>
        <v>Sulfur dioxide</v>
      </c>
      <c r="B261" s="15">
        <f>INDEX('vehicles specifications'!$B$3:$CK$86,MATCH(B232,'vehicles specifications'!$A$3:$A$86,0),MATCH(G261,'vehicles specifications'!$B$2:$CK$2,0))*INDEX('ei names mapping'!$B$137:$BK$220,MATCH(B232,'ei names mapping'!$A$137:$A$220,0),MATCH(G261,'ei names mapping'!$B$136:$BK$136,0))</f>
        <v>3.1679325784683032E-7</v>
      </c>
      <c r="C261" s="12"/>
      <c r="D261" s="12" t="str">
        <f>INDEX('ei names mapping'!$B$104:$BK$133,MATCH(B229,'ei names mapping'!$A$4:$A$33,0),MATCH(G261,'ei names mapping'!$B$3:$BK$3,0))</f>
        <v>kilogram</v>
      </c>
      <c r="E261" s="12" t="str">
        <f>INDEX('ei names mapping'!$B$225:$BK$255,MATCH(B229,'ei names mapping'!$A$4:$A$33,0),MATCH(G261,'ei names mapping'!$B$3:$BK$3,0))</f>
        <v>air</v>
      </c>
      <c r="F261" s="12" t="s">
        <v>173</v>
      </c>
      <c r="G261" t="s">
        <v>68</v>
      </c>
      <c r="H261" s="12"/>
    </row>
    <row r="262" spans="1:8" x14ac:dyDescent="0.3">
      <c r="A262" s="12" t="str">
        <f>INDEX('ei names mapping'!$B$4:$BK$33,MATCH(B229,'ei names mapping'!$A$4:$A$33,0),MATCH(G262,'ei names mapping'!$B$3:$BK$3,0))</f>
        <v>Benzene</v>
      </c>
      <c r="B262" s="15">
        <f>INDEX('vehicles specifications'!$B$3:$CK$86,MATCH(B232,'vehicles specifications'!$A$3:$A$86,0),MATCH(G262,'vehicles specifications'!$B$2:$CK$2,0))*INDEX('ei names mapping'!$B$137:$BK$220,MATCH(B232,'ei names mapping'!$A$137:$A$220,0),MATCH(G262,'ei names mapping'!$B$136:$BK$136,0))</f>
        <v>1.0310040666120319E-4</v>
      </c>
      <c r="C262" s="12"/>
      <c r="D262" s="12" t="str">
        <f>INDEX('ei names mapping'!$B$104:$BK$133,MATCH(B229,'ei names mapping'!$A$4:$A$33,0),MATCH(G262,'ei names mapping'!$B$3:$BK$3,0))</f>
        <v>kilogram</v>
      </c>
      <c r="E262" s="12" t="str">
        <f>INDEX('ei names mapping'!$B$225:$BK$255,MATCH(B229,'ei names mapping'!$A$4:$A$33,0),MATCH(G262,'ei names mapping'!$B$3:$BK$3,0))</f>
        <v>air</v>
      </c>
      <c r="F262" s="12" t="s">
        <v>173</v>
      </c>
      <c r="G262" t="s">
        <v>56</v>
      </c>
      <c r="H262" s="12"/>
    </row>
    <row r="263" spans="1:8" x14ac:dyDescent="0.3">
      <c r="A263" s="12" t="str">
        <f>INDEX('ei names mapping'!$B$4:$BK$33,MATCH(B229,'ei names mapping'!$A$4:$A$33,0),MATCH(G263,'ei names mapping'!$B$3:$BK$3,0))</f>
        <v>Methane, fossil</v>
      </c>
      <c r="B263" s="15">
        <f>INDEX('vehicles specifications'!$B$3:$CK$86,MATCH(B232,'vehicles specifications'!$A$3:$A$86,0),MATCH(G263,'vehicles specifications'!$B$2:$CK$2,0))*INDEX('ei names mapping'!$B$137:$BK$220,MATCH(B232,'ei names mapping'!$A$137:$A$220,0),MATCH(G263,'ei names mapping'!$B$136:$BK$136,0))</f>
        <v>2.2338843798195468E-5</v>
      </c>
      <c r="C263" s="12"/>
      <c r="D263" s="12" t="str">
        <f>INDEX('ei names mapping'!$B$104:$BK$133,MATCH(B229,'ei names mapping'!$A$4:$A$33,0),MATCH(G263,'ei names mapping'!$B$3:$BK$3,0))</f>
        <v>kilogram</v>
      </c>
      <c r="E263" s="12" t="str">
        <f>INDEX('ei names mapping'!$B$225:$BK$255,MATCH(B229,'ei names mapping'!$A$4:$A$33,0),MATCH(G263,'ei names mapping'!$B$3:$BK$3,0))</f>
        <v>air</v>
      </c>
      <c r="F263" s="12" t="s">
        <v>173</v>
      </c>
      <c r="G263" t="s">
        <v>57</v>
      </c>
      <c r="H263" s="12"/>
    </row>
    <row r="264" spans="1:8" x14ac:dyDescent="0.3">
      <c r="A264" s="12" t="str">
        <f>INDEX('ei names mapping'!$B$4:$BK$33,MATCH(B229,'ei names mapping'!$A$4:$A$33,0),MATCH(G264,'ei names mapping'!$B$3:$BK$3,0))</f>
        <v>Carbon monoxide, fossil</v>
      </c>
      <c r="B264" s="15">
        <f>INDEX('vehicles specifications'!$B$3:$CK$86,MATCH(B232,'vehicles specifications'!$A$3:$A$86,0),MATCH(G264,'vehicles specifications'!$B$2:$CK$2,0))*INDEX('ei names mapping'!$B$137:$BK$220,MATCH(B232,'ei names mapping'!$A$137:$A$220,0),MATCH(G264,'ei names mapping'!$B$136:$BK$136,0))</f>
        <v>3.277971259693117E-3</v>
      </c>
      <c r="C264" s="12"/>
      <c r="D264" s="12" t="str">
        <f>INDEX('ei names mapping'!$B$104:$BK$133,MATCH(B229,'ei names mapping'!$A$4:$A$33,0),MATCH(G264,'ei names mapping'!$B$3:$BK$3,0))</f>
        <v>kilogram</v>
      </c>
      <c r="E264" s="12" t="str">
        <f>INDEX('ei names mapping'!$B$225:$BK$255,MATCH(B229,'ei names mapping'!$A$4:$A$33,0),MATCH(G264,'ei names mapping'!$B$3:$BK$3,0))</f>
        <v>air</v>
      </c>
      <c r="F264" s="12" t="s">
        <v>173</v>
      </c>
      <c r="G264" t="s">
        <v>58</v>
      </c>
      <c r="H264" s="12"/>
    </row>
    <row r="265" spans="1:8" x14ac:dyDescent="0.3">
      <c r="A265" s="12" t="str">
        <f>INDEX('ei names mapping'!$B$4:$BK$33,MATCH(B229,'ei names mapping'!$A$4:$A$33,0),MATCH(G265,'ei names mapping'!$B$3:$BK$3,0))</f>
        <v>Dinitrogen monoxide</v>
      </c>
      <c r="B265" s="15">
        <f>INDEX('vehicles specifications'!$B$3:$CK$86,MATCH(B232,'vehicles specifications'!$A$3:$A$86,0),MATCH(G265,'vehicles specifications'!$B$2:$CK$2,0))*INDEX('ei names mapping'!$B$137:$BK$220,MATCH(B232,'ei names mapping'!$A$137:$A$220,0),MATCH(G265,'ei names mapping'!$B$136:$BK$136,0))</f>
        <v>1.1333761439977408E-6</v>
      </c>
      <c r="C265" s="12"/>
      <c r="D265" s="12" t="str">
        <f>INDEX('ei names mapping'!$B$104:$BK$133,MATCH(B229,'ei names mapping'!$A$4:$A$33,0),MATCH(G265,'ei names mapping'!$B$3:$BK$3,0))</f>
        <v>kilogram</v>
      </c>
      <c r="E265" s="12" t="str">
        <f>INDEX('ei names mapping'!$B$225:$BK$255,MATCH(B229,'ei names mapping'!$A$4:$A$33,0),MATCH(G265,'ei names mapping'!$B$3:$BK$3,0))</f>
        <v>air</v>
      </c>
      <c r="F265" s="12" t="s">
        <v>173</v>
      </c>
      <c r="G265" t="s">
        <v>59</v>
      </c>
      <c r="H265" s="12"/>
    </row>
    <row r="266" spans="1:8" x14ac:dyDescent="0.3">
      <c r="A266" s="12" t="str">
        <f>INDEX('ei names mapping'!$B$4:$BK$33,MATCH(B229,'ei names mapping'!$A$4:$A$33,0),MATCH(G266,'ei names mapping'!$B$3:$BK$3,0))</f>
        <v>Ammonia</v>
      </c>
      <c r="B266" s="15">
        <f>INDEX('vehicles specifications'!$B$3:$CK$86,MATCH(B232,'vehicles specifications'!$A$3:$A$86,0),MATCH(G266,'vehicles specifications'!$B$2:$CK$2,0))*INDEX('ei names mapping'!$B$137:$BK$220,MATCH(B232,'ei names mapping'!$A$137:$A$220,0),MATCH(G266,'ei names mapping'!$B$136:$BK$136,0))</f>
        <v>1.1333761439977408E-6</v>
      </c>
      <c r="C266" s="12"/>
      <c r="D266" s="12" t="str">
        <f>INDEX('ei names mapping'!$B$104:$BK$133,MATCH(B229,'ei names mapping'!$A$4:$A$33,0),MATCH(G266,'ei names mapping'!$B$3:$BK$3,0))</f>
        <v>kilogram</v>
      </c>
      <c r="E266" s="12" t="str">
        <f>INDEX('ei names mapping'!$B$225:$BK$255,MATCH(B229,'ei names mapping'!$A$4:$A$33,0),MATCH(G266,'ei names mapping'!$B$3:$BK$3,0))</f>
        <v>air</v>
      </c>
      <c r="F266" s="12" t="s">
        <v>173</v>
      </c>
      <c r="G266" t="s">
        <v>60</v>
      </c>
      <c r="H266" s="12"/>
    </row>
    <row r="267" spans="1:8" x14ac:dyDescent="0.3">
      <c r="A267" s="12" t="str">
        <f>INDEX('ei names mapping'!$B$4:$BK$33,MATCH(B229,'ei names mapping'!$A$4:$A$33,0),MATCH(G267,'ei names mapping'!$B$3:$BK$3,0))</f>
        <v>Nitrogen oxides</v>
      </c>
      <c r="B267" s="15">
        <f>INDEX('vehicles specifications'!$B$3:$CK$86,MATCH(B232,'vehicles specifications'!$A$3:$A$86,0),MATCH(G267,'vehicles specifications'!$B$2:$CK$2,0))*INDEX('ei names mapping'!$B$137:$BK$220,MATCH(B232,'ei names mapping'!$A$137:$A$220,0),MATCH(G267,'ei names mapping'!$B$136:$BK$136,0))</f>
        <v>3.7393687755796559E-4</v>
      </c>
      <c r="C267" s="12"/>
      <c r="D267" s="12" t="str">
        <f>INDEX('ei names mapping'!$B$104:$BK$133,MATCH(B229,'ei names mapping'!$A$4:$A$33,0),MATCH(G267,'ei names mapping'!$B$3:$BK$3,0))</f>
        <v>kilogram</v>
      </c>
      <c r="E267" s="12" t="str">
        <f>INDEX('ei names mapping'!$B$225:$BK$255,MATCH(B229,'ei names mapping'!$A$4:$A$33,0),MATCH(G267,'ei names mapping'!$B$3:$BK$3,0))</f>
        <v>air</v>
      </c>
      <c r="F267" s="12" t="s">
        <v>173</v>
      </c>
      <c r="G267" s="12" t="s">
        <v>61</v>
      </c>
      <c r="H267" s="12"/>
    </row>
    <row r="268" spans="1:8" x14ac:dyDescent="0.3">
      <c r="A268" s="12" t="str">
        <f>INDEX('ei names mapping'!$B$4:$BK$33,MATCH(B229,'ei names mapping'!$A$4:$A$33,0),MATCH(G268,'ei names mapping'!$B$3:$BK$3,0))</f>
        <v>Particulates, &lt; 2.5 um</v>
      </c>
      <c r="B268" s="15">
        <f>INDEX('vehicles specifications'!$B$3:$CK$86,MATCH(B$232,'vehicles specifications'!$A$3:$A$86,0),MATCH(G268,'vehicles specifications'!$B$2:$CK$2,0))*INDEX('ei names mapping'!$B$137:$BK$220,MATCH(B$232,'ei names mapping'!$A$137:$A$220,0),MATCH(G268,'ei names mapping'!$B$136:$BK$136,0))</f>
        <v>1.1713745554585587E-5</v>
      </c>
      <c r="C268" s="12"/>
      <c r="D268" s="12" t="str">
        <f>INDEX('ei names mapping'!$B$104:$BK$133,MATCH(B229,'ei names mapping'!$A$4:$A$33,0),MATCH(G268,'ei names mapping'!$B$3:$BK$3,0))</f>
        <v>kilogram</v>
      </c>
      <c r="E268" s="12" t="str">
        <f>INDEX('ei names mapping'!$B$225:$BK$255,MATCH(B229,'ei names mapping'!$A$4:$A$33,0),MATCH(G268,'ei names mapping'!$B$3:$BK$3,0))</f>
        <v>air</v>
      </c>
      <c r="F268" s="12" t="s">
        <v>173</v>
      </c>
      <c r="G268" s="12" t="s">
        <v>63</v>
      </c>
      <c r="H268" s="12"/>
    </row>
    <row r="269" spans="1:8" s="21" customFormat="1" x14ac:dyDescent="0.3">
      <c r="A269" s="12" t="str">
        <f>INDEX('ei names mapping'!$B$4:$BK$33,MATCH(B$229,'ei names mapping'!$A$4:$A$33,0),MATCH(G269,'ei names mapping'!$B$3:$BK$3,0))</f>
        <v>NMVOC, non-methane volatile organic compounds, unspecified origin</v>
      </c>
      <c r="B269" s="15">
        <f>INDEX('vehicles specifications'!$B$3:$CK$86,MATCH(B$232,'vehicles specifications'!$A$3:$A$86,0),MATCH(G269,'vehicles specifications'!$B$2:$CK$2,0))*INDEX('ei names mapping'!$B$137:$BK$220,MATCH(B$232,'ei names mapping'!$A$137:$A$220,0),MATCH(G269,'ei names mapping'!$B$136:$BK$136,0))</f>
        <v>8.3141932216628021E-4</v>
      </c>
      <c r="C269" s="12"/>
      <c r="D269" s="12" t="str">
        <f>INDEX('ei names mapping'!$B$104:$BK$133,MATCH(B$229,'ei names mapping'!$A$4:$A$33,0),MATCH(G269,'ei names mapping'!$B$3:$BK$3,0))</f>
        <v>kilogram</v>
      </c>
      <c r="E269" s="12" t="str">
        <f>INDEX('ei names mapping'!$B$225:$BK$255,MATCH(B$229,'ei names mapping'!$A$4:$A$33,0),MATCH(G269,'ei names mapping'!$B$3:$BK$3,0))</f>
        <v>air</v>
      </c>
      <c r="F269" s="12" t="s">
        <v>173</v>
      </c>
      <c r="G269" s="12" t="s">
        <v>659</v>
      </c>
      <c r="H269" s="12"/>
    </row>
    <row r="270" spans="1:8" s="21" customFormat="1" x14ac:dyDescent="0.3">
      <c r="A270" s="12" t="str">
        <f>INDEX('ei names mapping'!$B$4:$BK$33,MATCH(B$229,'ei names mapping'!$A$4:$A$33,0),MATCH(G270,'ei names mapping'!$B$3:$BK$3,0))</f>
        <v>Ethane</v>
      </c>
      <c r="B270" s="15">
        <f>INDEX('vehicles specifications'!$B$3:$CK$86,MATCH(B$232,'vehicles specifications'!$A$3:$A$86,0),MATCH(G270,'vehicles specifications'!$B$2:$CK$2,0))*INDEX('ei names mapping'!$B$137:$BK$220,MATCH(B$232,'ei names mapping'!$A$137:$A$220,0),MATCH(G270,'ei names mapping'!$B$136:$BK$136,0))</f>
        <v>5.8625721434801813E-5</v>
      </c>
      <c r="C270" s="12"/>
      <c r="D270" s="12" t="str">
        <f>INDEX('ei names mapping'!$B$104:$BK$133,MATCH(B$229,'ei names mapping'!$A$4:$A$33,0),MATCH(G270,'ei names mapping'!$B$3:$BK$3,0))</f>
        <v>kilogram</v>
      </c>
      <c r="E270" s="12" t="str">
        <f>INDEX('ei names mapping'!$B$225:$BK$255,MATCH(B$229,'ei names mapping'!$A$4:$A$33,0),MATCH(G270,'ei names mapping'!$B$3:$BK$3,0))</f>
        <v>air</v>
      </c>
      <c r="F270" s="12" t="s">
        <v>173</v>
      </c>
      <c r="G270" s="12" t="s">
        <v>603</v>
      </c>
      <c r="H270" s="12"/>
    </row>
    <row r="271" spans="1:8" s="21" customFormat="1" x14ac:dyDescent="0.3">
      <c r="A271" s="12" t="str">
        <f>INDEX('ei names mapping'!$B$4:$BK$33,MATCH(B$229,'ei names mapping'!$A$4:$A$33,0),MATCH(G271,'ei names mapping'!$B$3:$BK$3,0))</f>
        <v>Propane</v>
      </c>
      <c r="B271" s="15">
        <f>INDEX('vehicles specifications'!$B$3:$CK$86,MATCH(B$232,'vehicles specifications'!$A$3:$A$86,0),MATCH(G271,'vehicles specifications'!$B$2:$CK$2,0))*INDEX('ei names mapping'!$B$137:$BK$220,MATCH(B$232,'ei names mapping'!$A$137:$A$220,0),MATCH(G271,'ei names mapping'!$B$136:$BK$136,0))</f>
        <v>1.1945679916182187E-5</v>
      </c>
      <c r="C271" s="12"/>
      <c r="D271" s="12" t="str">
        <f>INDEX('ei names mapping'!$B$104:$BK$133,MATCH(B$229,'ei names mapping'!$A$4:$A$33,0),MATCH(G271,'ei names mapping'!$B$3:$BK$3,0))</f>
        <v>kilogram</v>
      </c>
      <c r="E271" s="12" t="str">
        <f>INDEX('ei names mapping'!$B$225:$BK$255,MATCH(B$229,'ei names mapping'!$A$4:$A$33,0),MATCH(G271,'ei names mapping'!$B$3:$BK$3,0))</f>
        <v>air</v>
      </c>
      <c r="F271" s="12" t="s">
        <v>173</v>
      </c>
      <c r="G271" s="12" t="s">
        <v>604</v>
      </c>
      <c r="H271" s="12"/>
    </row>
    <row r="272" spans="1:8" s="21" customFormat="1" x14ac:dyDescent="0.3">
      <c r="A272" s="12" t="str">
        <f>INDEX('ei names mapping'!$B$4:$BK$33,MATCH(B$229,'ei names mapping'!$A$4:$A$33,0),MATCH(G272,'ei names mapping'!$B$3:$BK$3,0))</f>
        <v>Butane</v>
      </c>
      <c r="B272" s="15">
        <f>INDEX('vehicles specifications'!$B$3:$CK$86,MATCH(B$232,'vehicles specifications'!$A$3:$A$86,0),MATCH(G272,'vehicles specifications'!$B$2:$CK$2,0))*INDEX('ei names mapping'!$B$137:$BK$220,MATCH(B$232,'ei names mapping'!$A$137:$A$220,0),MATCH(G272,'ei names mapping'!$B$136:$BK$136,0))</f>
        <v>9.6300558093530248E-5</v>
      </c>
      <c r="C272" s="12"/>
      <c r="D272" s="12" t="str">
        <f>INDEX('ei names mapping'!$B$104:$BK$133,MATCH(B$229,'ei names mapping'!$A$4:$A$33,0),MATCH(G272,'ei names mapping'!$B$3:$BK$3,0))</f>
        <v>kilogram</v>
      </c>
      <c r="E272" s="12" t="str">
        <f>INDEX('ei names mapping'!$B$225:$BK$255,MATCH(B$229,'ei names mapping'!$A$4:$A$33,0),MATCH(G272,'ei names mapping'!$B$3:$BK$3,0))</f>
        <v>air</v>
      </c>
      <c r="F272" s="12" t="s">
        <v>173</v>
      </c>
      <c r="G272" s="12" t="s">
        <v>605</v>
      </c>
      <c r="H272" s="12"/>
    </row>
    <row r="273" spans="1:8" s="21" customFormat="1" x14ac:dyDescent="0.3">
      <c r="A273" s="12" t="str">
        <f>INDEX('ei names mapping'!$B$4:$BK$33,MATCH(B$229,'ei names mapping'!$A$4:$A$33,0),MATCH(G273,'ei names mapping'!$B$3:$BK$3,0))</f>
        <v>Pentane</v>
      </c>
      <c r="B273" s="15">
        <f>INDEX('vehicles specifications'!$B$3:$CK$86,MATCH(B$232,'vehicles specifications'!$A$3:$A$86,0),MATCH(G273,'vehicles specifications'!$B$2:$CK$2,0))*INDEX('ei names mapping'!$B$137:$BK$220,MATCH(B$232,'ei names mapping'!$A$137:$A$220,0),MATCH(G273,'ei names mapping'!$B$136:$BK$136,0))</f>
        <v>3.9512633568910311E-5</v>
      </c>
      <c r="C273" s="12"/>
      <c r="D273" s="12" t="str">
        <f>INDEX('ei names mapping'!$B$104:$BK$133,MATCH(B$229,'ei names mapping'!$A$4:$A$33,0),MATCH(G273,'ei names mapping'!$B$3:$BK$3,0))</f>
        <v>kilogram</v>
      </c>
      <c r="E273" s="12" t="str">
        <f>INDEX('ei names mapping'!$B$225:$BK$255,MATCH(B$229,'ei names mapping'!$A$4:$A$33,0),MATCH(G273,'ei names mapping'!$B$3:$BK$3,0))</f>
        <v>air</v>
      </c>
      <c r="F273" s="12" t="s">
        <v>173</v>
      </c>
      <c r="G273" s="12" t="s">
        <v>606</v>
      </c>
      <c r="H273" s="12"/>
    </row>
    <row r="274" spans="1:8" s="21" customFormat="1" x14ac:dyDescent="0.3">
      <c r="A274" s="12" t="str">
        <f>INDEX('ei names mapping'!$B$4:$BK$33,MATCH(B$229,'ei names mapping'!$A$4:$A$33,0),MATCH(G274,'ei names mapping'!$B$3:$BK$3,0))</f>
        <v>Hexane</v>
      </c>
      <c r="B274" s="15">
        <f>INDEX('vehicles specifications'!$B$3:$CK$86,MATCH(B$232,'vehicles specifications'!$A$3:$A$86,0),MATCH(G274,'vehicles specifications'!$B$2:$CK$2,0))*INDEX('ei names mapping'!$B$137:$BK$220,MATCH(B$232,'ei names mapping'!$A$137:$A$220,0),MATCH(G274,'ei names mapping'!$B$136:$BK$136,0))</f>
        <v>2.9588530253928191E-5</v>
      </c>
      <c r="C274" s="12"/>
      <c r="D274" s="12" t="str">
        <f>INDEX('ei names mapping'!$B$104:$BK$133,MATCH(B$229,'ei names mapping'!$A$4:$A$33,0),MATCH(G274,'ei names mapping'!$B$3:$BK$3,0))</f>
        <v>kilogram</v>
      </c>
      <c r="E274" s="12" t="str">
        <f>INDEX('ei names mapping'!$B$225:$BK$255,MATCH(B$229,'ei names mapping'!$A$4:$A$33,0),MATCH(G274,'ei names mapping'!$B$3:$BK$3,0))</f>
        <v>air</v>
      </c>
      <c r="F274" s="12" t="s">
        <v>173</v>
      </c>
      <c r="G274" s="12" t="s">
        <v>607</v>
      </c>
      <c r="H274" s="12"/>
    </row>
    <row r="275" spans="1:8" s="21" customFormat="1" x14ac:dyDescent="0.3">
      <c r="A275" s="12" t="str">
        <f>INDEX('ei names mapping'!$B$4:$BK$33,MATCH(B$229,'ei names mapping'!$A$4:$A$33,0),MATCH(G275,'ei names mapping'!$B$3:$BK$3,0))</f>
        <v>Cyclohexane</v>
      </c>
      <c r="B275" s="15">
        <f>INDEX('vehicles specifications'!$B$3:$CK$86,MATCH(B$232,'vehicles specifications'!$A$3:$A$86,0),MATCH(G275,'vehicles specifications'!$B$2:$CK$2,0))*INDEX('ei names mapping'!$B$137:$BK$220,MATCH(B$232,'ei names mapping'!$A$137:$A$220,0),MATCH(G275,'ei names mapping'!$B$136:$BK$136,0))</f>
        <v>2.0950884776073375E-5</v>
      </c>
      <c r="C275" s="12"/>
      <c r="D275" s="12" t="str">
        <f>INDEX('ei names mapping'!$B$104:$BK$133,MATCH(B$229,'ei names mapping'!$A$4:$A$33,0),MATCH(G275,'ei names mapping'!$B$3:$BK$3,0))</f>
        <v>kilogram</v>
      </c>
      <c r="E275" s="12" t="str">
        <f>INDEX('ei names mapping'!$B$225:$BK$255,MATCH(B$229,'ei names mapping'!$A$4:$A$33,0),MATCH(G275,'ei names mapping'!$B$3:$BK$3,0))</f>
        <v>air</v>
      </c>
      <c r="F275" s="12" t="s">
        <v>173</v>
      </c>
      <c r="G275" s="12" t="s">
        <v>608</v>
      </c>
      <c r="H275" s="12"/>
    </row>
    <row r="276" spans="1:8" s="21" customFormat="1" x14ac:dyDescent="0.3">
      <c r="A276" s="12" t="str">
        <f>INDEX('ei names mapping'!$B$4:$BK$33,MATCH(B$229,'ei names mapping'!$A$4:$A$33,0),MATCH(G276,'ei names mapping'!$B$3:$BK$3,0))</f>
        <v>Heptane</v>
      </c>
      <c r="B276" s="15">
        <f>INDEX('vehicles specifications'!$B$3:$CK$86,MATCH(B$232,'vehicles specifications'!$A$3:$A$86,0),MATCH(G276,'vehicles specifications'!$B$2:$CK$2,0))*INDEX('ei names mapping'!$B$137:$BK$220,MATCH(B$232,'ei names mapping'!$A$137:$A$220,0),MATCH(G276,'ei names mapping'!$B$136:$BK$136,0))</f>
        <v>1.3599697135345875E-5</v>
      </c>
      <c r="C276" s="12"/>
      <c r="D276" s="12" t="str">
        <f>INDEX('ei names mapping'!$B$104:$BK$133,MATCH(B$229,'ei names mapping'!$A$4:$A$33,0),MATCH(G276,'ei names mapping'!$B$3:$BK$3,0))</f>
        <v>kilogram</v>
      </c>
      <c r="E276" s="12" t="str">
        <f>INDEX('ei names mapping'!$B$225:$BK$255,MATCH(B$229,'ei names mapping'!$A$4:$A$33,0),MATCH(G276,'ei names mapping'!$B$3:$BK$3,0))</f>
        <v>air</v>
      </c>
      <c r="F276" s="12" t="s">
        <v>173</v>
      </c>
      <c r="G276" s="12" t="s">
        <v>609</v>
      </c>
      <c r="H276" s="12"/>
    </row>
    <row r="277" spans="1:8" s="21" customFormat="1" x14ac:dyDescent="0.3">
      <c r="A277" s="12" t="str">
        <f>INDEX('ei names mapping'!$B$4:$BK$33,MATCH(B$229,'ei names mapping'!$A$4:$A$33,0),MATCH(G277,'ei names mapping'!$B$3:$BK$3,0))</f>
        <v>Ethene</v>
      </c>
      <c r="B277" s="15">
        <f>INDEX('vehicles specifications'!$B$3:$CK$86,MATCH(B$232,'vehicles specifications'!$A$3:$A$86,0),MATCH(G277,'vehicles specifications'!$B$2:$CK$2,0))*INDEX('ei names mapping'!$B$137:$BK$220,MATCH(B$232,'ei names mapping'!$A$137:$A$220,0),MATCH(G277,'ei names mapping'!$B$136:$BK$136,0))</f>
        <v>1.3415917444327687E-4</v>
      </c>
      <c r="C277" s="12"/>
      <c r="D277" s="12" t="str">
        <f>INDEX('ei names mapping'!$B$104:$BK$133,MATCH(B$229,'ei names mapping'!$A$4:$A$33,0),MATCH(G277,'ei names mapping'!$B$3:$BK$3,0))</f>
        <v>kilogram</v>
      </c>
      <c r="E277" s="12" t="str">
        <f>INDEX('ei names mapping'!$B$225:$BK$255,MATCH(B$229,'ei names mapping'!$A$4:$A$33,0),MATCH(G277,'ei names mapping'!$B$3:$BK$3,0))</f>
        <v>air</v>
      </c>
      <c r="F277" s="12" t="s">
        <v>173</v>
      </c>
      <c r="G277" s="12" t="s">
        <v>610</v>
      </c>
      <c r="H277" s="12"/>
    </row>
    <row r="278" spans="1:8" s="21" customFormat="1" x14ac:dyDescent="0.3">
      <c r="A278" s="12" t="str">
        <f>INDEX('ei names mapping'!$B$4:$BK$33,MATCH(B$229,'ei names mapping'!$A$4:$A$33,0),MATCH(G278,'ei names mapping'!$B$3:$BK$3,0))</f>
        <v>Propene</v>
      </c>
      <c r="B278" s="15">
        <f>INDEX('vehicles specifications'!$B$3:$CK$86,MATCH(B$232,'vehicles specifications'!$A$3:$A$86,0),MATCH(G278,'vehicles specifications'!$B$2:$CK$2,0))*INDEX('ei names mapping'!$B$137:$BK$220,MATCH(B$232,'ei names mapping'!$A$137:$A$220,0),MATCH(G278,'ei names mapping'!$B$136:$BK$136,0))</f>
        <v>7.0203841968947625E-5</v>
      </c>
      <c r="C278" s="12"/>
      <c r="D278" s="12" t="str">
        <f>INDEX('ei names mapping'!$B$104:$BK$133,MATCH(B$229,'ei names mapping'!$A$4:$A$33,0),MATCH(G278,'ei names mapping'!$B$3:$BK$3,0))</f>
        <v>kilogram</v>
      </c>
      <c r="E278" s="12" t="str">
        <f>INDEX('ei names mapping'!$B$225:$BK$255,MATCH(B$229,'ei names mapping'!$A$4:$A$33,0),MATCH(G278,'ei names mapping'!$B$3:$BK$3,0))</f>
        <v>air</v>
      </c>
      <c r="F278" s="12" t="s">
        <v>173</v>
      </c>
      <c r="G278" s="12" t="s">
        <v>611</v>
      </c>
      <c r="H278" s="12"/>
    </row>
    <row r="279" spans="1:8" s="21" customFormat="1" x14ac:dyDescent="0.3">
      <c r="A279" s="12" t="str">
        <f>INDEX('ei names mapping'!$B$4:$BK$33,MATCH(B$229,'ei names mapping'!$A$4:$A$33,0),MATCH(G279,'ei names mapping'!$B$3:$BK$3,0))</f>
        <v>1-Pentene</v>
      </c>
      <c r="B279" s="15">
        <f>INDEX('vehicles specifications'!$B$3:$CK$86,MATCH(B$232,'vehicles specifications'!$A$3:$A$86,0),MATCH(G279,'vehicles specifications'!$B$2:$CK$2,0))*INDEX('ei names mapping'!$B$137:$BK$220,MATCH(B$232,'ei names mapping'!$A$137:$A$220,0),MATCH(G279,'ei names mapping'!$B$136:$BK$136,0))</f>
        <v>2.0215766012000624E-6</v>
      </c>
      <c r="C279" s="12"/>
      <c r="D279" s="12" t="str">
        <f>INDEX('ei names mapping'!$B$104:$BK$133,MATCH(B$229,'ei names mapping'!$A$4:$A$33,0),MATCH(G279,'ei names mapping'!$B$3:$BK$3,0))</f>
        <v>kilogram</v>
      </c>
      <c r="E279" s="12" t="str">
        <f>INDEX('ei names mapping'!$B$225:$BK$255,MATCH(B$229,'ei names mapping'!$A$4:$A$33,0),MATCH(G279,'ei names mapping'!$B$3:$BK$3,0))</f>
        <v>air</v>
      </c>
      <c r="F279" s="12" t="s">
        <v>173</v>
      </c>
      <c r="G279" s="12" t="s">
        <v>612</v>
      </c>
      <c r="H279" s="12"/>
    </row>
    <row r="280" spans="1:8" s="21" customFormat="1" x14ac:dyDescent="0.3">
      <c r="A280" s="12" t="str">
        <f>INDEX('ei names mapping'!$B$4:$BK$33,MATCH(B$229,'ei names mapping'!$A$4:$A$33,0),MATCH(G280,'ei names mapping'!$B$3:$BK$3,0))</f>
        <v>Toluene</v>
      </c>
      <c r="B280" s="15">
        <f>INDEX('vehicles specifications'!$B$3:$CK$86,MATCH(B$232,'vehicles specifications'!$A$3:$A$86,0),MATCH(G280,'vehicles specifications'!$B$2:$CK$2,0))*INDEX('ei names mapping'!$B$137:$BK$220,MATCH(B$232,'ei names mapping'!$A$137:$A$220,0),MATCH(G280,'ei names mapping'!$B$136:$BK$136,0))</f>
        <v>2.0179010073796986E-4</v>
      </c>
      <c r="C280" s="12"/>
      <c r="D280" s="12" t="str">
        <f>INDEX('ei names mapping'!$B$104:$BK$133,MATCH(B$229,'ei names mapping'!$A$4:$A$33,0),MATCH(G280,'ei names mapping'!$B$3:$BK$3,0))</f>
        <v>kilogram</v>
      </c>
      <c r="E280" s="12" t="str">
        <f>INDEX('ei names mapping'!$B$225:$BK$255,MATCH(B$229,'ei names mapping'!$A$4:$A$33,0),MATCH(G280,'ei names mapping'!$B$3:$BK$3,0))</f>
        <v>air</v>
      </c>
      <c r="F280" s="12" t="s">
        <v>173</v>
      </c>
      <c r="G280" s="12" t="s">
        <v>613</v>
      </c>
      <c r="H280" s="12"/>
    </row>
    <row r="281" spans="1:8" s="21" customFormat="1" x14ac:dyDescent="0.3">
      <c r="A281" s="12" t="str">
        <f>INDEX('ei names mapping'!$B$4:$BK$33,MATCH(B$229,'ei names mapping'!$A$4:$A$33,0),MATCH(G281,'ei names mapping'!$B$3:$BK$3,0))</f>
        <v>m-Xylene</v>
      </c>
      <c r="B281" s="15">
        <f>INDEX('vehicles specifications'!$B$3:$CK$86,MATCH(B$232,'vehicles specifications'!$A$3:$A$86,0),MATCH(G281,'vehicles specifications'!$B$2:$CK$2,0))*INDEX('ei names mapping'!$B$137:$BK$220,MATCH(B$232,'ei names mapping'!$A$137:$A$220,0),MATCH(G281,'ei names mapping'!$B$136:$BK$136,0))</f>
        <v>9.9792372222875822E-5</v>
      </c>
      <c r="C281" s="12"/>
      <c r="D281" s="12" t="str">
        <f>INDEX('ei names mapping'!$B$104:$BK$133,MATCH(B$229,'ei names mapping'!$A$4:$A$33,0),MATCH(G281,'ei names mapping'!$B$3:$BK$3,0))</f>
        <v>kilogram</v>
      </c>
      <c r="E281" s="12" t="str">
        <f>INDEX('ei names mapping'!$B$225:$BK$255,MATCH(B$229,'ei names mapping'!$A$4:$A$33,0),MATCH(G281,'ei names mapping'!$B$3:$BK$3,0))</f>
        <v>air</v>
      </c>
      <c r="F281" s="12" t="s">
        <v>173</v>
      </c>
      <c r="G281" s="12" t="s">
        <v>614</v>
      </c>
      <c r="H281" s="12"/>
    </row>
    <row r="282" spans="1:8" s="21" customFormat="1" x14ac:dyDescent="0.3">
      <c r="A282" s="12" t="str">
        <f>INDEX('ei names mapping'!$B$4:$BK$33,MATCH(B$229,'ei names mapping'!$A$4:$A$33,0),MATCH(G282,'ei names mapping'!$B$3:$BK$3,0))</f>
        <v>o-Xylene</v>
      </c>
      <c r="B282" s="15">
        <f>INDEX('vehicles specifications'!$B$3:$CK$86,MATCH(B$232,'vehicles specifications'!$A$3:$A$86,0),MATCH(G282,'vehicles specifications'!$B$2:$CK$2,0))*INDEX('ei names mapping'!$B$137:$BK$220,MATCH(B$232,'ei names mapping'!$A$137:$A$220,0),MATCH(G282,'ei names mapping'!$B$136:$BK$136,0))</f>
        <v>4.1534210170110372E-5</v>
      </c>
      <c r="C282" s="12"/>
      <c r="D282" s="12" t="str">
        <f>INDEX('ei names mapping'!$B$104:$BK$133,MATCH(B$229,'ei names mapping'!$A$4:$A$33,0),MATCH(G282,'ei names mapping'!$B$3:$BK$3,0))</f>
        <v>kilogram</v>
      </c>
      <c r="E282" s="12" t="str">
        <f>INDEX('ei names mapping'!$B$225:$BK$255,MATCH(B$229,'ei names mapping'!$A$4:$A$33,0),MATCH(G282,'ei names mapping'!$B$3:$BK$3,0))</f>
        <v>air</v>
      </c>
      <c r="F282" s="12" t="s">
        <v>173</v>
      </c>
      <c r="G282" s="12" t="s">
        <v>615</v>
      </c>
      <c r="H282" s="12"/>
    </row>
    <row r="283" spans="1:8" s="21" customFormat="1" x14ac:dyDescent="0.3">
      <c r="A283" s="12" t="str">
        <f>INDEX('ei names mapping'!$B$4:$BK$33,MATCH(B$229,'ei names mapping'!$A$4:$A$33,0),MATCH(G283,'ei names mapping'!$B$3:$BK$3,0))</f>
        <v>Formaldehyde</v>
      </c>
      <c r="B283" s="15">
        <f>INDEX('vehicles specifications'!$B$3:$CK$86,MATCH(B$232,'vehicles specifications'!$A$3:$A$86,0),MATCH(G283,'vehicles specifications'!$B$2:$CK$2,0))*INDEX('ei names mapping'!$B$137:$BK$220,MATCH(B$232,'ei names mapping'!$A$137:$A$220,0),MATCH(G283,'ei names mapping'!$B$136:$BK$136,0))</f>
        <v>3.1242547473091882E-5</v>
      </c>
      <c r="C283" s="12"/>
      <c r="D283" s="12" t="str">
        <f>INDEX('ei names mapping'!$B$104:$BK$133,MATCH(B$229,'ei names mapping'!$A$4:$A$33,0),MATCH(G283,'ei names mapping'!$B$3:$BK$3,0))</f>
        <v>kilogram</v>
      </c>
      <c r="E283" s="12" t="str">
        <f>INDEX('ei names mapping'!$B$225:$BK$255,MATCH(B$229,'ei names mapping'!$A$4:$A$33,0),MATCH(G283,'ei names mapping'!$B$3:$BK$3,0))</f>
        <v>air</v>
      </c>
      <c r="F283" s="12" t="s">
        <v>173</v>
      </c>
      <c r="G283" s="12" t="s">
        <v>616</v>
      </c>
      <c r="H283" s="12"/>
    </row>
    <row r="284" spans="1:8" s="21" customFormat="1" x14ac:dyDescent="0.3">
      <c r="A284" s="12" t="str">
        <f>INDEX('ei names mapping'!$B$4:$BK$33,MATCH(B$229,'ei names mapping'!$A$4:$A$33,0),MATCH(G284,'ei names mapping'!$B$3:$BK$3,0))</f>
        <v>Acetaldehyde</v>
      </c>
      <c r="B284" s="15">
        <f>INDEX('vehicles specifications'!$B$3:$CK$86,MATCH(B$232,'vehicles specifications'!$A$3:$A$86,0),MATCH(G284,'vehicles specifications'!$B$2:$CK$2,0))*INDEX('ei names mapping'!$B$137:$BK$220,MATCH(B$232,'ei names mapping'!$A$137:$A$220,0),MATCH(G284,'ei names mapping'!$B$136:$BK$136,0))</f>
        <v>1.3783476826364063E-5</v>
      </c>
      <c r="C284" s="12"/>
      <c r="D284" s="12" t="str">
        <f>INDEX('ei names mapping'!$B$104:$BK$133,MATCH(B$229,'ei names mapping'!$A$4:$A$33,0),MATCH(G284,'ei names mapping'!$B$3:$BK$3,0))</f>
        <v>kilogram</v>
      </c>
      <c r="E284" s="12" t="str">
        <f>INDEX('ei names mapping'!$B$225:$BK$255,MATCH(B$229,'ei names mapping'!$A$4:$A$33,0),MATCH(G284,'ei names mapping'!$B$3:$BK$3,0))</f>
        <v>air</v>
      </c>
      <c r="F284" s="12" t="s">
        <v>173</v>
      </c>
      <c r="G284" s="12" t="s">
        <v>617</v>
      </c>
      <c r="H284" s="12"/>
    </row>
    <row r="285" spans="1:8" s="21" customFormat="1" x14ac:dyDescent="0.3">
      <c r="A285" s="12" t="str">
        <f>INDEX('ei names mapping'!$B$4:$BK$33,MATCH(B$229,'ei names mapping'!$A$4:$A$33,0),MATCH(G285,'ei names mapping'!$B$3:$BK$3,0))</f>
        <v>Benzaldehyde</v>
      </c>
      <c r="B285" s="15">
        <f>INDEX('vehicles specifications'!$B$3:$CK$86,MATCH(B$232,'vehicles specifications'!$A$3:$A$86,0),MATCH(G285,'vehicles specifications'!$B$2:$CK$2,0))*INDEX('ei names mapping'!$B$137:$BK$220,MATCH(B$232,'ei names mapping'!$A$137:$A$220,0),MATCH(G285,'ei names mapping'!$B$136:$BK$136,0))</f>
        <v>4.0431532024001248E-6</v>
      </c>
      <c r="C285" s="12"/>
      <c r="D285" s="12" t="str">
        <f>INDEX('ei names mapping'!$B$104:$BK$133,MATCH(B$229,'ei names mapping'!$A$4:$A$33,0),MATCH(G285,'ei names mapping'!$B$3:$BK$3,0))</f>
        <v>kilogram</v>
      </c>
      <c r="E285" s="12" t="str">
        <f>INDEX('ei names mapping'!$B$225:$BK$255,MATCH(B$229,'ei names mapping'!$A$4:$A$33,0),MATCH(G285,'ei names mapping'!$B$3:$BK$3,0))</f>
        <v>air</v>
      </c>
      <c r="F285" s="12" t="s">
        <v>173</v>
      </c>
      <c r="G285" s="12" t="s">
        <v>618</v>
      </c>
      <c r="H285" s="12"/>
    </row>
    <row r="286" spans="1:8" s="21" customFormat="1" x14ac:dyDescent="0.3">
      <c r="A286" s="12" t="str">
        <f>INDEX('ei names mapping'!$B$4:$BK$33,MATCH(B$229,'ei names mapping'!$A$4:$A$33,0),MATCH(G286,'ei names mapping'!$B$3:$BK$3,0))</f>
        <v>Acetone</v>
      </c>
      <c r="B286" s="15">
        <f>INDEX('vehicles specifications'!$B$3:$CK$86,MATCH(B$232,'vehicles specifications'!$A$3:$A$86,0),MATCH(G286,'vehicles specifications'!$B$2:$CK$2,0))*INDEX('ei names mapping'!$B$137:$BK$220,MATCH(B$232,'ei names mapping'!$A$137:$A$220,0),MATCH(G286,'ei names mapping'!$B$136:$BK$136,0))</f>
        <v>1.1210561152109439E-5</v>
      </c>
      <c r="C286" s="12"/>
      <c r="D286" s="12" t="str">
        <f>INDEX('ei names mapping'!$B$104:$BK$133,MATCH(B$229,'ei names mapping'!$A$4:$A$33,0),MATCH(G286,'ei names mapping'!$B$3:$BK$3,0))</f>
        <v>kilogram</v>
      </c>
      <c r="E286" s="12" t="str">
        <f>INDEX('ei names mapping'!$B$225:$BK$255,MATCH(B$229,'ei names mapping'!$A$4:$A$33,0),MATCH(G286,'ei names mapping'!$B$3:$BK$3,0))</f>
        <v>air</v>
      </c>
      <c r="F286" s="12" t="s">
        <v>173</v>
      </c>
      <c r="G286" s="12" t="s">
        <v>619</v>
      </c>
      <c r="H286" s="12"/>
    </row>
    <row r="287" spans="1:8" s="21" customFormat="1" x14ac:dyDescent="0.3">
      <c r="A287" s="12" t="str">
        <f>INDEX('ei names mapping'!$B$4:$BK$33,MATCH(B$229,'ei names mapping'!$A$4:$A$33,0),MATCH(G287,'ei names mapping'!$B$3:$BK$3,0))</f>
        <v>Methyl ethyl ketone</v>
      </c>
      <c r="B287" s="15">
        <f>INDEX('vehicles specifications'!$B$3:$CK$86,MATCH(B$232,'vehicles specifications'!$A$3:$A$86,0),MATCH(G287,'vehicles specifications'!$B$2:$CK$2,0))*INDEX('ei names mapping'!$B$137:$BK$220,MATCH(B$232,'ei names mapping'!$A$137:$A$220,0),MATCH(G287,'ei names mapping'!$B$136:$BK$136,0))</f>
        <v>9.1889845509093757E-7</v>
      </c>
      <c r="C287" s="12"/>
      <c r="D287" s="12" t="str">
        <f>INDEX('ei names mapping'!$B$104:$BK$133,MATCH(B$229,'ei names mapping'!$A$4:$A$33,0),MATCH(G287,'ei names mapping'!$B$3:$BK$3,0))</f>
        <v>kilogram</v>
      </c>
      <c r="E287" s="12" t="str">
        <f>INDEX('ei names mapping'!$B$225:$BK$255,MATCH(B$229,'ei names mapping'!$A$4:$A$33,0),MATCH(G287,'ei names mapping'!$B$3:$BK$3,0))</f>
        <v>air</v>
      </c>
      <c r="F287" s="12" t="s">
        <v>173</v>
      </c>
      <c r="G287" s="12" t="s">
        <v>622</v>
      </c>
      <c r="H287" s="12"/>
    </row>
    <row r="288" spans="1:8" s="21" customFormat="1" x14ac:dyDescent="0.3">
      <c r="A288" s="12" t="str">
        <f>INDEX('ei names mapping'!$B$4:$BK$33,MATCH(B$229,'ei names mapping'!$A$4:$A$33,0),MATCH(G288,'ei names mapping'!$B$3:$BK$3,0))</f>
        <v>Acrolein</v>
      </c>
      <c r="B288" s="15">
        <f>INDEX('vehicles specifications'!$B$3:$CK$86,MATCH(B$232,'vehicles specifications'!$A$3:$A$86,0),MATCH(G288,'vehicles specifications'!$B$2:$CK$2,0))*INDEX('ei names mapping'!$B$137:$BK$220,MATCH(B$232,'ei names mapping'!$A$137:$A$220,0),MATCH(G288,'ei names mapping'!$B$136:$BK$136,0))</f>
        <v>3.4918141293455624E-6</v>
      </c>
      <c r="C288" s="12"/>
      <c r="D288" s="12" t="str">
        <f>INDEX('ei names mapping'!$B$104:$BK$133,MATCH(B$229,'ei names mapping'!$A$4:$A$33,0),MATCH(G288,'ei names mapping'!$B$3:$BK$3,0))</f>
        <v>kilogram</v>
      </c>
      <c r="E288" s="12" t="str">
        <f>INDEX('ei names mapping'!$B$225:$BK$255,MATCH(B$229,'ei names mapping'!$A$4:$A$33,0),MATCH(G288,'ei names mapping'!$B$3:$BK$3,0))</f>
        <v>air</v>
      </c>
      <c r="F288" s="12" t="s">
        <v>173</v>
      </c>
      <c r="G288" s="12" t="s">
        <v>620</v>
      </c>
      <c r="H288" s="12"/>
    </row>
    <row r="289" spans="1:8" s="21" customFormat="1" x14ac:dyDescent="0.3">
      <c r="A289" s="12" t="str">
        <f>INDEX('ei names mapping'!$B$4:$BK$33,MATCH(B$229,'ei names mapping'!$A$4:$A$33,0),MATCH(G289,'ei names mapping'!$B$3:$BK$3,0))</f>
        <v>Styrene</v>
      </c>
      <c r="B289" s="15">
        <f>INDEX('vehicles specifications'!$B$3:$CK$86,MATCH(B$232,'vehicles specifications'!$A$3:$A$86,0),MATCH(G289,'vehicles specifications'!$B$2:$CK$2,0))*INDEX('ei names mapping'!$B$137:$BK$220,MATCH(B$232,'ei names mapping'!$A$137:$A$220,0),MATCH(G289,'ei names mapping'!$B$136:$BK$136,0))</f>
        <v>1.8561748792836937E-5</v>
      </c>
      <c r="C289" s="12"/>
      <c r="D289" s="12" t="str">
        <f>INDEX('ei names mapping'!$B$104:$BK$133,MATCH(B$229,'ei names mapping'!$A$4:$A$33,0),MATCH(G289,'ei names mapping'!$B$3:$BK$3,0))</f>
        <v>kilogram</v>
      </c>
      <c r="E289" s="12" t="str">
        <f>INDEX('ei names mapping'!$B$225:$BK$255,MATCH(B$229,'ei names mapping'!$A$4:$A$33,0),MATCH(G289,'ei names mapping'!$B$3:$BK$3,0))</f>
        <v>air</v>
      </c>
      <c r="F289" s="12" t="s">
        <v>173</v>
      </c>
      <c r="G289" s="12" t="s">
        <v>621</v>
      </c>
      <c r="H289" s="12"/>
    </row>
    <row r="290" spans="1:8" s="21" customFormat="1" x14ac:dyDescent="0.3">
      <c r="A290" s="12" t="str">
        <f>INDEX('ei names mapping'!$B$4:$BK$33,MATCH(B$229,'ei names mapping'!$A$4:$A$33,0),MATCH(G290,'ei names mapping'!$B$3:$BK$3,0))</f>
        <v>PAH, polycyclic aromatic hydrocarbons</v>
      </c>
      <c r="B290" s="15">
        <f>INDEX('vehicles specifications'!$B$3:$CK$86,MATCH(B$232,'vehicles specifications'!$A$3:$A$86,0),MATCH(G290,'vehicles specifications'!$B$2:$CK$2,0))*INDEX('ei names mapping'!$B$137:$BK$220,MATCH(B$232,'ei names mapping'!$A$137:$A$220,0),MATCH(G290,'ei names mapping'!$B$136:$BK$136,0))</f>
        <v>2.9214674238634691E-8</v>
      </c>
      <c r="C290" s="12"/>
      <c r="D290" s="12" t="str">
        <f>INDEX('ei names mapping'!$B$104:$BK$133,MATCH(B$229,'ei names mapping'!$A$4:$A$33,0),MATCH(G290,'ei names mapping'!$B$3:$BK$3,0))</f>
        <v>kilogram</v>
      </c>
      <c r="E290" s="12" t="str">
        <f>INDEX('ei names mapping'!$B$225:$BK$255,MATCH(B$229,'ei names mapping'!$A$4:$A$33,0),MATCH(G290,'ei names mapping'!$B$3:$BK$3,0))</f>
        <v>air</v>
      </c>
      <c r="F290" s="12" t="s">
        <v>173</v>
      </c>
      <c r="G290" s="12" t="s">
        <v>623</v>
      </c>
      <c r="H290" s="12"/>
    </row>
    <row r="291" spans="1:8" s="21" customFormat="1" x14ac:dyDescent="0.3">
      <c r="A291" s="12" t="str">
        <f>INDEX('ei names mapping'!$B$4:$BK$33,MATCH(B$229,'ei names mapping'!$A$4:$A$33,0),MATCH(G291,'ei names mapping'!$B$3:$BK$3,0))</f>
        <v>Arsenic</v>
      </c>
      <c r="B291" s="15">
        <f>INDEX('vehicles specifications'!$B$3:$CK$86,MATCH(B$232,'vehicles specifications'!$A$3:$A$86,0),MATCH(G291,'vehicles specifications'!$B$2:$CK$2,0))*INDEX('ei names mapping'!$B$137:$BK$220,MATCH(B$232,'ei names mapping'!$A$137:$A$220,0),MATCH(G291,'ei names mapping'!$B$136:$BK$136,0))</f>
        <v>2.5185063998823007E-10</v>
      </c>
      <c r="C291" s="12"/>
      <c r="D291" s="12" t="str">
        <f>INDEX('ei names mapping'!$B$104:$BK$133,MATCH(B$229,'ei names mapping'!$A$4:$A$33,0),MATCH(G291,'ei names mapping'!$B$3:$BK$3,0))</f>
        <v>kilogram</v>
      </c>
      <c r="E291" s="12" t="str">
        <f>INDEX('ei names mapping'!$B$225:$BK$255,MATCH(B$229,'ei names mapping'!$A$4:$A$33,0),MATCH(G291,'ei names mapping'!$B$3:$BK$3,0))</f>
        <v>air</v>
      </c>
      <c r="F291" s="12" t="s">
        <v>173</v>
      </c>
      <c r="G291" s="12" t="s">
        <v>624</v>
      </c>
      <c r="H291" s="12"/>
    </row>
    <row r="292" spans="1:8" s="21" customFormat="1" x14ac:dyDescent="0.3">
      <c r="A292" s="12" t="str">
        <f>INDEX('ei names mapping'!$B$4:$BK$33,MATCH(B$229,'ei names mapping'!$A$4:$A$33,0),MATCH(G292,'ei names mapping'!$B$3:$BK$3,0))</f>
        <v>Selenium</v>
      </c>
      <c r="B292" s="15">
        <f>INDEX('vehicles specifications'!$B$3:$CK$86,MATCH(B$232,'vehicles specifications'!$A$3:$A$86,0),MATCH(G292,'vehicles specifications'!$B$2:$CK$2,0))*INDEX('ei names mapping'!$B$137:$BK$220,MATCH(B$232,'ei names mapping'!$A$137:$A$220,0),MATCH(G292,'ei names mapping'!$B$136:$BK$136,0))</f>
        <v>1.6790042665882005E-10</v>
      </c>
      <c r="C292" s="12"/>
      <c r="D292" s="12" t="str">
        <f>INDEX('ei names mapping'!$B$104:$BK$133,MATCH(B$229,'ei names mapping'!$A$4:$A$33,0),MATCH(G292,'ei names mapping'!$B$3:$BK$3,0))</f>
        <v>kilogram</v>
      </c>
      <c r="E292" s="12" t="str">
        <f>INDEX('ei names mapping'!$B$225:$BK$255,MATCH(B$229,'ei names mapping'!$A$4:$A$33,0),MATCH(G292,'ei names mapping'!$B$3:$BK$3,0))</f>
        <v>air</v>
      </c>
      <c r="F292" s="12" t="s">
        <v>173</v>
      </c>
      <c r="G292" s="12" t="s">
        <v>625</v>
      </c>
      <c r="H292" s="12"/>
    </row>
    <row r="293" spans="1:8" s="21" customFormat="1" x14ac:dyDescent="0.3">
      <c r="A293" s="12" t="str">
        <f>INDEX('ei names mapping'!$B$4:$BK$33,MATCH(B$229,'ei names mapping'!$A$4:$A$33,0),MATCH(G293,'ei names mapping'!$B$3:$BK$3,0))</f>
        <v>Zinc</v>
      </c>
      <c r="B293" s="15">
        <f>INDEX('vehicles specifications'!$B$3:$CK$86,MATCH(B$232,'vehicles specifications'!$A$3:$A$86,0),MATCH(G293,'vehicles specifications'!$B$2:$CK$2,0))*INDEX('ei names mapping'!$B$137:$BK$220,MATCH(B$232,'ei names mapping'!$A$137:$A$220,0),MATCH(G293,'ei names mapping'!$B$136:$BK$136,0))</f>
        <v>1.8133246079152567E-6</v>
      </c>
      <c r="C293" s="12"/>
      <c r="D293" s="12" t="str">
        <f>INDEX('ei names mapping'!$B$104:$BK$133,MATCH(B$229,'ei names mapping'!$A$4:$A$33,0),MATCH(G293,'ei names mapping'!$B$3:$BK$3,0))</f>
        <v>kilogram</v>
      </c>
      <c r="E293" s="12" t="str">
        <f>INDEX('ei names mapping'!$B$225:$BK$255,MATCH(B$229,'ei names mapping'!$A$4:$A$33,0),MATCH(G293,'ei names mapping'!$B$3:$BK$3,0))</f>
        <v>air</v>
      </c>
      <c r="F293" s="12" t="s">
        <v>173</v>
      </c>
      <c r="G293" s="12" t="s">
        <v>626</v>
      </c>
      <c r="H293" s="12"/>
    </row>
    <row r="294" spans="1:8" s="21" customFormat="1" x14ac:dyDescent="0.3">
      <c r="A294" s="12" t="str">
        <f>INDEX('ei names mapping'!$B$4:$BK$33,MATCH(B$229,'ei names mapping'!$A$4:$A$33,0),MATCH(G294,'ei names mapping'!$B$3:$BK$3,0))</f>
        <v>Copper</v>
      </c>
      <c r="B294" s="15">
        <f>INDEX('vehicles specifications'!$B$3:$CK$86,MATCH(B$232,'vehicles specifications'!$A$3:$A$86,0),MATCH(G294,'vehicles specifications'!$B$2:$CK$2,0))*INDEX('ei names mapping'!$B$137:$BK$220,MATCH(B$232,'ei names mapping'!$A$137:$A$220,0),MATCH(G294,'ei names mapping'!$B$136:$BK$136,0))</f>
        <v>3.525908959835221E-8</v>
      </c>
      <c r="C294" s="12"/>
      <c r="D294" s="12" t="str">
        <f>INDEX('ei names mapping'!$B$104:$BK$133,MATCH(B$229,'ei names mapping'!$A$4:$A$33,0),MATCH(G294,'ei names mapping'!$B$3:$BK$3,0))</f>
        <v>kilogram</v>
      </c>
      <c r="E294" s="12" t="str">
        <f>INDEX('ei names mapping'!$B$225:$BK$255,MATCH(B$229,'ei names mapping'!$A$4:$A$33,0),MATCH(G294,'ei names mapping'!$B$3:$BK$3,0))</f>
        <v>air</v>
      </c>
      <c r="F294" s="12" t="s">
        <v>173</v>
      </c>
      <c r="G294" s="12" t="s">
        <v>581</v>
      </c>
      <c r="H294" s="12"/>
    </row>
    <row r="295" spans="1:8" s="21" customFormat="1" x14ac:dyDescent="0.3">
      <c r="A295" s="12" t="str">
        <f>INDEX('ei names mapping'!$B$4:$BK$33,MATCH(B$229,'ei names mapping'!$A$4:$A$33,0),MATCH(G295,'ei names mapping'!$B$3:$BK$3,0))</f>
        <v>Nickel</v>
      </c>
      <c r="B295" s="15">
        <f>INDEX('vehicles specifications'!$B$3:$CK$86,MATCH(B$232,'vehicles specifications'!$A$3:$A$86,0),MATCH(G295,'vehicles specifications'!$B$2:$CK$2,0))*INDEX('ei names mapping'!$B$137:$BK$220,MATCH(B$232,'ei names mapping'!$A$137:$A$220,0),MATCH(G295,'ei names mapping'!$B$136:$BK$136,0))</f>
        <v>1.0913527732823304E-8</v>
      </c>
      <c r="C295" s="12"/>
      <c r="D295" s="12" t="str">
        <f>INDEX('ei names mapping'!$B$104:$BK$133,MATCH(B$229,'ei names mapping'!$A$4:$A$33,0),MATCH(G295,'ei names mapping'!$B$3:$BK$3,0))</f>
        <v>kilogram</v>
      </c>
      <c r="E295" s="12" t="str">
        <f>INDEX('ei names mapping'!$B$225:$BK$255,MATCH(B$229,'ei names mapping'!$A$4:$A$33,0),MATCH(G295,'ei names mapping'!$B$3:$BK$3,0))</f>
        <v>air</v>
      </c>
      <c r="F295" s="12" t="s">
        <v>173</v>
      </c>
      <c r="G295" s="12" t="s">
        <v>583</v>
      </c>
      <c r="H295" s="12"/>
    </row>
    <row r="296" spans="1:8" s="21" customFormat="1" x14ac:dyDescent="0.3">
      <c r="A296" s="12" t="str">
        <f>INDEX('ei names mapping'!$B$4:$BK$33,MATCH(B$229,'ei names mapping'!$A$4:$A$33,0),MATCH(G296,'ei names mapping'!$B$3:$BK$3,0))</f>
        <v>Chromium</v>
      </c>
      <c r="B296" s="15">
        <f>INDEX('vehicles specifications'!$B$3:$CK$86,MATCH(B$232,'vehicles specifications'!$A$3:$A$86,0),MATCH(G296,'vehicles specifications'!$B$2:$CK$2,0))*INDEX('ei names mapping'!$B$137:$BK$220,MATCH(B$232,'ei names mapping'!$A$137:$A$220,0),MATCH(G296,'ei names mapping'!$B$136:$BK$136,0))</f>
        <v>1.3432034132705608E-8</v>
      </c>
      <c r="C296" s="12"/>
      <c r="D296" s="12" t="str">
        <f>INDEX('ei names mapping'!$B$104:$BK$133,MATCH(B$229,'ei names mapping'!$A$4:$A$33,0),MATCH(G296,'ei names mapping'!$B$3:$BK$3,0))</f>
        <v>kilogram</v>
      </c>
      <c r="E296" s="12" t="str">
        <f>INDEX('ei names mapping'!$B$225:$BK$255,MATCH(B$229,'ei names mapping'!$A$4:$A$33,0),MATCH(G296,'ei names mapping'!$B$3:$BK$3,0))</f>
        <v>air</v>
      </c>
      <c r="F296" s="12" t="s">
        <v>173</v>
      </c>
      <c r="G296" s="12" t="s">
        <v>582</v>
      </c>
      <c r="H296" s="12"/>
    </row>
    <row r="297" spans="1:8" s="21" customFormat="1" x14ac:dyDescent="0.3">
      <c r="A297" s="12" t="str">
        <f>INDEX('ei names mapping'!$B$4:$BK$33,MATCH(B$229,'ei names mapping'!$A$4:$A$33,0),MATCH(G297,'ei names mapping'!$B$3:$BK$3,0))</f>
        <v>Chromium VI</v>
      </c>
      <c r="B297" s="15">
        <f>INDEX('vehicles specifications'!$B$3:$CK$86,MATCH(B$232,'vehicles specifications'!$A$3:$A$86,0),MATCH(G297,'vehicles specifications'!$B$2:$CK$2,0))*INDEX('ei names mapping'!$B$137:$BK$220,MATCH(B$232,'ei names mapping'!$A$137:$A$220,0),MATCH(G297,'ei names mapping'!$B$136:$BK$136,0))</f>
        <v>2.6864068265411208E-11</v>
      </c>
      <c r="C297" s="12"/>
      <c r="D297" s="12" t="str">
        <f>INDEX('ei names mapping'!$B$104:$BK$133,MATCH(B$229,'ei names mapping'!$A$4:$A$33,0),MATCH(G297,'ei names mapping'!$B$3:$BK$3,0))</f>
        <v>kilogram</v>
      </c>
      <c r="E297" s="12" t="str">
        <f>INDEX('ei names mapping'!$B$225:$BK$255,MATCH(B$229,'ei names mapping'!$A$4:$A$33,0),MATCH(G297,'ei names mapping'!$B$3:$BK$3,0))</f>
        <v>air</v>
      </c>
      <c r="F297" s="12" t="s">
        <v>173</v>
      </c>
      <c r="G297" s="12" t="s">
        <v>629</v>
      </c>
      <c r="H297" s="12"/>
    </row>
    <row r="298" spans="1:8" s="21" customFormat="1" x14ac:dyDescent="0.3">
      <c r="A298" s="12" t="str">
        <f>INDEX('ei names mapping'!$B$4:$BK$33,MATCH(B$229,'ei names mapping'!$A$4:$A$33,0),MATCH(G298,'ei names mapping'!$B$3:$BK$3,0))</f>
        <v>Mercury</v>
      </c>
      <c r="B298" s="15">
        <f>INDEX('vehicles specifications'!$B$3:$CK$86,MATCH(B$232,'vehicles specifications'!$A$3:$A$86,0),MATCH(G298,'vehicles specifications'!$B$2:$CK$2,0))*INDEX('ei names mapping'!$B$137:$BK$220,MATCH(B$232,'ei names mapping'!$A$137:$A$220,0),MATCH(G298,'ei names mapping'!$B$136:$BK$136,0))</f>
        <v>7.3036685596586727E-9</v>
      </c>
      <c r="C298" s="12"/>
      <c r="D298" s="12" t="str">
        <f>INDEX('ei names mapping'!$B$104:$BK$133,MATCH(B$229,'ei names mapping'!$A$4:$A$33,0),MATCH(G298,'ei names mapping'!$B$3:$BK$3,0))</f>
        <v>kilogram</v>
      </c>
      <c r="E298" s="12" t="str">
        <f>INDEX('ei names mapping'!$B$225:$BK$255,MATCH(B$229,'ei names mapping'!$A$4:$A$33,0),MATCH(G298,'ei names mapping'!$B$3:$BK$3,0))</f>
        <v>air</v>
      </c>
      <c r="F298" s="12" t="s">
        <v>173</v>
      </c>
      <c r="G298" s="12" t="s">
        <v>627</v>
      </c>
      <c r="H298" s="12"/>
    </row>
    <row r="299" spans="1:8" s="21" customFormat="1" x14ac:dyDescent="0.3">
      <c r="A299" s="12" t="str">
        <f>INDEX('ei names mapping'!$B$4:$BK$33,MATCH(B$229,'ei names mapping'!$A$4:$A$33,0),MATCH(G299,'ei names mapping'!$B$3:$BK$3,0))</f>
        <v>Cadmium</v>
      </c>
      <c r="B299" s="15">
        <f>INDEX('vehicles specifications'!$B$3:$CK$86,MATCH(B$232,'vehicles specifications'!$A$3:$A$86,0),MATCH(G299,'vehicles specifications'!$B$2:$CK$2,0))*INDEX('ei names mapping'!$B$137:$BK$220,MATCH(B$232,'ei names mapping'!$A$137:$A$220,0),MATCH(G299,'ei names mapping'!$B$136:$BK$136,0))</f>
        <v>9.0666230395762843E-9</v>
      </c>
      <c r="C299" s="12"/>
      <c r="D299" s="12" t="str">
        <f>INDEX('ei names mapping'!$B$104:$BK$133,MATCH(B$229,'ei names mapping'!$A$4:$A$33,0),MATCH(G299,'ei names mapping'!$B$3:$BK$3,0))</f>
        <v>kilogram</v>
      </c>
      <c r="E299" s="12" t="str">
        <f>INDEX('ei names mapping'!$B$225:$BK$255,MATCH(B$229,'ei names mapping'!$A$4:$A$33,0),MATCH(G299,'ei names mapping'!$B$3:$BK$3,0))</f>
        <v>air</v>
      </c>
      <c r="F299" s="12" t="s">
        <v>173</v>
      </c>
      <c r="G299" s="12" t="s">
        <v>628</v>
      </c>
      <c r="H299" s="12"/>
    </row>
    <row r="300" spans="1:8" x14ac:dyDescent="0.3">
      <c r="A300" s="12" t="str">
        <f>INDEX('ei names mapping'!$B$4:$BK$33,MATCH(B229,'ei names mapping'!$A$4:$A$33,0),MATCH(G300,'ei names mapping'!$B$3:$BK$3,0))</f>
        <v>treatment of road wear emissions, passenger car</v>
      </c>
      <c r="B300" s="16">
        <f>INDEX('vehicles specifications'!$B$3:$CK$86,MATCH(B232,'vehicles specifications'!$A$3:$A$86,0),MATCH(G300,'vehicles specifications'!$B$2:$CK$2,0))*INDEX('ei names mapping'!$B$137:$BK$220,MATCH(B232,'ei names mapping'!$A$137:$A$220,0),MATCH(G300,'ei names mapping'!$B$136:$BK$136,0))</f>
        <v>-6.0000000000000002E-6</v>
      </c>
      <c r="C300" s="12" t="str">
        <f>INDEX('ei names mapping'!$B$38:$BK$67,MATCH(B229,'ei names mapping'!$A$4:$A$33,0),MATCH(G300,'ei names mapping'!$B$3:$BK$3,0))</f>
        <v>RER</v>
      </c>
      <c r="D300" s="12" t="str">
        <f>INDEX('ei names mapping'!$B$104:$BK$133,MATCH(B229,'ei names mapping'!$A$4:$A$33,0),MATCH(G300,'ei names mapping'!$B$3:$BK$3,0))</f>
        <v>kilogram</v>
      </c>
      <c r="E300" s="12"/>
      <c r="F300" s="12" t="s">
        <v>91</v>
      </c>
      <c r="G300" t="s">
        <v>29</v>
      </c>
      <c r="H300" s="12" t="str">
        <f>INDEX('ei names mapping'!$B$71:$BK$100,MATCH(B229,'ei names mapping'!$A$4:$A$33,0),MATCH(G300,'ei names mapping'!$B$3:$BK$3,0))</f>
        <v>road wear emissions, passenger car</v>
      </c>
    </row>
    <row r="301" spans="1:8" x14ac:dyDescent="0.3">
      <c r="A301" s="12" t="str">
        <f>INDEX('ei names mapping'!$B$4:$BK$33,MATCH(B229,'ei names mapping'!$A$4:$A$33,0),MATCH(G301,'ei names mapping'!$B$3:$BK$3,0))</f>
        <v>treatment of tyre wear emissions, passenger car</v>
      </c>
      <c r="B301" s="16">
        <f>INDEX('vehicles specifications'!$B$3:$CK$86,MATCH(B232,'vehicles specifications'!$A$3:$A$86,0),MATCH(G301,'vehicles specifications'!$B$2:$CK$2,0))*INDEX('ei names mapping'!$B$137:$BK$220,MATCH(B232,'ei names mapping'!$A$137:$A$220,0),MATCH(G301,'ei names mapping'!$B$136:$BK$136,0))</f>
        <v>-5.8379999999999998E-6</v>
      </c>
      <c r="C301" s="12" t="str">
        <f>INDEX('ei names mapping'!$B$38:$BK$67,MATCH(B229,'ei names mapping'!$A$4:$A$33,0),MATCH(G301,'ei names mapping'!$B$3:$BK$3,0))</f>
        <v>RER</v>
      </c>
      <c r="D301" s="12" t="str">
        <f>INDEX('ei names mapping'!$B$104:$BK$133,MATCH(B229,'ei names mapping'!$A$4:$A$33,0),MATCH(G301,'ei names mapping'!$B$3:$BK$3,0))</f>
        <v>kilogram</v>
      </c>
      <c r="E301" s="12"/>
      <c r="F301" s="12" t="s">
        <v>91</v>
      </c>
      <c r="G301" t="s">
        <v>30</v>
      </c>
      <c r="H301" s="12" t="str">
        <f>INDEX('ei names mapping'!$B$71:$BK$100,MATCH(B229,'ei names mapping'!$A$4:$A$33,0),MATCH(G301,'ei names mapping'!$B$3:$BK$3,0))</f>
        <v>tyre wear emissions, passenger car</v>
      </c>
    </row>
    <row r="302" spans="1:8" x14ac:dyDescent="0.3">
      <c r="A302" s="12" t="str">
        <f>INDEX('ei names mapping'!$B$4:$BK$33,MATCH(B229,'ei names mapping'!$A$4:$A$33,0),MATCH(G302,'ei names mapping'!$B$3:$BK$3,0))</f>
        <v>treatment of brake wear emissions, passenger car</v>
      </c>
      <c r="B302" s="16">
        <f>INDEX('vehicles specifications'!$B$3:$CK$86,MATCH(B232,'vehicles specifications'!$A$3:$A$86,0),MATCH(G302,'vehicles specifications'!$B$2:$CK$2,0))*INDEX('ei names mapping'!$B$137:$BK$220,MATCH(B232,'ei names mapping'!$A$137:$A$220,0),MATCH(G302,'ei names mapping'!$B$136:$BK$136,0))</f>
        <v>-3.6740000000000003E-6</v>
      </c>
      <c r="C302" s="12" t="str">
        <f>INDEX('ei names mapping'!$B$38:$BK$67,MATCH(B229,'ei names mapping'!$A$4:$A$33,0),MATCH(G302,'ei names mapping'!$B$3:$BK$3,0))</f>
        <v>RER</v>
      </c>
      <c r="D302" s="12" t="str">
        <f>INDEX('ei names mapping'!$B$104:$BK$133,MATCH(B229,'ei names mapping'!$A$4:$A$33,0),MATCH(G302,'ei names mapping'!$B$3:$BK$3,0))</f>
        <v>kilogram</v>
      </c>
      <c r="E302" s="12"/>
      <c r="F302" s="12" t="s">
        <v>91</v>
      </c>
      <c r="G302" t="s">
        <v>31</v>
      </c>
      <c r="H302" s="12" t="str">
        <f>INDEX('ei names mapping'!$B$71:$BK$100,MATCH(B229,'ei names mapping'!$A$4:$A$33,0),MATCH(G302,'ei names mapping'!$B$3:$BK$3,0))</f>
        <v>brake wear emissions, passenger car</v>
      </c>
    </row>
    <row r="304" spans="1:8" ht="15.6" x14ac:dyDescent="0.3">
      <c r="A304" s="11" t="s">
        <v>72</v>
      </c>
      <c r="B304" s="9" t="str">
        <f>"transport, "&amp;B306&amp;", "&amp;B308</f>
        <v>transport, Moped, gasoline, &lt;4kW, EURO-4, 2016</v>
      </c>
    </row>
    <row r="305" spans="1:2" x14ac:dyDescent="0.3">
      <c r="A305" t="s">
        <v>73</v>
      </c>
      <c r="B305" t="s">
        <v>37</v>
      </c>
    </row>
    <row r="306" spans="1:2" x14ac:dyDescent="0.3">
      <c r="A306" t="s">
        <v>87</v>
      </c>
      <c r="B306" t="s">
        <v>646</v>
      </c>
    </row>
    <row r="307" spans="1:2" x14ac:dyDescent="0.3">
      <c r="A307" t="s">
        <v>88</v>
      </c>
      <c r="B307" s="12"/>
    </row>
    <row r="308" spans="1:2" x14ac:dyDescent="0.3">
      <c r="A308" t="s">
        <v>89</v>
      </c>
      <c r="B308" s="12">
        <v>2016</v>
      </c>
    </row>
    <row r="309" spans="1:2" x14ac:dyDescent="0.3">
      <c r="A309" t="s">
        <v>131</v>
      </c>
      <c r="B309" s="12" t="str">
        <f>B306&amp;" - "&amp;B308&amp;" - "&amp;B305</f>
        <v>Moped, gasoline, &lt;4kW, EURO-4 - 2016 - CH</v>
      </c>
    </row>
    <row r="310" spans="1:2" x14ac:dyDescent="0.3">
      <c r="A310" t="s">
        <v>74</v>
      </c>
      <c r="B310" s="12" t="str">
        <f>"transport, "&amp;B306</f>
        <v>transport, Moped, gasoline, &lt;4kW, EURO-4</v>
      </c>
    </row>
    <row r="311" spans="1:2" x14ac:dyDescent="0.3">
      <c r="A311" t="s">
        <v>75</v>
      </c>
      <c r="B311" t="s">
        <v>76</v>
      </c>
    </row>
    <row r="312" spans="1:2" x14ac:dyDescent="0.3">
      <c r="A312" t="s">
        <v>77</v>
      </c>
      <c r="B312" t="s">
        <v>172</v>
      </c>
    </row>
    <row r="313" spans="1:2" x14ac:dyDescent="0.3">
      <c r="A313" t="s">
        <v>79</v>
      </c>
      <c r="B313" t="s">
        <v>90</v>
      </c>
    </row>
    <row r="314" spans="1:2" x14ac:dyDescent="0.3">
      <c r="A314" t="s">
        <v>132</v>
      </c>
      <c r="B314">
        <f>INDEX('vehicles specifications'!$B$3:$CK$86,MATCH(B309,'vehicles specifications'!$A$3:$A$86,0),MATCH("Lifetime [km]",'vehicles specifications'!$B$2:$CK$2,0))</f>
        <v>33400</v>
      </c>
    </row>
    <row r="315" spans="1:2" x14ac:dyDescent="0.3">
      <c r="A315" t="s">
        <v>133</v>
      </c>
      <c r="B315">
        <f>INDEX('vehicles specifications'!$B$3:$CK$86,MATCH(B309,'vehicles specifications'!$A$3:$A$86,0),MATCH("Passengers [unit]",'vehicles specifications'!$B$2:$CK$2,0))</f>
        <v>1</v>
      </c>
    </row>
    <row r="316" spans="1:2" x14ac:dyDescent="0.3">
      <c r="A316" t="s">
        <v>134</v>
      </c>
      <c r="B316">
        <f>INDEX('vehicles specifications'!$B$3:$CK$86,MATCH(B309,'vehicles specifications'!$A$3:$A$86,0),MATCH("Servicing [unit]",'vehicles specifications'!$B$2:$CK$2,0))</f>
        <v>1</v>
      </c>
    </row>
    <row r="317" spans="1:2" x14ac:dyDescent="0.3">
      <c r="A317" t="s">
        <v>135</v>
      </c>
      <c r="B317">
        <f>INDEX('vehicles specifications'!$B$3:$CK$86,MATCH(B309,'vehicles specifications'!$A$3:$A$86,0),MATCH("Energy battery replacement [unit]",'vehicles specifications'!$B$2:$CK$2,0))</f>
        <v>0</v>
      </c>
    </row>
    <row r="318" spans="1:2" x14ac:dyDescent="0.3">
      <c r="A318" t="s">
        <v>136</v>
      </c>
      <c r="B318">
        <f>INDEX('vehicles specifications'!$B$3:$CK$86,MATCH(B309,'vehicles specifications'!$A$3:$A$86,0),MATCH("Annual kilometers [km]",'vehicles specifications'!$B$2:$CK$2,0))</f>
        <v>2553</v>
      </c>
    </row>
    <row r="319" spans="1:2" x14ac:dyDescent="0.3">
      <c r="A319" t="s">
        <v>137</v>
      </c>
      <c r="B319" s="2">
        <f>INDEX('vehicles specifications'!$B$3:$CK$86,MATCH(B309,'vehicles specifications'!$A$3:$A$86,0),MATCH("Curb mass [kg]",'vehicles specifications'!$B$2:$CK$2,0))</f>
        <v>63.83925</v>
      </c>
    </row>
    <row r="320" spans="1:2" x14ac:dyDescent="0.3">
      <c r="A320" t="s">
        <v>138</v>
      </c>
      <c r="B320">
        <f>INDEX('vehicles specifications'!$B$3:$CK$86,MATCH(B309,'vehicles specifications'!$A$3:$A$86,0),MATCH("Power [kW]",'vehicles specifications'!$B$2:$CK$2,0))</f>
        <v>2.5</v>
      </c>
    </row>
    <row r="321" spans="1:8" x14ac:dyDescent="0.3">
      <c r="A321" t="s">
        <v>139</v>
      </c>
      <c r="B321">
        <f>INDEX('vehicles specifications'!$B$3:$CK$86,MATCH(B309,'vehicles specifications'!$A$3:$A$86,0),MATCH("Energy battery mass [kg]",'vehicles specifications'!$B$2:$CK$2,0))</f>
        <v>0</v>
      </c>
    </row>
    <row r="322" spans="1:8" x14ac:dyDescent="0.3">
      <c r="A322" t="s">
        <v>140</v>
      </c>
      <c r="B322">
        <f>INDEX('vehicles specifications'!$B$3:$CK$86,MATCH(B309,'vehicles specifications'!$A$3:$A$86,0),MATCH("Electric energy available [kWh]",'vehicles specifications'!$B$2:$CK$2,0))</f>
        <v>0</v>
      </c>
    </row>
    <row r="323" spans="1:8" x14ac:dyDescent="0.3">
      <c r="A323" t="s">
        <v>143</v>
      </c>
      <c r="B323" s="2">
        <f>INDEX('vehicles specifications'!$B$3:$CK$86,MATCH(B309,'vehicles specifications'!$A$3:$A$86,0),MATCH("Oxydation energy stored [kWh]",'vehicles specifications'!$B$2:$CK$2,0))</f>
        <v>61.833333333333329</v>
      </c>
    </row>
    <row r="324" spans="1:8" x14ac:dyDescent="0.3">
      <c r="A324" t="s">
        <v>145</v>
      </c>
      <c r="B324">
        <f>INDEX('vehicles specifications'!$B$3:$CK$86,MATCH(B309,'vehicles specifications'!$A$3:$A$86,0),MATCH("Fuel mass [kg]",'vehicles specifications'!$B$2:$CK$2,0))</f>
        <v>5.25</v>
      </c>
    </row>
    <row r="325" spans="1:8" x14ac:dyDescent="0.3">
      <c r="A325" t="s">
        <v>141</v>
      </c>
      <c r="B325" s="2">
        <f>INDEX('vehicles specifications'!$B$3:$CK$86,MATCH(B309,'vehicles specifications'!$A$3:$A$86,0),MATCH("Range [km]",'vehicles specifications'!$B$2:$CK$2,0))</f>
        <v>267.8087298215803</v>
      </c>
    </row>
    <row r="326" spans="1:8" x14ac:dyDescent="0.3">
      <c r="A326" t="s">
        <v>142</v>
      </c>
      <c r="B326" t="str">
        <f>INDEX('vehicles specifications'!$B$3:$CK$86,MATCH(B309,'vehicles specifications'!$A$3:$A$86,0),MATCH("Emission standard",'vehicles specifications'!$B$2:$CK$2,0))</f>
        <v>EURO-4</v>
      </c>
    </row>
    <row r="327" spans="1:8" x14ac:dyDescent="0.3">
      <c r="A327" t="s">
        <v>144</v>
      </c>
      <c r="B327" s="6">
        <f>INDEX('vehicles specifications'!$B$3:$CK$86,MATCH(B309,'vehicles specifications'!$A$3:$A$86,0),MATCH("Lightweighting rate [%]",'vehicles specifications'!$B$2:$CK$2,0))</f>
        <v>-0.02</v>
      </c>
    </row>
    <row r="328" spans="1:8" x14ac:dyDescent="0.3">
      <c r="A328" t="s">
        <v>84</v>
      </c>
      <c r="B328" s="21"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Battery capacity: "&amp;ROUND(B322,1)&amp;" kWh. Battery mass: "&amp;ROUND(B321,1)&amp; " kg. Battery replacement throughout lifetime: "&amp;ROUND(B317,1)&amp;". Fuel tank capacity: "&amp;ROUND(B323,1)&amp;" kWh. Fuel mass: "&amp;ROUND(B324,1)&amp;" kg. Documentation: "&amp;Readmefirst!$B$2&amp;", "&amp;Readmefirst!$B$3&amp;". "&amp;B313</f>
        <v>Power: 2.5 kW. Lifetime: 33400 km. Annual kilometers: 2553 km. Number of passengers: 1. Curb mass: 63.8 kg. Lightweighting of glider: -2%. Emission standard: EURO-4. Service visits throughout lifetime: 1. Range: 268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9" spans="1:8" ht="15.6" x14ac:dyDescent="0.3">
      <c r="A329" s="11" t="s">
        <v>80</v>
      </c>
    </row>
    <row r="330" spans="1:8" x14ac:dyDescent="0.3">
      <c r="A330" t="s">
        <v>81</v>
      </c>
      <c r="B330" t="s">
        <v>82</v>
      </c>
      <c r="C330" t="s">
        <v>73</v>
      </c>
      <c r="D330" t="s">
        <v>77</v>
      </c>
      <c r="E330" t="s">
        <v>83</v>
      </c>
      <c r="F330" t="s">
        <v>75</v>
      </c>
      <c r="G330" t="s">
        <v>84</v>
      </c>
      <c r="H330" t="s">
        <v>74</v>
      </c>
    </row>
    <row r="331" spans="1:8" x14ac:dyDescent="0.3">
      <c r="A331" s="12" t="str">
        <f>B304</f>
        <v>transport, Moped, gasoline, &lt;4kW, EURO-4, 2016</v>
      </c>
      <c r="B331" s="12">
        <v>1</v>
      </c>
      <c r="C331" s="12" t="str">
        <f>B305</f>
        <v>CH</v>
      </c>
      <c r="D331" s="12" t="s">
        <v>172</v>
      </c>
      <c r="E331" s="12"/>
      <c r="F331" s="12" t="s">
        <v>85</v>
      </c>
      <c r="G331" s="12" t="s">
        <v>86</v>
      </c>
      <c r="H331" s="12" t="str">
        <f>B310</f>
        <v>transport, Moped, gasoline, &lt;4kW, EURO-4</v>
      </c>
    </row>
    <row r="332" spans="1:8" x14ac:dyDescent="0.3">
      <c r="A332" s="12" t="str">
        <f>RIGHT(A331,LEN(A331)-11)</f>
        <v>Moped, gasoline, &lt;4kW, EURO-4, 2016</v>
      </c>
      <c r="B332" s="12">
        <f>1/B314</f>
        <v>2.9940119760479042E-5</v>
      </c>
      <c r="C332" s="12" t="str">
        <f>B305</f>
        <v>CH</v>
      </c>
      <c r="D332" s="12" t="s">
        <v>77</v>
      </c>
      <c r="E332" s="12"/>
      <c r="F332" s="12" t="s">
        <v>91</v>
      </c>
      <c r="G332" s="12"/>
      <c r="H332" s="12" t="str">
        <f>RIGHT(H331,LEN(H331)-11)</f>
        <v>Moped, gasoline, &lt;4kW, EURO-4</v>
      </c>
    </row>
    <row r="333" spans="1:8" s="21" customFormat="1" x14ac:dyDescent="0.3">
      <c r="A333" s="12" t="str">
        <f>INDEX('ei names mapping'!$B$4:$R$33,MATCH(B306,'ei names mapping'!$A$4:$A$33,0),MATCH(G333,'ei names mapping'!$B$3:$R$3,0))</f>
        <v>road construction</v>
      </c>
      <c r="B333" s="16">
        <f>INDEX('vehicles specifications'!$B$3:$CK$86,MATCH(B309,'vehicles specifications'!$A$3:$A$86,0),MATCH(G333,'vehicles specifications'!$B$2:$CK$2,0))*INDEX('ei names mapping'!$B$137:$BK$220,MATCH(B309,'ei names mapping'!$A$137:$A$220,0),MATCH(G333,'ei names mapping'!$B$136:$BK$136,0))</f>
        <v>7.2945677249999991E-5</v>
      </c>
      <c r="C333" s="12" t="str">
        <f>INDEX('ei names mapping'!$B$38:$R$67,MATCH(B306,'ei names mapping'!$A$4:$A$33,0),MATCH(G333,'ei names mapping'!$B$3:$R$3,0))</f>
        <v>CH</v>
      </c>
      <c r="D333" s="12" t="str">
        <f>INDEX('ei names mapping'!$B$104:$BK$133,MATCH(B306,'ei names mapping'!$A$4:$A$33,0),MATCH(G333,'ei names mapping'!$B$3:$BK$3,0))</f>
        <v>meter-year</v>
      </c>
      <c r="E333" s="12"/>
      <c r="F333" s="12" t="s">
        <v>91</v>
      </c>
      <c r="G333" s="21" t="s">
        <v>108</v>
      </c>
      <c r="H333" s="12" t="str">
        <f>INDEX('ei names mapping'!$B$71:$BK$100,MATCH(B306,'ei names mapping'!$A$4:$A$33,0),MATCH(G333,'ei names mapping'!$B$3:$BK$3,0))</f>
        <v>road</v>
      </c>
    </row>
    <row r="334" spans="1:8" x14ac:dyDescent="0.3">
      <c r="A334" s="12" t="str">
        <f>INDEX('ei names mapping'!$B$4:$R$33,MATCH(B306,'ei names mapping'!$A$4:$A$33,0),MATCH(G334,'ei names mapping'!$B$3:$R$3,0))</f>
        <v>road maintenance</v>
      </c>
      <c r="B334" s="16">
        <f>INDEX('vehicles specifications'!$B$3:$CK$86,MATCH(B309,'vehicles specifications'!$A$3:$A$86,0),MATCH(G334,'vehicles specifications'!$B$2:$CK$2,0))*INDEX('ei names mapping'!$B$137:$BK$220,MATCH(B309,'ei names mapping'!$A$137:$A$220,0),MATCH(G334,'ei names mapping'!$B$136:$BK$136,0))</f>
        <v>1.2899999999999999E-3</v>
      </c>
      <c r="C334" s="12" t="str">
        <f>INDEX('ei names mapping'!$B$38:$R$67,MATCH(B306,'ei names mapping'!$A$4:$A$33,0),MATCH(G334,'ei names mapping'!$B$3:$R$3,0))</f>
        <v>CH</v>
      </c>
      <c r="D334" s="12" t="str">
        <f>INDEX('ei names mapping'!$B$104:$BK$133,MATCH(B306,'ei names mapping'!$A$4:$A$33,0),MATCH(G334,'ei names mapping'!$B$3:$BK$3,0))</f>
        <v>meter-year</v>
      </c>
      <c r="E334" s="12"/>
      <c r="F334" s="12" t="s">
        <v>91</v>
      </c>
      <c r="G334" t="s">
        <v>117</v>
      </c>
      <c r="H334" s="12" t="str">
        <f>INDEX('ei names mapping'!$B$71:$BK$100,MATCH(B306,'ei names mapping'!$A$4:$A$33,0),MATCH(G334,'ei names mapping'!$B$3:$BK$3,0))</f>
        <v>road maintenance</v>
      </c>
    </row>
    <row r="335" spans="1:8" x14ac:dyDescent="0.3">
      <c r="A335" s="12" t="str">
        <f>INDEX('ei names mapping'!$B$4:$R$33,MATCH(B306,'ei names mapping'!$A$4:$A$33,0),MATCH(G335,'ei names mapping'!$B$3:$R$3,0))</f>
        <v>maintenance, motor scooter</v>
      </c>
      <c r="B335" s="16">
        <f>INDEX('vehicles specifications'!$B$3:$CK$86,MATCH(B309,'vehicles specifications'!$A$3:$A$86,0),MATCH(G335,'vehicles specifications'!$B$2:$CK$2,0))*INDEX('ei names mapping'!$B$137:$BK$220,MATCH(B309,'ei names mapping'!$A$137:$A$220,0),MATCH(G335,'ei names mapping'!$B$136:$BK$136,0))</f>
        <v>2.9940119760479042E-5</v>
      </c>
      <c r="C335" s="12" t="str">
        <f>INDEX('ei names mapping'!$B$38:$BK$67,MATCH(B306,'ei names mapping'!$A$4:$A$33,0),MATCH(G335,'ei names mapping'!$B$3:$BK$3,0))</f>
        <v>CH</v>
      </c>
      <c r="D335" s="12" t="str">
        <f>INDEX('ei names mapping'!$B$104:$BK$133,MATCH(B306,'ei names mapping'!$A$4:$A$33,0),MATCH(G335,'ei names mapping'!$B$3:$BK$3,0))</f>
        <v>unit</v>
      </c>
      <c r="F335" s="12" t="s">
        <v>91</v>
      </c>
      <c r="G335" s="12" t="s">
        <v>123</v>
      </c>
      <c r="H335" s="12" t="str">
        <f>INDEX('ei names mapping'!$B$71:$BK$100,MATCH(B306,'ei names mapping'!$A$4:$A$33,0),MATCH(G335,'ei names mapping'!$B$3:$BK$3,0))</f>
        <v>maintenance, motor scooter</v>
      </c>
    </row>
    <row r="336" spans="1:8" x14ac:dyDescent="0.3">
      <c r="A336" s="12" t="str">
        <f>INDEX('ei names mapping'!$B$4:$R$33,MATCH(B306,'ei names mapping'!$A$4:$A$33,0),MATCH(G336,'ei names mapping'!$B$3:$R$3,0))</f>
        <v>petrol blending for two-stroke engines</v>
      </c>
      <c r="B336" s="16">
        <f>INDEX('vehicles specifications'!$B$3:$CK$86,MATCH(B309,'vehicles specifications'!$A$3:$A$86,0),MATCH(G336,'vehicles specifications'!$B$2:$CK$2,0))*INDEX('ei names mapping'!$B$137:$BK$220,MATCH(B309,'ei names mapping'!$A$137:$A$220,0),MATCH(G336,'ei names mapping'!$B$136:$BK$136,0))</f>
        <v>1.9603543183590984E-2</v>
      </c>
      <c r="C336" s="12" t="str">
        <f>INDEX('ei names mapping'!$B$38:$BK$67,MATCH(B306,'ei names mapping'!$A$4:$A$33,0),MATCH(G336,'ei names mapping'!$B$3:$BK$3,0))</f>
        <v>CH</v>
      </c>
      <c r="D336" s="12" t="str">
        <f>INDEX('ei names mapping'!$B$104:$BK$133,MATCH(B306,'ei names mapping'!$A$4:$A$33,0),MATCH(G336,'ei names mapping'!$B$3:$BK$3,0))</f>
        <v>kilogram</v>
      </c>
      <c r="F336" s="12" t="s">
        <v>91</v>
      </c>
      <c r="G336" s="12" t="s">
        <v>27</v>
      </c>
      <c r="H336" s="12" t="str">
        <f>INDEX('ei names mapping'!$B$71:$BK$100,MATCH(B306,'ei names mapping'!$A$4:$A$33,0),MATCH(G336,'ei names mapping'!$B$3:$BK$3,0))</f>
        <v>petrol, two-stroke blend</v>
      </c>
    </row>
    <row r="337" spans="1:8" x14ac:dyDescent="0.3">
      <c r="A337" s="12" t="str">
        <f>INDEX('ei names mapping'!$B$4:$BK$33,MATCH(B306,'ei names mapping'!$A$4:$A$33,0),MATCH(G337,'ei names mapping'!$B$3:$BK$3,0))</f>
        <v>Carbon dioxide, fossil</v>
      </c>
      <c r="B337" s="16">
        <f>INDEX('vehicles specifications'!$B$3:$CK$86,MATCH(B309,'vehicles specifications'!$A$3:$A$86,0),MATCH(G337,'vehicles specifications'!$B$2:$CK$2,0))*INDEX('ei names mapping'!$B$137:$BK$220,MATCH(B309,'ei names mapping'!$A$137:$A$220,0),MATCH(G337,'ei names mapping'!$B$136:$BK$136,0))</f>
        <v>6.2339267323819329E-2</v>
      </c>
      <c r="C337" s="12"/>
      <c r="D337" s="12" t="str">
        <f>INDEX('ei names mapping'!$B$104:$BK$133,MATCH(B306,'ei names mapping'!$A$4:$A$33,0),MATCH(G337,'ei names mapping'!$B$3:$BK$3,0))</f>
        <v>kilogram</v>
      </c>
      <c r="E337" s="12" t="str">
        <f>INDEX('ei names mapping'!$B$225:$BK$255,MATCH(B306,'ei names mapping'!$A$4:$A$33,0),MATCH(G337,'ei names mapping'!$B$3:$BK$3,0))</f>
        <v>air</v>
      </c>
      <c r="F337" s="12" t="s">
        <v>173</v>
      </c>
      <c r="G337" t="s">
        <v>67</v>
      </c>
      <c r="H337" s="12"/>
    </row>
    <row r="338" spans="1:8" x14ac:dyDescent="0.3">
      <c r="A338" s="12" t="str">
        <f>INDEX('ei names mapping'!$B$4:$BK$33,MATCH(B306,'ei names mapping'!$A$4:$A$33,0),MATCH(G338,'ei names mapping'!$B$3:$BK$3,0))</f>
        <v>Sulfur dioxide</v>
      </c>
      <c r="B338" s="15">
        <f>INDEX('vehicles specifications'!$B$3:$CK$86,MATCH(B309,'vehicles specifications'!$A$3:$A$86,0),MATCH(G338,'vehicles specifications'!$B$2:$CK$2,0))*INDEX('ei names mapping'!$B$137:$BK$220,MATCH(B309,'ei names mapping'!$A$137:$A$220,0),MATCH(G338,'ei names mapping'!$B$136:$BK$136,0))</f>
        <v>3.136566909374557E-7</v>
      </c>
      <c r="C338" s="12"/>
      <c r="D338" s="12" t="str">
        <f>INDEX('ei names mapping'!$B$104:$BK$133,MATCH(B306,'ei names mapping'!$A$4:$A$33,0),MATCH(G338,'ei names mapping'!$B$3:$BK$3,0))</f>
        <v>kilogram</v>
      </c>
      <c r="E338" s="12" t="str">
        <f>INDEX('ei names mapping'!$B$225:$BK$255,MATCH(B306,'ei names mapping'!$A$4:$A$33,0),MATCH(G338,'ei names mapping'!$B$3:$BK$3,0))</f>
        <v>air</v>
      </c>
      <c r="F338" s="12" t="s">
        <v>173</v>
      </c>
      <c r="G338" t="s">
        <v>68</v>
      </c>
      <c r="H338" s="12"/>
    </row>
    <row r="339" spans="1:8" x14ac:dyDescent="0.3">
      <c r="A339" s="12" t="str">
        <f>INDEX('ei names mapping'!$B$4:$BK$33,MATCH(B306,'ei names mapping'!$A$4:$A$33,0),MATCH(G339,'ei names mapping'!$B$3:$BK$3,0))</f>
        <v>Benzene</v>
      </c>
      <c r="B339" s="15">
        <f>INDEX('vehicles specifications'!$B$3:$CK$86,MATCH(B309,'vehicles specifications'!$A$3:$A$86,0),MATCH(G339,'vehicles specifications'!$B$2:$CK$2,0))*INDEX('ei names mapping'!$B$137:$BK$220,MATCH(B309,'ei names mapping'!$A$137:$A$220,0),MATCH(G339,'ei names mapping'!$B$136:$BK$136,0))</f>
        <v>5.0538174149900782E-5</v>
      </c>
      <c r="C339" s="12"/>
      <c r="D339" s="12" t="str">
        <f>INDEX('ei names mapping'!$B$104:$BK$133,MATCH(B306,'ei names mapping'!$A$4:$A$33,0),MATCH(G339,'ei names mapping'!$B$3:$BK$3,0))</f>
        <v>kilogram</v>
      </c>
      <c r="E339" s="12" t="str">
        <f>INDEX('ei names mapping'!$B$225:$BK$255,MATCH(B306,'ei names mapping'!$A$4:$A$33,0),MATCH(G339,'ei names mapping'!$B$3:$BK$3,0))</f>
        <v>air</v>
      </c>
      <c r="F339" s="12" t="s">
        <v>173</v>
      </c>
      <c r="G339" t="s">
        <v>56</v>
      </c>
      <c r="H339" s="12"/>
    </row>
    <row r="340" spans="1:8" x14ac:dyDescent="0.3">
      <c r="A340" s="12" t="str">
        <f>INDEX('ei names mapping'!$B$4:$BK$33,MATCH(B306,'ei names mapping'!$A$4:$A$33,0),MATCH(G340,'ei names mapping'!$B$3:$BK$3,0))</f>
        <v>Methane, fossil</v>
      </c>
      <c r="B340" s="15">
        <f>INDEX('vehicles specifications'!$B$3:$CK$86,MATCH(B309,'vehicles specifications'!$A$3:$A$86,0),MATCH(G340,'vehicles specifications'!$B$2:$CK$2,0))*INDEX('ei names mapping'!$B$137:$BK$220,MATCH(B309,'ei names mapping'!$A$137:$A$220,0),MATCH(G340,'ei names mapping'!$B$136:$BK$136,0))</f>
        <v>2.2915507072459244E-5</v>
      </c>
      <c r="C340" s="12"/>
      <c r="D340" s="12" t="str">
        <f>INDEX('ei names mapping'!$B$104:$BK$133,MATCH(B306,'ei names mapping'!$A$4:$A$33,0),MATCH(G340,'ei names mapping'!$B$3:$BK$3,0))</f>
        <v>kilogram</v>
      </c>
      <c r="E340" s="12" t="str">
        <f>INDEX('ei names mapping'!$B$225:$BK$255,MATCH(B306,'ei names mapping'!$A$4:$A$33,0),MATCH(G340,'ei names mapping'!$B$3:$BK$3,0))</f>
        <v>air</v>
      </c>
      <c r="F340" s="12" t="s">
        <v>173</v>
      </c>
      <c r="G340" t="s">
        <v>57</v>
      </c>
      <c r="H340" s="12"/>
    </row>
    <row r="341" spans="1:8" x14ac:dyDescent="0.3">
      <c r="A341" s="12" t="str">
        <f>INDEX('ei names mapping'!$B$4:$BK$33,MATCH(B306,'ei names mapping'!$A$4:$A$33,0),MATCH(G341,'ei names mapping'!$B$3:$BK$3,0))</f>
        <v>Carbon monoxide, fossil</v>
      </c>
      <c r="B341" s="15">
        <f>INDEX('vehicles specifications'!$B$3:$CK$86,MATCH(B309,'vehicles specifications'!$A$3:$A$86,0),MATCH(G341,'vehicles specifications'!$B$2:$CK$2,0))*INDEX('ei names mapping'!$B$137:$BK$220,MATCH(B309,'ei names mapping'!$A$137:$A$220,0),MATCH(G341,'ei names mapping'!$B$136:$BK$136,0))</f>
        <v>2.4230819782310601E-3</v>
      </c>
      <c r="C341" s="12"/>
      <c r="D341" s="12" t="str">
        <f>INDEX('ei names mapping'!$B$104:$BK$133,MATCH(B306,'ei names mapping'!$A$4:$A$33,0),MATCH(G341,'ei names mapping'!$B$3:$BK$3,0))</f>
        <v>kilogram</v>
      </c>
      <c r="E341" s="12" t="str">
        <f>INDEX('ei names mapping'!$B$225:$BK$255,MATCH(B306,'ei names mapping'!$A$4:$A$33,0),MATCH(G341,'ei names mapping'!$B$3:$BK$3,0))</f>
        <v>air</v>
      </c>
      <c r="F341" s="12" t="s">
        <v>173</v>
      </c>
      <c r="G341" t="s">
        <v>58</v>
      </c>
      <c r="H341" s="12"/>
    </row>
    <row r="342" spans="1:8" x14ac:dyDescent="0.3">
      <c r="A342" s="12" t="str">
        <f>INDEX('ei names mapping'!$B$4:$BK$33,MATCH(B306,'ei names mapping'!$A$4:$A$33,0),MATCH(G342,'ei names mapping'!$B$3:$BK$3,0))</f>
        <v>Dinitrogen monoxide</v>
      </c>
      <c r="B342" s="15">
        <f>INDEX('vehicles specifications'!$B$3:$CK$86,MATCH(B309,'vehicles specifications'!$A$3:$A$86,0),MATCH(G342,'vehicles specifications'!$B$2:$CK$2,0))*INDEX('ei names mapping'!$B$137:$BK$220,MATCH(B309,'ei names mapping'!$A$137:$A$220,0),MATCH(G342,'ei names mapping'!$B$136:$BK$136,0))</f>
        <v>1.1626335399522705E-6</v>
      </c>
      <c r="C342" s="12"/>
      <c r="D342" s="12" t="str">
        <f>INDEX('ei names mapping'!$B$104:$BK$133,MATCH(B306,'ei names mapping'!$A$4:$A$33,0),MATCH(G342,'ei names mapping'!$B$3:$BK$3,0))</f>
        <v>kilogram</v>
      </c>
      <c r="E342" s="12" t="str">
        <f>INDEX('ei names mapping'!$B$225:$BK$255,MATCH(B306,'ei names mapping'!$A$4:$A$33,0),MATCH(G342,'ei names mapping'!$B$3:$BK$3,0))</f>
        <v>air</v>
      </c>
      <c r="F342" s="12" t="s">
        <v>173</v>
      </c>
      <c r="G342" t="s">
        <v>59</v>
      </c>
      <c r="H342" s="12"/>
    </row>
    <row r="343" spans="1:8" x14ac:dyDescent="0.3">
      <c r="A343" s="12" t="str">
        <f>INDEX('ei names mapping'!$B$4:$BK$33,MATCH(B306,'ei names mapping'!$A$4:$A$33,0),MATCH(G343,'ei names mapping'!$B$3:$BK$3,0))</f>
        <v>Ammonia</v>
      </c>
      <c r="B343" s="15">
        <f>INDEX('vehicles specifications'!$B$3:$CK$86,MATCH(B309,'vehicles specifications'!$A$3:$A$86,0),MATCH(G343,'vehicles specifications'!$B$2:$CK$2,0))*INDEX('ei names mapping'!$B$137:$BK$220,MATCH(B309,'ei names mapping'!$A$137:$A$220,0),MATCH(G343,'ei names mapping'!$B$136:$BK$136,0))</f>
        <v>1.1626335399522705E-6</v>
      </c>
      <c r="C343" s="12"/>
      <c r="D343" s="12" t="str">
        <f>INDEX('ei names mapping'!$B$104:$BK$133,MATCH(B306,'ei names mapping'!$A$4:$A$33,0),MATCH(G343,'ei names mapping'!$B$3:$BK$3,0))</f>
        <v>kilogram</v>
      </c>
      <c r="E343" s="12" t="str">
        <f>INDEX('ei names mapping'!$B$225:$BK$255,MATCH(B306,'ei names mapping'!$A$4:$A$33,0),MATCH(G343,'ei names mapping'!$B$3:$BK$3,0))</f>
        <v>air</v>
      </c>
      <c r="F343" s="12" t="s">
        <v>173</v>
      </c>
      <c r="G343" t="s">
        <v>60</v>
      </c>
      <c r="H343" s="12"/>
    </row>
    <row r="344" spans="1:8" x14ac:dyDescent="0.3">
      <c r="A344" s="12" t="str">
        <f>INDEX('ei names mapping'!$B$4:$BK$33,MATCH(B306,'ei names mapping'!$A$4:$A$33,0),MATCH(G344,'ei names mapping'!$B$3:$BK$3,0))</f>
        <v>Nitrogen oxides</v>
      </c>
      <c r="B344" s="15">
        <f>INDEX('vehicles specifications'!$B$3:$CK$86,MATCH(B309,'vehicles specifications'!$A$3:$A$86,0),MATCH(G344,'vehicles specifications'!$B$2:$CK$2,0))*INDEX('ei names mapping'!$B$137:$BK$220,MATCH(B309,'ei names mapping'!$A$137:$A$220,0),MATCH(G344,'ei names mapping'!$B$136:$BK$136,0))</f>
        <v>8.7186713305431907E-5</v>
      </c>
      <c r="C344" s="12"/>
      <c r="D344" s="12" t="str">
        <f>INDEX('ei names mapping'!$B$104:$BK$133,MATCH(B306,'ei names mapping'!$A$4:$A$33,0),MATCH(G344,'ei names mapping'!$B$3:$BK$3,0))</f>
        <v>kilogram</v>
      </c>
      <c r="E344" s="12" t="str">
        <f>INDEX('ei names mapping'!$B$225:$BK$255,MATCH(B306,'ei names mapping'!$A$4:$A$33,0),MATCH(G344,'ei names mapping'!$B$3:$BK$3,0))</f>
        <v>air</v>
      </c>
      <c r="F344" s="12" t="s">
        <v>173</v>
      </c>
      <c r="G344" s="12" t="s">
        <v>61</v>
      </c>
      <c r="H344" s="12"/>
    </row>
    <row r="345" spans="1:8" x14ac:dyDescent="0.3">
      <c r="A345" s="12" t="str">
        <f>INDEX('ei names mapping'!$B$4:$BK$33,MATCH(B306,'ei names mapping'!$A$4:$A$33,0),MATCH(G345,'ei names mapping'!$B$3:$BK$3,0))</f>
        <v>Particulates, &lt; 2.5 um</v>
      </c>
      <c r="B345" s="15">
        <f>INDEX('vehicles specifications'!$B$3:$CK$86,MATCH(B$309,'vehicles specifications'!$A$3:$A$86,0),MATCH(G345,'vehicles specifications'!$B$2:$CK$2,0))*INDEX('ei names mapping'!$B$137:$BK$220,MATCH(B$309,'ei names mapping'!$A$137:$A$220,0),MATCH(G345,'ei names mapping'!$B$136:$BK$136,0))</f>
        <v>6.6770044199458891E-6</v>
      </c>
      <c r="C345" s="12"/>
      <c r="D345" s="12" t="str">
        <f>INDEX('ei names mapping'!$B$104:$BK$133,MATCH(B306,'ei names mapping'!$A$4:$A$33,0),MATCH(G345,'ei names mapping'!$B$3:$BK$3,0))</f>
        <v>kilogram</v>
      </c>
      <c r="E345" s="12" t="str">
        <f>INDEX('ei names mapping'!$B$225:$BK$255,MATCH(B306,'ei names mapping'!$A$4:$A$33,0),MATCH(G345,'ei names mapping'!$B$3:$BK$3,0))</f>
        <v>air</v>
      </c>
      <c r="F345" s="12" t="s">
        <v>173</v>
      </c>
      <c r="G345" s="12" t="s">
        <v>63</v>
      </c>
      <c r="H345" s="12"/>
    </row>
    <row r="346" spans="1:8" s="21" customFormat="1" x14ac:dyDescent="0.3">
      <c r="A346" s="12" t="str">
        <f>INDEX('ei names mapping'!$B$4:$BK$33,MATCH(B$229,'ei names mapping'!$A$4:$A$33,0),MATCH(G346,'ei names mapping'!$B$3:$BK$3,0))</f>
        <v>NMVOC, non-methane volatile organic compounds, unspecified origin</v>
      </c>
      <c r="B346" s="15">
        <f>INDEX('vehicles specifications'!$B$3:$CK$86,MATCH(B$309,'vehicles specifications'!$A$3:$A$86,0),MATCH(G346,'vehicles specifications'!$B$2:$CK$2,0))*INDEX('ei names mapping'!$B$137:$BK$220,MATCH(B$309,'ei names mapping'!$A$137:$A$220,0),MATCH(G346,'ei names mapping'!$B$136:$BK$136,0))</f>
        <v>4.0754848458850478E-4</v>
      </c>
      <c r="C346" s="12"/>
      <c r="D346" s="12" t="str">
        <f>INDEX('ei names mapping'!$B$104:$BK$133,MATCH(B$229,'ei names mapping'!$A$4:$A$33,0),MATCH(G346,'ei names mapping'!$B$3:$BK$3,0))</f>
        <v>kilogram</v>
      </c>
      <c r="E346" s="12" t="str">
        <f>INDEX('ei names mapping'!$B$225:$BK$255,MATCH(B$229,'ei names mapping'!$A$4:$A$33,0),MATCH(G346,'ei names mapping'!$B$3:$BK$3,0))</f>
        <v>air</v>
      </c>
      <c r="F346" s="12" t="s">
        <v>173</v>
      </c>
      <c r="G346" s="12" t="s">
        <v>659</v>
      </c>
      <c r="H346" s="12"/>
    </row>
    <row r="347" spans="1:8" s="21" customFormat="1" x14ac:dyDescent="0.3">
      <c r="A347" s="12" t="str">
        <f>INDEX('ei names mapping'!$B$4:$BK$33,MATCH(B$229,'ei names mapping'!$A$4:$A$33,0),MATCH(G347,'ei names mapping'!$B$3:$BK$3,0))</f>
        <v>Ethane</v>
      </c>
      <c r="B347" s="15">
        <f>INDEX('vehicles specifications'!$B$3:$CK$86,MATCH(B$309,'vehicles specifications'!$A$3:$A$86,0),MATCH(G347,'vehicles specifications'!$B$2:$CK$2,0))*INDEX('ei names mapping'!$B$137:$BK$220,MATCH(B$309,'ei names mapping'!$A$137:$A$220,0),MATCH(G347,'ei names mapping'!$B$136:$BK$136,0))</f>
        <v>2.873739314406123E-5</v>
      </c>
      <c r="C347" s="12"/>
      <c r="D347" s="12" t="str">
        <f>INDEX('ei names mapping'!$B$104:$BK$133,MATCH(B$229,'ei names mapping'!$A$4:$A$33,0),MATCH(G347,'ei names mapping'!$B$3:$BK$3,0))</f>
        <v>kilogram</v>
      </c>
      <c r="E347" s="12" t="str">
        <f>INDEX('ei names mapping'!$B$225:$BK$255,MATCH(B$229,'ei names mapping'!$A$4:$A$33,0),MATCH(G347,'ei names mapping'!$B$3:$BK$3,0))</f>
        <v>air</v>
      </c>
      <c r="F347" s="12" t="s">
        <v>173</v>
      </c>
      <c r="G347" s="12" t="s">
        <v>603</v>
      </c>
      <c r="H347" s="12"/>
    </row>
    <row r="348" spans="1:8" s="21" customFormat="1" x14ac:dyDescent="0.3">
      <c r="A348" s="12" t="str">
        <f>INDEX('ei names mapping'!$B$4:$BK$33,MATCH(B$229,'ei names mapping'!$A$4:$A$33,0),MATCH(G348,'ei names mapping'!$B$3:$BK$3,0))</f>
        <v>Propane</v>
      </c>
      <c r="B348" s="15">
        <f>INDEX('vehicles specifications'!$B$3:$CK$86,MATCH(B$309,'vehicles specifications'!$A$3:$A$86,0),MATCH(G348,'vehicles specifications'!$B$2:$CK$2,0))*INDEX('ei names mapping'!$B$137:$BK$220,MATCH(B$309,'ei names mapping'!$A$137:$A$220,0),MATCH(G348,'ei names mapping'!$B$136:$BK$136,0))</f>
        <v>5.8555816751221947E-6</v>
      </c>
      <c r="C348" s="12"/>
      <c r="D348" s="12" t="str">
        <f>INDEX('ei names mapping'!$B$104:$BK$133,MATCH(B$229,'ei names mapping'!$A$4:$A$33,0),MATCH(G348,'ei names mapping'!$B$3:$BK$3,0))</f>
        <v>kilogram</v>
      </c>
      <c r="E348" s="12" t="str">
        <f>INDEX('ei names mapping'!$B$225:$BK$255,MATCH(B$229,'ei names mapping'!$A$4:$A$33,0),MATCH(G348,'ei names mapping'!$B$3:$BK$3,0))</f>
        <v>air</v>
      </c>
      <c r="F348" s="12" t="s">
        <v>173</v>
      </c>
      <c r="G348" s="12" t="s">
        <v>604</v>
      </c>
      <c r="H348" s="12"/>
    </row>
    <row r="349" spans="1:8" s="21" customFormat="1" x14ac:dyDescent="0.3">
      <c r="A349" s="12" t="str">
        <f>INDEX('ei names mapping'!$B$4:$BK$33,MATCH(B$229,'ei names mapping'!$A$4:$A$33,0),MATCH(G349,'ei names mapping'!$B$3:$BK$3,0))</f>
        <v>Butane</v>
      </c>
      <c r="B349" s="15">
        <f>INDEX('vehicles specifications'!$B$3:$CK$86,MATCH(B$309,'vehicles specifications'!$A$3:$A$86,0),MATCH(G349,'vehicles specifications'!$B$2:$CK$2,0))*INDEX('ei names mapping'!$B$137:$BK$220,MATCH(B$309,'ei names mapping'!$A$137:$A$220,0),MATCH(G349,'ei names mapping'!$B$136:$BK$136,0))</f>
        <v>4.7204996888677385E-5</v>
      </c>
      <c r="C349" s="12"/>
      <c r="D349" s="12" t="str">
        <f>INDEX('ei names mapping'!$B$104:$BK$133,MATCH(B$229,'ei names mapping'!$A$4:$A$33,0),MATCH(G349,'ei names mapping'!$B$3:$BK$3,0))</f>
        <v>kilogram</v>
      </c>
      <c r="E349" s="12" t="str">
        <f>INDEX('ei names mapping'!$B$225:$BK$255,MATCH(B$229,'ei names mapping'!$A$4:$A$33,0),MATCH(G349,'ei names mapping'!$B$3:$BK$3,0))</f>
        <v>air</v>
      </c>
      <c r="F349" s="12" t="s">
        <v>173</v>
      </c>
      <c r="G349" s="12" t="s">
        <v>605</v>
      </c>
      <c r="H349" s="12"/>
    </row>
    <row r="350" spans="1:8" s="21" customFormat="1" x14ac:dyDescent="0.3">
      <c r="A350" s="12" t="str">
        <f>INDEX('ei names mapping'!$B$4:$BK$33,MATCH(B$229,'ei names mapping'!$A$4:$A$33,0),MATCH(G350,'ei names mapping'!$B$3:$BK$3,0))</f>
        <v>Pentane</v>
      </c>
      <c r="B350" s="15">
        <f>INDEX('vehicles specifications'!$B$3:$CK$86,MATCH(B$309,'vehicles specifications'!$A$3:$A$86,0),MATCH(G350,'vehicles specifications'!$B$2:$CK$2,0))*INDEX('ei names mapping'!$B$137:$BK$220,MATCH(B$309,'ei names mapping'!$A$137:$A$220,0),MATCH(G350,'ei names mapping'!$B$136:$BK$136,0))</f>
        <v>1.936846246386572E-5</v>
      </c>
      <c r="C350" s="12"/>
      <c r="D350" s="12" t="str">
        <f>INDEX('ei names mapping'!$B$104:$BK$133,MATCH(B$229,'ei names mapping'!$A$4:$A$33,0),MATCH(G350,'ei names mapping'!$B$3:$BK$3,0))</f>
        <v>kilogram</v>
      </c>
      <c r="E350" s="12" t="str">
        <f>INDEX('ei names mapping'!$B$225:$BK$255,MATCH(B$229,'ei names mapping'!$A$4:$A$33,0),MATCH(G350,'ei names mapping'!$B$3:$BK$3,0))</f>
        <v>air</v>
      </c>
      <c r="F350" s="12" t="s">
        <v>173</v>
      </c>
      <c r="G350" s="12" t="s">
        <v>606</v>
      </c>
      <c r="H350" s="12"/>
    </row>
    <row r="351" spans="1:8" s="21" customFormat="1" x14ac:dyDescent="0.3">
      <c r="A351" s="12" t="str">
        <f>INDEX('ei names mapping'!$B$4:$BK$33,MATCH(B$229,'ei names mapping'!$A$4:$A$33,0),MATCH(G351,'ei names mapping'!$B$3:$BK$3,0))</f>
        <v>Hexane</v>
      </c>
      <c r="B351" s="15">
        <f>INDEX('vehicles specifications'!$B$3:$CK$86,MATCH(B$309,'vehicles specifications'!$A$3:$A$86,0),MATCH(G351,'vehicles specifications'!$B$2:$CK$2,0))*INDEX('ei names mapping'!$B$137:$BK$220,MATCH(B$309,'ei names mapping'!$A$137:$A$220,0),MATCH(G351,'ei names mapping'!$B$136:$BK$136,0))</f>
        <v>1.4503825379918051E-5</v>
      </c>
      <c r="C351" s="12"/>
      <c r="D351" s="12" t="str">
        <f>INDEX('ei names mapping'!$B$104:$BK$133,MATCH(B$229,'ei names mapping'!$A$4:$A$33,0),MATCH(G351,'ei names mapping'!$B$3:$BK$3,0))</f>
        <v>kilogram</v>
      </c>
      <c r="E351" s="12" t="str">
        <f>INDEX('ei names mapping'!$B$225:$BK$255,MATCH(B$229,'ei names mapping'!$A$4:$A$33,0),MATCH(G351,'ei names mapping'!$B$3:$BK$3,0))</f>
        <v>air</v>
      </c>
      <c r="F351" s="12" t="s">
        <v>173</v>
      </c>
      <c r="G351" s="12" t="s">
        <v>607</v>
      </c>
      <c r="H351" s="12"/>
    </row>
    <row r="352" spans="1:8" s="21" customFormat="1" x14ac:dyDescent="0.3">
      <c r="A352" s="12" t="str">
        <f>INDEX('ei names mapping'!$B$4:$BK$33,MATCH(B$229,'ei names mapping'!$A$4:$A$33,0),MATCH(G352,'ei names mapping'!$B$3:$BK$3,0))</f>
        <v>Cyclohexane</v>
      </c>
      <c r="B352" s="15">
        <f>INDEX('vehicles specifications'!$B$3:$CK$86,MATCH(B$309,'vehicles specifications'!$A$3:$A$86,0),MATCH(G352,'vehicles specifications'!$B$2:$CK$2,0))*INDEX('ei names mapping'!$B$137:$BK$220,MATCH(B$309,'ei names mapping'!$A$137:$A$220,0),MATCH(G352,'ei names mapping'!$B$136:$BK$136,0))</f>
        <v>1.0269789399445079E-5</v>
      </c>
      <c r="C352" s="12"/>
      <c r="D352" s="12" t="str">
        <f>INDEX('ei names mapping'!$B$104:$BK$133,MATCH(B$229,'ei names mapping'!$A$4:$A$33,0),MATCH(G352,'ei names mapping'!$B$3:$BK$3,0))</f>
        <v>kilogram</v>
      </c>
      <c r="E352" s="12" t="str">
        <f>INDEX('ei names mapping'!$B$225:$BK$255,MATCH(B$229,'ei names mapping'!$A$4:$A$33,0),MATCH(G352,'ei names mapping'!$B$3:$BK$3,0))</f>
        <v>air</v>
      </c>
      <c r="F352" s="12" t="s">
        <v>173</v>
      </c>
      <c r="G352" s="12" t="s">
        <v>608</v>
      </c>
      <c r="H352" s="12"/>
    </row>
    <row r="353" spans="1:8" s="21" customFormat="1" x14ac:dyDescent="0.3">
      <c r="A353" s="12" t="str">
        <f>INDEX('ei names mapping'!$B$4:$BK$33,MATCH(B$229,'ei names mapping'!$A$4:$A$33,0),MATCH(G353,'ei names mapping'!$B$3:$BK$3,0))</f>
        <v>Heptane</v>
      </c>
      <c r="B353" s="15">
        <f>INDEX('vehicles specifications'!$B$3:$CK$86,MATCH(B$309,'vehicles specifications'!$A$3:$A$86,0),MATCH(G353,'vehicles specifications'!$B$2:$CK$2,0))*INDEX('ei names mapping'!$B$137:$BK$220,MATCH(B$309,'ei names mapping'!$A$137:$A$220,0),MATCH(G353,'ei names mapping'!$B$136:$BK$136,0))</f>
        <v>6.6663545224468059E-6</v>
      </c>
      <c r="C353" s="12"/>
      <c r="D353" s="12" t="str">
        <f>INDEX('ei names mapping'!$B$104:$BK$133,MATCH(B$229,'ei names mapping'!$A$4:$A$33,0),MATCH(G353,'ei names mapping'!$B$3:$BK$3,0))</f>
        <v>kilogram</v>
      </c>
      <c r="E353" s="12" t="str">
        <f>INDEX('ei names mapping'!$B$225:$BK$255,MATCH(B$229,'ei names mapping'!$A$4:$A$33,0),MATCH(G353,'ei names mapping'!$B$3:$BK$3,0))</f>
        <v>air</v>
      </c>
      <c r="F353" s="12" t="s">
        <v>173</v>
      </c>
      <c r="G353" s="12" t="s">
        <v>609</v>
      </c>
      <c r="H353" s="12"/>
    </row>
    <row r="354" spans="1:8" s="21" customFormat="1" x14ac:dyDescent="0.3">
      <c r="A354" s="12" t="str">
        <f>INDEX('ei names mapping'!$B$4:$BK$33,MATCH(B$229,'ei names mapping'!$A$4:$A$33,0),MATCH(G354,'ei names mapping'!$B$3:$BK$3,0))</f>
        <v>Ethene</v>
      </c>
      <c r="B354" s="15">
        <f>INDEX('vehicles specifications'!$B$3:$CK$86,MATCH(B$309,'vehicles specifications'!$A$3:$A$86,0),MATCH(G354,'vehicles specifications'!$B$2:$CK$2,0))*INDEX('ei names mapping'!$B$137:$BK$220,MATCH(B$309,'ei names mapping'!$A$137:$A$220,0),MATCH(G354,'ei names mapping'!$B$136:$BK$136,0))</f>
        <v>6.5762686505218488E-5</v>
      </c>
      <c r="C354" s="12"/>
      <c r="D354" s="12" t="str">
        <f>INDEX('ei names mapping'!$B$104:$BK$133,MATCH(B$229,'ei names mapping'!$A$4:$A$33,0),MATCH(G354,'ei names mapping'!$B$3:$BK$3,0))</f>
        <v>kilogram</v>
      </c>
      <c r="E354" s="12" t="str">
        <f>INDEX('ei names mapping'!$B$225:$BK$255,MATCH(B$229,'ei names mapping'!$A$4:$A$33,0),MATCH(G354,'ei names mapping'!$B$3:$BK$3,0))</f>
        <v>air</v>
      </c>
      <c r="F354" s="12" t="s">
        <v>173</v>
      </c>
      <c r="G354" s="12" t="s">
        <v>610</v>
      </c>
      <c r="H354" s="12"/>
    </row>
    <row r="355" spans="1:8" s="21" customFormat="1" x14ac:dyDescent="0.3">
      <c r="A355" s="12" t="str">
        <f>INDEX('ei names mapping'!$B$4:$BK$33,MATCH(B$229,'ei names mapping'!$A$4:$A$33,0),MATCH(G355,'ei names mapping'!$B$3:$BK$3,0))</f>
        <v>Propene</v>
      </c>
      <c r="B355" s="15">
        <f>INDEX('vehicles specifications'!$B$3:$CK$86,MATCH(B$309,'vehicles specifications'!$A$3:$A$86,0),MATCH(G355,'vehicles specifications'!$B$2:$CK$2,0))*INDEX('ei names mapping'!$B$137:$BK$220,MATCH(B$309,'ei names mapping'!$A$137:$A$220,0),MATCH(G355,'ei names mapping'!$B$136:$BK$136,0))</f>
        <v>3.441280307533351E-5</v>
      </c>
      <c r="C355" s="12"/>
      <c r="D355" s="12" t="str">
        <f>INDEX('ei names mapping'!$B$104:$BK$133,MATCH(B$229,'ei names mapping'!$A$4:$A$33,0),MATCH(G355,'ei names mapping'!$B$3:$BK$3,0))</f>
        <v>kilogram</v>
      </c>
      <c r="E355" s="12" t="str">
        <f>INDEX('ei names mapping'!$B$225:$BK$255,MATCH(B$229,'ei names mapping'!$A$4:$A$33,0),MATCH(G355,'ei names mapping'!$B$3:$BK$3,0))</f>
        <v>air</v>
      </c>
      <c r="F355" s="12" t="s">
        <v>173</v>
      </c>
      <c r="G355" s="12" t="s">
        <v>611</v>
      </c>
      <c r="H355" s="12"/>
    </row>
    <row r="356" spans="1:8" s="21" customFormat="1" x14ac:dyDescent="0.3">
      <c r="A356" s="12" t="str">
        <f>INDEX('ei names mapping'!$B$4:$BK$33,MATCH(B$229,'ei names mapping'!$A$4:$A$33,0),MATCH(G356,'ei names mapping'!$B$3:$BK$3,0))</f>
        <v>1-Pentene</v>
      </c>
      <c r="B356" s="15">
        <f>INDEX('vehicles specifications'!$B$3:$CK$86,MATCH(B$309,'vehicles specifications'!$A$3:$A$86,0),MATCH(G356,'vehicles specifications'!$B$2:$CK$2,0))*INDEX('ei names mapping'!$B$137:$BK$220,MATCH(B$309,'ei names mapping'!$A$137:$A$220,0),MATCH(G356,'ei names mapping'!$B$136:$BK$136,0))</f>
        <v>9.9094459117452519E-7</v>
      </c>
      <c r="C356" s="12"/>
      <c r="D356" s="12" t="str">
        <f>INDEX('ei names mapping'!$B$104:$BK$133,MATCH(B$229,'ei names mapping'!$A$4:$A$33,0),MATCH(G356,'ei names mapping'!$B$3:$BK$3,0))</f>
        <v>kilogram</v>
      </c>
      <c r="E356" s="12" t="str">
        <f>INDEX('ei names mapping'!$B$225:$BK$255,MATCH(B$229,'ei names mapping'!$A$4:$A$33,0),MATCH(G356,'ei names mapping'!$B$3:$BK$3,0))</f>
        <v>air</v>
      </c>
      <c r="F356" s="12" t="s">
        <v>173</v>
      </c>
      <c r="G356" s="12" t="s">
        <v>612</v>
      </c>
      <c r="H356" s="12"/>
    </row>
    <row r="357" spans="1:8" s="21" customFormat="1" x14ac:dyDescent="0.3">
      <c r="A357" s="12" t="str">
        <f>INDEX('ei names mapping'!$B$4:$BK$33,MATCH(B$229,'ei names mapping'!$A$4:$A$33,0),MATCH(G357,'ei names mapping'!$B$3:$BK$3,0))</f>
        <v>Toluene</v>
      </c>
      <c r="B357" s="15">
        <f>INDEX('vehicles specifications'!$B$3:$CK$86,MATCH(B$309,'vehicles specifications'!$A$3:$A$86,0),MATCH(G357,'vehicles specifications'!$B$2:$CK$2,0))*INDEX('ei names mapping'!$B$137:$BK$220,MATCH(B$309,'ei names mapping'!$A$137:$A$220,0),MATCH(G357,'ei names mapping'!$B$136:$BK$136,0))</f>
        <v>9.8914287373602611E-5</v>
      </c>
      <c r="C357" s="12"/>
      <c r="D357" s="12" t="str">
        <f>INDEX('ei names mapping'!$B$104:$BK$133,MATCH(B$229,'ei names mapping'!$A$4:$A$33,0),MATCH(G357,'ei names mapping'!$B$3:$BK$3,0))</f>
        <v>kilogram</v>
      </c>
      <c r="E357" s="12" t="str">
        <f>INDEX('ei names mapping'!$B$225:$BK$255,MATCH(B$229,'ei names mapping'!$A$4:$A$33,0),MATCH(G357,'ei names mapping'!$B$3:$BK$3,0))</f>
        <v>air</v>
      </c>
      <c r="F357" s="12" t="s">
        <v>173</v>
      </c>
      <c r="G357" s="12" t="s">
        <v>613</v>
      </c>
      <c r="H357" s="12"/>
    </row>
    <row r="358" spans="1:8" s="21" customFormat="1" x14ac:dyDescent="0.3">
      <c r="A358" s="12" t="str">
        <f>INDEX('ei names mapping'!$B$4:$BK$33,MATCH(B$229,'ei names mapping'!$A$4:$A$33,0),MATCH(G358,'ei names mapping'!$B$3:$BK$3,0))</f>
        <v>m-Xylene</v>
      </c>
      <c r="B358" s="15">
        <f>INDEX('vehicles specifications'!$B$3:$CK$86,MATCH(B$309,'vehicles specifications'!$A$3:$A$86,0),MATCH(G358,'vehicles specifications'!$B$2:$CK$2,0))*INDEX('ei names mapping'!$B$137:$BK$220,MATCH(B$309,'ei names mapping'!$A$137:$A$220,0),MATCH(G358,'ei names mapping'!$B$136:$BK$136,0))</f>
        <v>4.8916628455251568E-5</v>
      </c>
      <c r="C358" s="12"/>
      <c r="D358" s="12" t="str">
        <f>INDEX('ei names mapping'!$B$104:$BK$133,MATCH(B$229,'ei names mapping'!$A$4:$A$33,0),MATCH(G358,'ei names mapping'!$B$3:$BK$3,0))</f>
        <v>kilogram</v>
      </c>
      <c r="E358" s="12" t="str">
        <f>INDEX('ei names mapping'!$B$225:$BK$255,MATCH(B$229,'ei names mapping'!$A$4:$A$33,0),MATCH(G358,'ei names mapping'!$B$3:$BK$3,0))</f>
        <v>air</v>
      </c>
      <c r="F358" s="12" t="s">
        <v>173</v>
      </c>
      <c r="G358" s="12" t="s">
        <v>614</v>
      </c>
      <c r="H358" s="12"/>
    </row>
    <row r="359" spans="1:8" s="21" customFormat="1" x14ac:dyDescent="0.3">
      <c r="A359" s="12" t="str">
        <f>INDEX('ei names mapping'!$B$4:$BK$33,MATCH(B$229,'ei names mapping'!$A$4:$A$33,0),MATCH(G359,'ei names mapping'!$B$3:$BK$3,0))</f>
        <v>o-Xylene</v>
      </c>
      <c r="B359" s="15">
        <f>INDEX('vehicles specifications'!$B$3:$CK$86,MATCH(B$309,'vehicles specifications'!$A$3:$A$86,0),MATCH(G359,'vehicles specifications'!$B$2:$CK$2,0))*INDEX('ei names mapping'!$B$137:$BK$220,MATCH(B$309,'ei names mapping'!$A$137:$A$220,0),MATCH(G359,'ei names mapping'!$B$136:$BK$136,0))</f>
        <v>2.0359407055040244E-5</v>
      </c>
      <c r="C359" s="12"/>
      <c r="D359" s="12" t="str">
        <f>INDEX('ei names mapping'!$B$104:$BK$133,MATCH(B$229,'ei names mapping'!$A$4:$A$33,0),MATCH(G359,'ei names mapping'!$B$3:$BK$3,0))</f>
        <v>kilogram</v>
      </c>
      <c r="E359" s="12" t="str">
        <f>INDEX('ei names mapping'!$B$225:$BK$255,MATCH(B$229,'ei names mapping'!$A$4:$A$33,0),MATCH(G359,'ei names mapping'!$B$3:$BK$3,0))</f>
        <v>air</v>
      </c>
      <c r="F359" s="12" t="s">
        <v>173</v>
      </c>
      <c r="G359" s="12" t="s">
        <v>615</v>
      </c>
      <c r="H359" s="12"/>
    </row>
    <row r="360" spans="1:8" s="21" customFormat="1" x14ac:dyDescent="0.3">
      <c r="A360" s="12" t="str">
        <f>INDEX('ei names mapping'!$B$4:$BK$33,MATCH(B$229,'ei names mapping'!$A$4:$A$33,0),MATCH(G360,'ei names mapping'!$B$3:$BK$3,0))</f>
        <v>Formaldehyde</v>
      </c>
      <c r="B360" s="15">
        <f>INDEX('vehicles specifications'!$B$3:$CK$86,MATCH(B$309,'vehicles specifications'!$A$3:$A$86,0),MATCH(G360,'vehicles specifications'!$B$2:$CK$2,0))*INDEX('ei names mapping'!$B$137:$BK$220,MATCH(B$309,'ei names mapping'!$A$137:$A$220,0),MATCH(G360,'ei names mapping'!$B$136:$BK$136,0))</f>
        <v>1.5314598227242665E-5</v>
      </c>
      <c r="C360" s="12"/>
      <c r="D360" s="12" t="str">
        <f>INDEX('ei names mapping'!$B$104:$BK$133,MATCH(B$229,'ei names mapping'!$A$4:$A$33,0),MATCH(G360,'ei names mapping'!$B$3:$BK$3,0))</f>
        <v>kilogram</v>
      </c>
      <c r="E360" s="12" t="str">
        <f>INDEX('ei names mapping'!$B$225:$BK$255,MATCH(B$229,'ei names mapping'!$A$4:$A$33,0),MATCH(G360,'ei names mapping'!$B$3:$BK$3,0))</f>
        <v>air</v>
      </c>
      <c r="F360" s="12" t="s">
        <v>173</v>
      </c>
      <c r="G360" s="12" t="s">
        <v>616</v>
      </c>
      <c r="H360" s="12"/>
    </row>
    <row r="361" spans="1:8" s="21" customFormat="1" x14ac:dyDescent="0.3">
      <c r="A361" s="12" t="str">
        <f>INDEX('ei names mapping'!$B$4:$BK$33,MATCH(B$229,'ei names mapping'!$A$4:$A$33,0),MATCH(G361,'ei names mapping'!$B$3:$BK$3,0))</f>
        <v>Acetaldehyde</v>
      </c>
      <c r="B361" s="15">
        <f>INDEX('vehicles specifications'!$B$3:$CK$86,MATCH(B$309,'vehicles specifications'!$A$3:$A$86,0),MATCH(G361,'vehicles specifications'!$B$2:$CK$2,0))*INDEX('ei names mapping'!$B$137:$BK$220,MATCH(B$309,'ei names mapping'!$A$137:$A$220,0),MATCH(G361,'ei names mapping'!$B$136:$BK$136,0))</f>
        <v>6.7564403943717619E-6</v>
      </c>
      <c r="C361" s="12"/>
      <c r="D361" s="12" t="str">
        <f>INDEX('ei names mapping'!$B$104:$BK$133,MATCH(B$229,'ei names mapping'!$A$4:$A$33,0),MATCH(G361,'ei names mapping'!$B$3:$BK$3,0))</f>
        <v>kilogram</v>
      </c>
      <c r="E361" s="12" t="str">
        <f>INDEX('ei names mapping'!$B$225:$BK$255,MATCH(B$229,'ei names mapping'!$A$4:$A$33,0),MATCH(G361,'ei names mapping'!$B$3:$BK$3,0))</f>
        <v>air</v>
      </c>
      <c r="F361" s="12" t="s">
        <v>173</v>
      </c>
      <c r="G361" s="12" t="s">
        <v>617</v>
      </c>
      <c r="H361" s="12"/>
    </row>
    <row r="362" spans="1:8" s="21" customFormat="1" x14ac:dyDescent="0.3">
      <c r="A362" s="12" t="str">
        <f>INDEX('ei names mapping'!$B$4:$BK$33,MATCH(B$229,'ei names mapping'!$A$4:$A$33,0),MATCH(G362,'ei names mapping'!$B$3:$BK$3,0))</f>
        <v>Benzaldehyde</v>
      </c>
      <c r="B362" s="15">
        <f>INDEX('vehicles specifications'!$B$3:$CK$86,MATCH(B$309,'vehicles specifications'!$A$3:$A$86,0),MATCH(G362,'vehicles specifications'!$B$2:$CK$2,0))*INDEX('ei names mapping'!$B$137:$BK$220,MATCH(B$309,'ei names mapping'!$A$137:$A$220,0),MATCH(G362,'ei names mapping'!$B$136:$BK$136,0))</f>
        <v>1.9818891823490504E-6</v>
      </c>
      <c r="C362" s="12"/>
      <c r="D362" s="12" t="str">
        <f>INDEX('ei names mapping'!$B$104:$BK$133,MATCH(B$229,'ei names mapping'!$A$4:$A$33,0),MATCH(G362,'ei names mapping'!$B$3:$BK$3,0))</f>
        <v>kilogram</v>
      </c>
      <c r="E362" s="12" t="str">
        <f>INDEX('ei names mapping'!$B$225:$BK$255,MATCH(B$229,'ei names mapping'!$A$4:$A$33,0),MATCH(G362,'ei names mapping'!$B$3:$BK$3,0))</f>
        <v>air</v>
      </c>
      <c r="F362" s="12" t="s">
        <v>173</v>
      </c>
      <c r="G362" s="12" t="s">
        <v>618</v>
      </c>
      <c r="H362" s="12"/>
    </row>
    <row r="363" spans="1:8" s="21" customFormat="1" x14ac:dyDescent="0.3">
      <c r="A363" s="12" t="str">
        <f>INDEX('ei names mapping'!$B$4:$BK$33,MATCH(B$229,'ei names mapping'!$A$4:$A$33,0),MATCH(G363,'ei names mapping'!$B$3:$BK$3,0))</f>
        <v>Acetone</v>
      </c>
      <c r="B363" s="15">
        <f>INDEX('vehicles specifications'!$B$3:$CK$86,MATCH(B$309,'vehicles specifications'!$A$3:$A$86,0),MATCH(G363,'vehicles specifications'!$B$2:$CK$2,0))*INDEX('ei names mapping'!$B$137:$BK$220,MATCH(B$309,'ei names mapping'!$A$137:$A$220,0),MATCH(G363,'ei names mapping'!$B$136:$BK$136,0))</f>
        <v>5.495238187422368E-6</v>
      </c>
      <c r="C363" s="12"/>
      <c r="D363" s="12" t="str">
        <f>INDEX('ei names mapping'!$B$104:$BK$133,MATCH(B$229,'ei names mapping'!$A$4:$A$33,0),MATCH(G363,'ei names mapping'!$B$3:$BK$3,0))</f>
        <v>kilogram</v>
      </c>
      <c r="E363" s="12" t="str">
        <f>INDEX('ei names mapping'!$B$225:$BK$255,MATCH(B$229,'ei names mapping'!$A$4:$A$33,0),MATCH(G363,'ei names mapping'!$B$3:$BK$3,0))</f>
        <v>air</v>
      </c>
      <c r="F363" s="12" t="s">
        <v>173</v>
      </c>
      <c r="G363" s="12" t="s">
        <v>619</v>
      </c>
      <c r="H363" s="12"/>
    </row>
    <row r="364" spans="1:8" s="21" customFormat="1" x14ac:dyDescent="0.3">
      <c r="A364" s="12" t="str">
        <f>INDEX('ei names mapping'!$B$4:$BK$33,MATCH(B$229,'ei names mapping'!$A$4:$A$33,0),MATCH(G364,'ei names mapping'!$B$3:$BK$3,0))</f>
        <v>Methyl ethyl ketone</v>
      </c>
      <c r="B364" s="15">
        <f>INDEX('vehicles specifications'!$B$3:$CK$86,MATCH(B$309,'vehicles specifications'!$A$3:$A$86,0),MATCH(G364,'vehicles specifications'!$B$2:$CK$2,0))*INDEX('ei names mapping'!$B$137:$BK$220,MATCH(B$309,'ei names mapping'!$A$137:$A$220,0),MATCH(G364,'ei names mapping'!$B$136:$BK$136,0))</f>
        <v>0</v>
      </c>
      <c r="C364" s="12"/>
      <c r="D364" s="12" t="str">
        <f>INDEX('ei names mapping'!$B$104:$BK$133,MATCH(B$229,'ei names mapping'!$A$4:$A$33,0),MATCH(G364,'ei names mapping'!$B$3:$BK$3,0))</f>
        <v>kilogram</v>
      </c>
      <c r="E364" s="12" t="str">
        <f>INDEX('ei names mapping'!$B$225:$BK$255,MATCH(B$229,'ei names mapping'!$A$4:$A$33,0),MATCH(G364,'ei names mapping'!$B$3:$BK$3,0))</f>
        <v>air</v>
      </c>
      <c r="F364" s="12" t="s">
        <v>173</v>
      </c>
      <c r="G364" s="12" t="s">
        <v>622</v>
      </c>
      <c r="H364" s="12"/>
    </row>
    <row r="365" spans="1:8" s="21" customFormat="1" x14ac:dyDescent="0.3">
      <c r="A365" s="12" t="str">
        <f>INDEX('ei names mapping'!$B$4:$BK$33,MATCH(B$229,'ei names mapping'!$A$4:$A$33,0),MATCH(G365,'ei names mapping'!$B$3:$BK$3,0))</f>
        <v>Acrolein</v>
      </c>
      <c r="B365" s="15">
        <f>INDEX('vehicles specifications'!$B$3:$CK$86,MATCH(B$309,'vehicles specifications'!$A$3:$A$86,0),MATCH(G365,'vehicles specifications'!$B$2:$CK$2,0))*INDEX('ei names mapping'!$B$137:$BK$220,MATCH(B$309,'ei names mapping'!$A$137:$A$220,0),MATCH(G365,'ei names mapping'!$B$136:$BK$136,0))</f>
        <v>1.7116315665741799E-6</v>
      </c>
      <c r="C365" s="12"/>
      <c r="D365" s="12" t="str">
        <f>INDEX('ei names mapping'!$B$104:$BK$133,MATCH(B$229,'ei names mapping'!$A$4:$A$33,0),MATCH(G365,'ei names mapping'!$B$3:$BK$3,0))</f>
        <v>kilogram</v>
      </c>
      <c r="E365" s="12" t="str">
        <f>INDEX('ei names mapping'!$B$225:$BK$255,MATCH(B$229,'ei names mapping'!$A$4:$A$33,0),MATCH(G365,'ei names mapping'!$B$3:$BK$3,0))</f>
        <v>air</v>
      </c>
      <c r="F365" s="12" t="s">
        <v>173</v>
      </c>
      <c r="G365" s="12" t="s">
        <v>620</v>
      </c>
      <c r="H365" s="12"/>
    </row>
    <row r="366" spans="1:8" s="21" customFormat="1" x14ac:dyDescent="0.3">
      <c r="A366" s="12" t="str">
        <f>INDEX('ei names mapping'!$B$4:$BK$33,MATCH(B$229,'ei names mapping'!$A$4:$A$33,0),MATCH(G366,'ei names mapping'!$B$3:$BK$3,0))</f>
        <v>Styrene</v>
      </c>
      <c r="B366" s="15">
        <f>INDEX('vehicles specifications'!$B$3:$CK$86,MATCH(B$309,'vehicles specifications'!$A$3:$A$86,0),MATCH(G366,'vehicles specifications'!$B$2:$CK$2,0))*INDEX('ei names mapping'!$B$137:$BK$220,MATCH(B$309,'ei names mapping'!$A$137:$A$220,0),MATCH(G366,'ei names mapping'!$B$136:$BK$136,0))</f>
        <v>9.0986730644206395E-6</v>
      </c>
      <c r="C366" s="12"/>
      <c r="D366" s="12" t="str">
        <f>INDEX('ei names mapping'!$B$104:$BK$133,MATCH(B$229,'ei names mapping'!$A$4:$A$33,0),MATCH(G366,'ei names mapping'!$B$3:$BK$3,0))</f>
        <v>kilogram</v>
      </c>
      <c r="E366" s="12" t="str">
        <f>INDEX('ei names mapping'!$B$225:$BK$255,MATCH(B$229,'ei names mapping'!$A$4:$A$33,0),MATCH(G366,'ei names mapping'!$B$3:$BK$3,0))</f>
        <v>air</v>
      </c>
      <c r="F366" s="12" t="s">
        <v>173</v>
      </c>
      <c r="G366" s="12" t="s">
        <v>621</v>
      </c>
      <c r="H366" s="12"/>
    </row>
    <row r="367" spans="1:8" s="21" customFormat="1" x14ac:dyDescent="0.3">
      <c r="A367" s="12" t="str">
        <f>INDEX('ei names mapping'!$B$4:$BK$33,MATCH(B$229,'ei names mapping'!$A$4:$A$33,0),MATCH(G367,'ei names mapping'!$B$3:$BK$3,0))</f>
        <v>PAH, polycyclic aromatic hydrocarbons</v>
      </c>
      <c r="B367" s="15">
        <f>INDEX('vehicles specifications'!$B$3:$CK$86,MATCH(B$309,'vehicles specifications'!$A$3:$A$86,0),MATCH(G367,'vehicles specifications'!$B$2:$CK$2,0))*INDEX('ei names mapping'!$B$137:$BK$220,MATCH(B$309,'ei names mapping'!$A$137:$A$220,0),MATCH(G367,'ei names mapping'!$B$136:$BK$136,0))</f>
        <v>2.8925420038252168E-8</v>
      </c>
      <c r="C367" s="12"/>
      <c r="D367" s="12" t="str">
        <f>INDEX('ei names mapping'!$B$104:$BK$133,MATCH(B$229,'ei names mapping'!$A$4:$A$33,0),MATCH(G367,'ei names mapping'!$B$3:$BK$3,0))</f>
        <v>kilogram</v>
      </c>
      <c r="E367" s="12" t="str">
        <f>INDEX('ei names mapping'!$B$225:$BK$255,MATCH(B$229,'ei names mapping'!$A$4:$A$33,0),MATCH(G367,'ei names mapping'!$B$3:$BK$3,0))</f>
        <v>air</v>
      </c>
      <c r="F367" s="12" t="s">
        <v>173</v>
      </c>
      <c r="G367" s="12" t="s">
        <v>623</v>
      </c>
      <c r="H367" s="12"/>
    </row>
    <row r="368" spans="1:8" s="21" customFormat="1" x14ac:dyDescent="0.3">
      <c r="A368" s="12" t="str">
        <f>INDEX('ei names mapping'!$B$4:$BK$33,MATCH(B$229,'ei names mapping'!$A$4:$A$33,0),MATCH(G368,'ei names mapping'!$B$3:$BK$3,0))</f>
        <v>Arsenic</v>
      </c>
      <c r="B368" s="15">
        <f>INDEX('vehicles specifications'!$B$3:$CK$86,MATCH(B$309,'vehicles specifications'!$A$3:$A$86,0),MATCH(G368,'vehicles specifications'!$B$2:$CK$2,0))*INDEX('ei names mapping'!$B$137:$BK$220,MATCH(B$309,'ei names mapping'!$A$137:$A$220,0),MATCH(G368,'ei names mapping'!$B$136:$BK$136,0))</f>
        <v>2.4935706929527731E-10</v>
      </c>
      <c r="C368" s="12"/>
      <c r="D368" s="12" t="str">
        <f>INDEX('ei names mapping'!$B$104:$BK$133,MATCH(B$229,'ei names mapping'!$A$4:$A$33,0),MATCH(G368,'ei names mapping'!$B$3:$BK$3,0))</f>
        <v>kilogram</v>
      </c>
      <c r="E368" s="12" t="str">
        <f>INDEX('ei names mapping'!$B$225:$BK$255,MATCH(B$229,'ei names mapping'!$A$4:$A$33,0),MATCH(G368,'ei names mapping'!$B$3:$BK$3,0))</f>
        <v>air</v>
      </c>
      <c r="F368" s="12" t="s">
        <v>173</v>
      </c>
      <c r="G368" s="12" t="s">
        <v>624</v>
      </c>
      <c r="H368" s="12"/>
    </row>
    <row r="369" spans="1:8" s="21" customFormat="1" x14ac:dyDescent="0.3">
      <c r="A369" s="12" t="str">
        <f>INDEX('ei names mapping'!$B$4:$BK$33,MATCH(B$229,'ei names mapping'!$A$4:$A$33,0),MATCH(G369,'ei names mapping'!$B$3:$BK$3,0))</f>
        <v>Selenium</v>
      </c>
      <c r="B369" s="15">
        <f>INDEX('vehicles specifications'!$B$3:$CK$86,MATCH(B$309,'vehicles specifications'!$A$3:$A$86,0),MATCH(G369,'vehicles specifications'!$B$2:$CK$2,0))*INDEX('ei names mapping'!$B$137:$BK$220,MATCH(B$309,'ei names mapping'!$A$137:$A$220,0),MATCH(G369,'ei names mapping'!$B$136:$BK$136,0))</f>
        <v>1.6623804619685155E-10</v>
      </c>
      <c r="C369" s="12"/>
      <c r="D369" s="12" t="str">
        <f>INDEX('ei names mapping'!$B$104:$BK$133,MATCH(B$229,'ei names mapping'!$A$4:$A$33,0),MATCH(G369,'ei names mapping'!$B$3:$BK$3,0))</f>
        <v>kilogram</v>
      </c>
      <c r="E369" s="12" t="str">
        <f>INDEX('ei names mapping'!$B$225:$BK$255,MATCH(B$229,'ei names mapping'!$A$4:$A$33,0),MATCH(G369,'ei names mapping'!$B$3:$BK$3,0))</f>
        <v>air</v>
      </c>
      <c r="F369" s="12" t="s">
        <v>173</v>
      </c>
      <c r="G369" s="12" t="s">
        <v>625</v>
      </c>
      <c r="H369" s="12"/>
    </row>
    <row r="370" spans="1:8" s="21" customFormat="1" x14ac:dyDescent="0.3">
      <c r="A370" s="12" t="str">
        <f>INDEX('ei names mapping'!$B$4:$BK$33,MATCH(B$229,'ei names mapping'!$A$4:$A$33,0),MATCH(G370,'ei names mapping'!$B$3:$BK$3,0))</f>
        <v>Zinc</v>
      </c>
      <c r="B370" s="15">
        <f>INDEX('vehicles specifications'!$B$3:$CK$86,MATCH(B$309,'vehicles specifications'!$A$3:$A$86,0),MATCH(G370,'vehicles specifications'!$B$2:$CK$2,0))*INDEX('ei names mapping'!$B$137:$BK$220,MATCH(B$309,'ei names mapping'!$A$137:$A$220,0),MATCH(G370,'ei names mapping'!$B$136:$BK$136,0))</f>
        <v>1.7953708989259966E-6</v>
      </c>
      <c r="C370" s="12"/>
      <c r="D370" s="12" t="str">
        <f>INDEX('ei names mapping'!$B$104:$BK$133,MATCH(B$229,'ei names mapping'!$A$4:$A$33,0),MATCH(G370,'ei names mapping'!$B$3:$BK$3,0))</f>
        <v>kilogram</v>
      </c>
      <c r="E370" s="12" t="str">
        <f>INDEX('ei names mapping'!$B$225:$BK$255,MATCH(B$229,'ei names mapping'!$A$4:$A$33,0),MATCH(G370,'ei names mapping'!$B$3:$BK$3,0))</f>
        <v>air</v>
      </c>
      <c r="F370" s="12" t="s">
        <v>173</v>
      </c>
      <c r="G370" s="12" t="s">
        <v>626</v>
      </c>
      <c r="H370" s="12"/>
    </row>
    <row r="371" spans="1:8" s="21" customFormat="1" x14ac:dyDescent="0.3">
      <c r="A371" s="12" t="str">
        <f>INDEX('ei names mapping'!$B$4:$BK$33,MATCH(B$229,'ei names mapping'!$A$4:$A$33,0),MATCH(G371,'ei names mapping'!$B$3:$BK$3,0))</f>
        <v>Copper</v>
      </c>
      <c r="B371" s="15">
        <f>INDEX('vehicles specifications'!$B$3:$CK$86,MATCH(B$309,'vehicles specifications'!$A$3:$A$86,0),MATCH(G371,'vehicles specifications'!$B$2:$CK$2,0))*INDEX('ei names mapping'!$B$137:$BK$220,MATCH(B$309,'ei names mapping'!$A$137:$A$220,0),MATCH(G371,'ei names mapping'!$B$136:$BK$136,0))</f>
        <v>3.490998970133882E-8</v>
      </c>
      <c r="C371" s="12"/>
      <c r="D371" s="12" t="str">
        <f>INDEX('ei names mapping'!$B$104:$BK$133,MATCH(B$229,'ei names mapping'!$A$4:$A$33,0),MATCH(G371,'ei names mapping'!$B$3:$BK$3,0))</f>
        <v>kilogram</v>
      </c>
      <c r="E371" s="12" t="str">
        <f>INDEX('ei names mapping'!$B$225:$BK$255,MATCH(B$229,'ei names mapping'!$A$4:$A$33,0),MATCH(G371,'ei names mapping'!$B$3:$BK$3,0))</f>
        <v>air</v>
      </c>
      <c r="F371" s="12" t="s">
        <v>173</v>
      </c>
      <c r="G371" s="12" t="s">
        <v>581</v>
      </c>
      <c r="H371" s="12"/>
    </row>
    <row r="372" spans="1:8" s="21" customFormat="1" x14ac:dyDescent="0.3">
      <c r="A372" s="12" t="str">
        <f>INDEX('ei names mapping'!$B$4:$BK$33,MATCH(B$229,'ei names mapping'!$A$4:$A$33,0),MATCH(G372,'ei names mapping'!$B$3:$BK$3,0))</f>
        <v>Nickel</v>
      </c>
      <c r="B372" s="15">
        <f>INDEX('vehicles specifications'!$B$3:$CK$86,MATCH(B$309,'vehicles specifications'!$A$3:$A$86,0),MATCH(G372,'vehicles specifications'!$B$2:$CK$2,0))*INDEX('ei names mapping'!$B$137:$BK$220,MATCH(B$309,'ei names mapping'!$A$137:$A$220,0),MATCH(G372,'ei names mapping'!$B$136:$BK$136,0))</f>
        <v>1.0805473002795351E-8</v>
      </c>
      <c r="C372" s="12"/>
      <c r="D372" s="12" t="str">
        <f>INDEX('ei names mapping'!$B$104:$BK$133,MATCH(B$229,'ei names mapping'!$A$4:$A$33,0),MATCH(G372,'ei names mapping'!$B$3:$BK$3,0))</f>
        <v>kilogram</v>
      </c>
      <c r="E372" s="12" t="str">
        <f>INDEX('ei names mapping'!$B$225:$BK$255,MATCH(B$229,'ei names mapping'!$A$4:$A$33,0),MATCH(G372,'ei names mapping'!$B$3:$BK$3,0))</f>
        <v>air</v>
      </c>
      <c r="F372" s="12" t="s">
        <v>173</v>
      </c>
      <c r="G372" s="12" t="s">
        <v>583</v>
      </c>
      <c r="H372" s="12"/>
    </row>
    <row r="373" spans="1:8" s="21" customFormat="1" x14ac:dyDescent="0.3">
      <c r="A373" s="12" t="str">
        <f>INDEX('ei names mapping'!$B$4:$BK$33,MATCH(B$229,'ei names mapping'!$A$4:$A$33,0),MATCH(G373,'ei names mapping'!$B$3:$BK$3,0))</f>
        <v>Chromium</v>
      </c>
      <c r="B373" s="15">
        <f>INDEX('vehicles specifications'!$B$3:$CK$86,MATCH(B$309,'vehicles specifications'!$A$3:$A$86,0),MATCH(G373,'vehicles specifications'!$B$2:$CK$2,0))*INDEX('ei names mapping'!$B$137:$BK$220,MATCH(B$309,'ei names mapping'!$A$137:$A$220,0),MATCH(G373,'ei names mapping'!$B$136:$BK$136,0))</f>
        <v>1.3299043695748127E-8</v>
      </c>
      <c r="C373" s="12"/>
      <c r="D373" s="12" t="str">
        <f>INDEX('ei names mapping'!$B$104:$BK$133,MATCH(B$229,'ei names mapping'!$A$4:$A$33,0),MATCH(G373,'ei names mapping'!$B$3:$BK$3,0))</f>
        <v>kilogram</v>
      </c>
      <c r="E373" s="12" t="str">
        <f>INDEX('ei names mapping'!$B$225:$BK$255,MATCH(B$229,'ei names mapping'!$A$4:$A$33,0),MATCH(G373,'ei names mapping'!$B$3:$BK$3,0))</f>
        <v>air</v>
      </c>
      <c r="F373" s="12" t="s">
        <v>173</v>
      </c>
      <c r="G373" s="12" t="s">
        <v>582</v>
      </c>
      <c r="H373" s="12"/>
    </row>
    <row r="374" spans="1:8" s="21" customFormat="1" x14ac:dyDescent="0.3">
      <c r="A374" s="12" t="str">
        <f>INDEX('ei names mapping'!$B$4:$BK$33,MATCH(B$229,'ei names mapping'!$A$4:$A$33,0),MATCH(G374,'ei names mapping'!$B$3:$BK$3,0))</f>
        <v>Chromium VI</v>
      </c>
      <c r="B374" s="15">
        <f>INDEX('vehicles specifications'!$B$3:$CK$86,MATCH(B$309,'vehicles specifications'!$A$3:$A$86,0),MATCH(G374,'vehicles specifications'!$B$2:$CK$2,0))*INDEX('ei names mapping'!$B$137:$BK$220,MATCH(B$309,'ei names mapping'!$A$137:$A$220,0),MATCH(G374,'ei names mapping'!$B$136:$BK$136,0))</f>
        <v>2.6598087391496246E-11</v>
      </c>
      <c r="C374" s="12"/>
      <c r="D374" s="12" t="str">
        <f>INDEX('ei names mapping'!$B$104:$BK$133,MATCH(B$229,'ei names mapping'!$A$4:$A$33,0),MATCH(G374,'ei names mapping'!$B$3:$BK$3,0))</f>
        <v>kilogram</v>
      </c>
      <c r="E374" s="12" t="str">
        <f>INDEX('ei names mapping'!$B$225:$BK$255,MATCH(B$229,'ei names mapping'!$A$4:$A$33,0),MATCH(G374,'ei names mapping'!$B$3:$BK$3,0))</f>
        <v>air</v>
      </c>
      <c r="F374" s="12" t="s">
        <v>173</v>
      </c>
      <c r="G374" s="12" t="s">
        <v>629</v>
      </c>
      <c r="H374" s="12"/>
    </row>
    <row r="375" spans="1:8" s="21" customFormat="1" x14ac:dyDescent="0.3">
      <c r="A375" s="12" t="str">
        <f>INDEX('ei names mapping'!$B$4:$BK$33,MATCH(B$229,'ei names mapping'!$A$4:$A$33,0),MATCH(G375,'ei names mapping'!$B$3:$BK$3,0))</f>
        <v>Mercury</v>
      </c>
      <c r="B375" s="15">
        <f>INDEX('vehicles specifications'!$B$3:$CK$86,MATCH(B$309,'vehicles specifications'!$A$3:$A$86,0),MATCH(G375,'vehicles specifications'!$B$2:$CK$2,0))*INDEX('ei names mapping'!$B$137:$BK$220,MATCH(B$309,'ei names mapping'!$A$137:$A$220,0),MATCH(G375,'ei names mapping'!$B$136:$BK$136,0))</f>
        <v>7.2313550095630419E-9</v>
      </c>
      <c r="C375" s="12"/>
      <c r="D375" s="12" t="str">
        <f>INDEX('ei names mapping'!$B$104:$BK$133,MATCH(B$229,'ei names mapping'!$A$4:$A$33,0),MATCH(G375,'ei names mapping'!$B$3:$BK$3,0))</f>
        <v>kilogram</v>
      </c>
      <c r="E375" s="12" t="str">
        <f>INDEX('ei names mapping'!$B$225:$BK$255,MATCH(B$229,'ei names mapping'!$A$4:$A$33,0),MATCH(G375,'ei names mapping'!$B$3:$BK$3,0))</f>
        <v>air</v>
      </c>
      <c r="F375" s="12" t="s">
        <v>173</v>
      </c>
      <c r="G375" s="12" t="s">
        <v>627</v>
      </c>
      <c r="H375" s="12"/>
    </row>
    <row r="376" spans="1:8" s="21" customFormat="1" x14ac:dyDescent="0.3">
      <c r="A376" s="12" t="str">
        <f>INDEX('ei names mapping'!$B$4:$BK$33,MATCH(B$229,'ei names mapping'!$A$4:$A$33,0),MATCH(G376,'ei names mapping'!$B$3:$BK$3,0))</f>
        <v>Cadmium</v>
      </c>
      <c r="B376" s="15">
        <f>INDEX('vehicles specifications'!$B$3:$CK$86,MATCH(B$309,'vehicles specifications'!$A$3:$A$86,0),MATCH(G376,'vehicles specifications'!$B$2:$CK$2,0))*INDEX('ei names mapping'!$B$137:$BK$220,MATCH(B$309,'ei names mapping'!$A$137:$A$220,0),MATCH(G376,'ei names mapping'!$B$136:$BK$136,0))</f>
        <v>8.976854494629983E-9</v>
      </c>
      <c r="C376" s="12"/>
      <c r="D376" s="12" t="str">
        <f>INDEX('ei names mapping'!$B$104:$BK$133,MATCH(B$229,'ei names mapping'!$A$4:$A$33,0),MATCH(G376,'ei names mapping'!$B$3:$BK$3,0))</f>
        <v>kilogram</v>
      </c>
      <c r="E376" s="12" t="str">
        <f>INDEX('ei names mapping'!$B$225:$BK$255,MATCH(B$229,'ei names mapping'!$A$4:$A$33,0),MATCH(G376,'ei names mapping'!$B$3:$BK$3,0))</f>
        <v>air</v>
      </c>
      <c r="F376" s="12" t="s">
        <v>173</v>
      </c>
      <c r="G376" s="12" t="s">
        <v>628</v>
      </c>
      <c r="H376" s="12"/>
    </row>
    <row r="377" spans="1:8" x14ac:dyDescent="0.3">
      <c r="A377" s="12" t="str">
        <f>INDEX('ei names mapping'!$B$4:$BK$33,MATCH(B306,'ei names mapping'!$A$4:$A$33,0),MATCH(G377,'ei names mapping'!$B$3:$BK$3,0))</f>
        <v>treatment of road wear emissions, passenger car</v>
      </c>
      <c r="B377" s="16">
        <f>INDEX('vehicles specifications'!$B$3:$CK$86,MATCH(B309,'vehicles specifications'!$A$3:$A$86,0),MATCH(G377,'vehicles specifications'!$B$2:$CK$2,0))*INDEX('ei names mapping'!$B$137:$BK$220,MATCH(B309,'ei names mapping'!$A$137:$A$220,0),MATCH(G377,'ei names mapping'!$B$136:$BK$136,0))</f>
        <v>-6.0000000000000002E-6</v>
      </c>
      <c r="C377" s="12" t="str">
        <f>INDEX('ei names mapping'!$B$38:$BK$67,MATCH(B306,'ei names mapping'!$A$4:$A$33,0),MATCH(G377,'ei names mapping'!$B$3:$BK$3,0))</f>
        <v>RER</v>
      </c>
      <c r="D377" s="12" t="str">
        <f>INDEX('ei names mapping'!$B$104:$BK$133,MATCH(B306,'ei names mapping'!$A$4:$A$33,0),MATCH(G377,'ei names mapping'!$B$3:$BK$3,0))</f>
        <v>kilogram</v>
      </c>
      <c r="E377" s="12"/>
      <c r="F377" s="12" t="s">
        <v>91</v>
      </c>
      <c r="G377" t="s">
        <v>29</v>
      </c>
      <c r="H377" s="12" t="str">
        <f>INDEX('ei names mapping'!$B$71:$BK$100,MATCH(B306,'ei names mapping'!$A$4:$A$33,0),MATCH(G377,'ei names mapping'!$B$3:$BK$3,0))</f>
        <v>road wear emissions, passenger car</v>
      </c>
    </row>
    <row r="378" spans="1:8" x14ac:dyDescent="0.3">
      <c r="A378" s="12" t="str">
        <f>INDEX('ei names mapping'!$B$4:$BK$33,MATCH(B306,'ei names mapping'!$A$4:$A$33,0),MATCH(G378,'ei names mapping'!$B$3:$BK$3,0))</f>
        <v>treatment of tyre wear emissions, passenger car</v>
      </c>
      <c r="B378" s="16">
        <f>INDEX('vehicles specifications'!$B$3:$CK$86,MATCH(B309,'vehicles specifications'!$A$3:$A$86,0),MATCH(G378,'vehicles specifications'!$B$2:$CK$2,0))*INDEX('ei names mapping'!$B$137:$BK$220,MATCH(B309,'ei names mapping'!$A$137:$A$220,0),MATCH(G378,'ei names mapping'!$B$136:$BK$136,0))</f>
        <v>-5.8379999999999998E-6</v>
      </c>
      <c r="C378" s="12" t="str">
        <f>INDEX('ei names mapping'!$B$38:$BK$67,MATCH(B306,'ei names mapping'!$A$4:$A$33,0),MATCH(G378,'ei names mapping'!$B$3:$BK$3,0))</f>
        <v>RER</v>
      </c>
      <c r="D378" s="12" t="str">
        <f>INDEX('ei names mapping'!$B$104:$BK$133,MATCH(B306,'ei names mapping'!$A$4:$A$33,0),MATCH(G378,'ei names mapping'!$B$3:$BK$3,0))</f>
        <v>kilogram</v>
      </c>
      <c r="E378" s="12"/>
      <c r="F378" s="12" t="s">
        <v>91</v>
      </c>
      <c r="G378" t="s">
        <v>30</v>
      </c>
      <c r="H378" s="12" t="str">
        <f>INDEX('ei names mapping'!$B$71:$BK$100,MATCH(B306,'ei names mapping'!$A$4:$A$33,0),MATCH(G378,'ei names mapping'!$B$3:$BK$3,0))</f>
        <v>tyre wear emissions, passenger car</v>
      </c>
    </row>
    <row r="379" spans="1:8" x14ac:dyDescent="0.3">
      <c r="A379" s="12" t="str">
        <f>INDEX('ei names mapping'!$B$4:$BK$33,MATCH(B306,'ei names mapping'!$A$4:$A$33,0),MATCH(G379,'ei names mapping'!$B$3:$BK$3,0))</f>
        <v>treatment of brake wear emissions, passenger car</v>
      </c>
      <c r="B379" s="16">
        <f>INDEX('vehicles specifications'!$B$3:$CK$86,MATCH(B309,'vehicles specifications'!$A$3:$A$86,0),MATCH(G379,'vehicles specifications'!$B$2:$CK$2,0))*INDEX('ei names mapping'!$B$137:$BK$220,MATCH(B309,'ei names mapping'!$A$137:$A$220,0),MATCH(G379,'ei names mapping'!$B$136:$BK$136,0))</f>
        <v>-3.6740000000000003E-6</v>
      </c>
      <c r="C379" s="12" t="str">
        <f>INDEX('ei names mapping'!$B$38:$BK$67,MATCH(B306,'ei names mapping'!$A$4:$A$33,0),MATCH(G379,'ei names mapping'!$B$3:$BK$3,0))</f>
        <v>RER</v>
      </c>
      <c r="D379" s="12" t="str">
        <f>INDEX('ei names mapping'!$B$104:$BK$133,MATCH(B306,'ei names mapping'!$A$4:$A$33,0),MATCH(G379,'ei names mapping'!$B$3:$BK$3,0))</f>
        <v>kilogram</v>
      </c>
      <c r="E379" s="12"/>
      <c r="F379" s="12" t="s">
        <v>91</v>
      </c>
      <c r="G379" t="s">
        <v>31</v>
      </c>
      <c r="H379" s="12" t="str">
        <f>INDEX('ei names mapping'!$B$71:$BK$100,MATCH(B306,'ei names mapping'!$A$4:$A$33,0),MATCH(G379,'ei names mapping'!$B$3:$BK$3,0))</f>
        <v>brake wear emissions, passenger car</v>
      </c>
    </row>
    <row r="381" spans="1:8" ht="15.6" x14ac:dyDescent="0.3">
      <c r="A381" s="11" t="s">
        <v>72</v>
      </c>
      <c r="B381" s="9" t="str">
        <f>"transport, "&amp;B383&amp;", "&amp;B385</f>
        <v>transport, Moped, gasoline, &lt;4kW, EURO-5, 2020</v>
      </c>
    </row>
    <row r="382" spans="1:8" x14ac:dyDescent="0.3">
      <c r="A382" t="s">
        <v>73</v>
      </c>
      <c r="B382" t="s">
        <v>37</v>
      </c>
    </row>
    <row r="383" spans="1:8" x14ac:dyDescent="0.3">
      <c r="A383" t="s">
        <v>87</v>
      </c>
      <c r="B383" t="s">
        <v>647</v>
      </c>
    </row>
    <row r="384" spans="1:8" x14ac:dyDescent="0.3">
      <c r="A384" t="s">
        <v>88</v>
      </c>
      <c r="B384" s="12"/>
    </row>
    <row r="385" spans="1:2" x14ac:dyDescent="0.3">
      <c r="A385" t="s">
        <v>89</v>
      </c>
      <c r="B385" s="12">
        <v>2020</v>
      </c>
    </row>
    <row r="386" spans="1:2" x14ac:dyDescent="0.3">
      <c r="A386" t="s">
        <v>131</v>
      </c>
      <c r="B386" s="12" t="str">
        <f>B383&amp;" - "&amp;B385&amp;" - "&amp;B382</f>
        <v>Moped, gasoline, &lt;4kW, EURO-5 - 2020 - CH</v>
      </c>
    </row>
    <row r="387" spans="1:2" x14ac:dyDescent="0.3">
      <c r="A387" t="s">
        <v>74</v>
      </c>
      <c r="B387" s="12" t="str">
        <f>"transport, "&amp;B383</f>
        <v>transport, Moped, gasoline, &lt;4kW, EURO-5</v>
      </c>
    </row>
    <row r="388" spans="1:2" x14ac:dyDescent="0.3">
      <c r="A388" t="s">
        <v>75</v>
      </c>
      <c r="B388" t="s">
        <v>76</v>
      </c>
    </row>
    <row r="389" spans="1:2" x14ac:dyDescent="0.3">
      <c r="A389" t="s">
        <v>77</v>
      </c>
      <c r="B389" t="s">
        <v>172</v>
      </c>
    </row>
    <row r="390" spans="1:2" x14ac:dyDescent="0.3">
      <c r="A390" t="s">
        <v>79</v>
      </c>
      <c r="B390" t="s">
        <v>90</v>
      </c>
    </row>
    <row r="391" spans="1:2" x14ac:dyDescent="0.3">
      <c r="A391" t="s">
        <v>132</v>
      </c>
      <c r="B391">
        <f>INDEX('vehicles specifications'!$B$3:$CK$86,MATCH(B386,'vehicles specifications'!$A$3:$A$86,0),MATCH("Lifetime [km]",'vehicles specifications'!$B$2:$CK$2,0))</f>
        <v>33400</v>
      </c>
    </row>
    <row r="392" spans="1:2" x14ac:dyDescent="0.3">
      <c r="A392" t="s">
        <v>133</v>
      </c>
      <c r="B392">
        <f>INDEX('vehicles specifications'!$B$3:$CK$86,MATCH(B386,'vehicles specifications'!$A$3:$A$86,0),MATCH("Passengers [unit]",'vehicles specifications'!$B$2:$CK$2,0))</f>
        <v>1</v>
      </c>
    </row>
    <row r="393" spans="1:2" x14ac:dyDescent="0.3">
      <c r="A393" t="s">
        <v>134</v>
      </c>
      <c r="B393">
        <f>INDEX('vehicles specifications'!$B$3:$CK$86,MATCH(B386,'vehicles specifications'!$A$3:$A$86,0),MATCH("Servicing [unit]",'vehicles specifications'!$B$2:$CK$2,0))</f>
        <v>1</v>
      </c>
    </row>
    <row r="394" spans="1:2" x14ac:dyDescent="0.3">
      <c r="A394" t="s">
        <v>135</v>
      </c>
      <c r="B394">
        <f>INDEX('vehicles specifications'!$B$3:$CK$86,MATCH(B386,'vehicles specifications'!$A$3:$A$86,0),MATCH("Energy battery replacement [unit]",'vehicles specifications'!$B$2:$CK$2,0))</f>
        <v>0</v>
      </c>
    </row>
    <row r="395" spans="1:2" x14ac:dyDescent="0.3">
      <c r="A395" t="s">
        <v>136</v>
      </c>
      <c r="B395">
        <f>INDEX('vehicles specifications'!$B$3:$CK$86,MATCH(B386,'vehicles specifications'!$A$3:$A$86,0),MATCH("Annual kilometers [km]",'vehicles specifications'!$B$2:$CK$2,0))</f>
        <v>2553</v>
      </c>
    </row>
    <row r="396" spans="1:2" x14ac:dyDescent="0.3">
      <c r="A396" t="s">
        <v>137</v>
      </c>
      <c r="B396" s="2">
        <f>INDEX('vehicles specifications'!$B$3:$CK$86,MATCH(B386,'vehicles specifications'!$A$3:$A$86,0),MATCH("Curb mass [kg]",'vehicles specifications'!$B$2:$CK$2,0))</f>
        <v>63</v>
      </c>
    </row>
    <row r="397" spans="1:2" x14ac:dyDescent="0.3">
      <c r="A397" t="s">
        <v>138</v>
      </c>
      <c r="B397">
        <f>INDEX('vehicles specifications'!$B$3:$CK$86,MATCH(B386,'vehicles specifications'!$A$3:$A$86,0),MATCH("Power [kW]",'vehicles specifications'!$B$2:$CK$2,0))</f>
        <v>2.5</v>
      </c>
    </row>
    <row r="398" spans="1:2" x14ac:dyDescent="0.3">
      <c r="A398" t="s">
        <v>139</v>
      </c>
      <c r="B398">
        <f>INDEX('vehicles specifications'!$B$3:$CK$86,MATCH(B386,'vehicles specifications'!$A$3:$A$86,0),MATCH("Energy battery mass [kg]",'vehicles specifications'!$B$2:$CK$2,0))</f>
        <v>0</v>
      </c>
    </row>
    <row r="399" spans="1:2" x14ac:dyDescent="0.3">
      <c r="A399" t="s">
        <v>140</v>
      </c>
      <c r="B399">
        <f>INDEX('vehicles specifications'!$B$3:$CK$86,MATCH(B386,'vehicles specifications'!$A$3:$A$86,0),MATCH("Electric energy available [kWh]",'vehicles specifications'!$B$2:$CK$2,0))</f>
        <v>0</v>
      </c>
    </row>
    <row r="400" spans="1:2" x14ac:dyDescent="0.3">
      <c r="A400" t="s">
        <v>143</v>
      </c>
      <c r="B400" s="2">
        <f>INDEX('vehicles specifications'!$B$3:$CK$86,MATCH(B386,'vehicles specifications'!$A$3:$A$86,0),MATCH("Oxydation energy stored [kWh]",'vehicles specifications'!$B$2:$CK$2,0))</f>
        <v>61.833333333333329</v>
      </c>
    </row>
    <row r="401" spans="1:8" x14ac:dyDescent="0.3">
      <c r="A401" t="s">
        <v>145</v>
      </c>
      <c r="B401">
        <f>INDEX('vehicles specifications'!$B$3:$CK$86,MATCH(B386,'vehicles specifications'!$A$3:$A$86,0),MATCH("Fuel mass [kg]",'vehicles specifications'!$B$2:$CK$2,0))</f>
        <v>5.25</v>
      </c>
    </row>
    <row r="402" spans="1:8" x14ac:dyDescent="0.3">
      <c r="A402" t="s">
        <v>141</v>
      </c>
      <c r="B402" s="2">
        <f>INDEX('vehicles specifications'!$B$3:$CK$86,MATCH(B386,'vehicles specifications'!$A$3:$A$86,0),MATCH("Range [km]",'vehicles specifications'!$B$2:$CK$2,0))</f>
        <v>270.51386850664676</v>
      </c>
    </row>
    <row r="403" spans="1:8" x14ac:dyDescent="0.3">
      <c r="A403" t="s">
        <v>142</v>
      </c>
      <c r="B403" t="str">
        <f>INDEX('vehicles specifications'!$B$3:$CK$86,MATCH(B386,'vehicles specifications'!$A$3:$A$86,0),MATCH("Emission standard",'vehicles specifications'!$B$2:$CK$2,0))</f>
        <v>EURO-5</v>
      </c>
    </row>
    <row r="404" spans="1:8" x14ac:dyDescent="0.3">
      <c r="A404" t="s">
        <v>144</v>
      </c>
      <c r="B404" s="6">
        <f>INDEX('vehicles specifications'!$B$3:$CK$86,MATCH(B386,'vehicles specifications'!$A$3:$A$86,0),MATCH("Lightweighting rate [%]",'vehicles specifications'!$B$2:$CK$2,0))</f>
        <v>0</v>
      </c>
    </row>
    <row r="405" spans="1:8" x14ac:dyDescent="0.3">
      <c r="A405" t="s">
        <v>84</v>
      </c>
      <c r="B405" s="21"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Battery capacity: "&amp;ROUND(B399,1)&amp;" kWh. Battery mass: "&amp;ROUND(B398,1)&amp; " kg. Battery replacement throughout lifetime: "&amp;ROUND(B394,1)&amp;". Fuel tank capacity: "&amp;ROUND(B400,1)&amp;" kWh. Fuel mass: "&amp;ROUND(B401,1)&amp;" kg. Documentation: "&amp;Readmefirst!$B$2&amp;", "&amp;Readmefirst!$B$3&amp;". "&amp;B390</f>
        <v>Power: 2.5 kW. Lifetime: 33400 km. Annual kilometers: 2553 km. Number of passengers: 1. Curb mass: 63 kg. Lightweighting of glider: 0%. Emission standard: EURO-5. Service visits throughout lifetime: 1. Range: 271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06" spans="1:8" ht="15.6" x14ac:dyDescent="0.3">
      <c r="A406" s="11" t="s">
        <v>80</v>
      </c>
    </row>
    <row r="407" spans="1:8" x14ac:dyDescent="0.3">
      <c r="A407" t="s">
        <v>81</v>
      </c>
      <c r="B407" t="s">
        <v>82</v>
      </c>
      <c r="C407" t="s">
        <v>73</v>
      </c>
      <c r="D407" t="s">
        <v>77</v>
      </c>
      <c r="E407" t="s">
        <v>83</v>
      </c>
      <c r="F407" t="s">
        <v>75</v>
      </c>
      <c r="G407" t="s">
        <v>84</v>
      </c>
      <c r="H407" t="s">
        <v>74</v>
      </c>
    </row>
    <row r="408" spans="1:8" x14ac:dyDescent="0.3">
      <c r="A408" s="12" t="str">
        <f>B381</f>
        <v>transport, Moped, gasoline, &lt;4kW, EURO-5, 2020</v>
      </c>
      <c r="B408" s="12">
        <v>1</v>
      </c>
      <c r="C408" s="12" t="str">
        <f>B382</f>
        <v>CH</v>
      </c>
      <c r="D408" s="12" t="s">
        <v>172</v>
      </c>
      <c r="E408" s="12"/>
      <c r="F408" s="12" t="s">
        <v>85</v>
      </c>
      <c r="G408" s="12" t="s">
        <v>86</v>
      </c>
      <c r="H408" s="12" t="str">
        <f>B387</f>
        <v>transport, Moped, gasoline, &lt;4kW, EURO-5</v>
      </c>
    </row>
    <row r="409" spans="1:8" x14ac:dyDescent="0.3">
      <c r="A409" s="12" t="str">
        <f>RIGHT(A408,LEN(A408)-11)</f>
        <v>Moped, gasoline, &lt;4kW, EURO-5, 2020</v>
      </c>
      <c r="B409" s="12">
        <f>1/B391</f>
        <v>2.9940119760479042E-5</v>
      </c>
      <c r="C409" s="12" t="str">
        <f>B382</f>
        <v>CH</v>
      </c>
      <c r="D409" s="12" t="s">
        <v>77</v>
      </c>
      <c r="E409" s="12"/>
      <c r="F409" s="12" t="s">
        <v>91</v>
      </c>
      <c r="G409" s="12"/>
      <c r="H409" s="12" t="str">
        <f>RIGHT(H408,LEN(H408)-11)</f>
        <v>Moped, gasoline, &lt;4kW, EURO-5</v>
      </c>
    </row>
    <row r="410" spans="1:8" s="21" customFormat="1" x14ac:dyDescent="0.3">
      <c r="A410" s="12" t="str">
        <f>INDEX('ei names mapping'!$B$4:$R$33,MATCH(B383,'ei names mapping'!$A$4:$A$33,0),MATCH(G410,'ei names mapping'!$B$3:$R$3,0))</f>
        <v>road construction</v>
      </c>
      <c r="B410" s="16">
        <f>INDEX('vehicles specifications'!$B$3:$CK$86,MATCH(B386,'vehicles specifications'!$A$3:$A$86,0),MATCH(G410,'vehicles specifications'!$B$2:$CK$2,0))*INDEX('ei names mapping'!$B$137:$BK$220,MATCH(B386,'ei names mapping'!$A$137:$A$220,0),MATCH(G410,'ei names mapping'!$B$136:$BK$136,0))</f>
        <v>7.2495000000000003E-5</v>
      </c>
      <c r="C410" s="12" t="str">
        <f>INDEX('ei names mapping'!$B$38:$R$67,MATCH(B383,'ei names mapping'!$A$4:$A$33,0),MATCH(G410,'ei names mapping'!$B$3:$R$3,0))</f>
        <v>CH</v>
      </c>
      <c r="D410" s="12" t="str">
        <f>INDEX('ei names mapping'!$B$104:$BK$133,MATCH(B383,'ei names mapping'!$A$4:$A$33,0),MATCH(G410,'ei names mapping'!$B$3:$BK$3,0))</f>
        <v>meter-year</v>
      </c>
      <c r="E410" s="12"/>
      <c r="F410" s="12" t="s">
        <v>91</v>
      </c>
      <c r="G410" s="21" t="s">
        <v>108</v>
      </c>
      <c r="H410" s="12" t="str">
        <f>INDEX('ei names mapping'!$B$71:$BK$100,MATCH(B383,'ei names mapping'!$A$4:$A$33,0),MATCH(G410,'ei names mapping'!$B$3:$BK$3,0))</f>
        <v>road</v>
      </c>
    </row>
    <row r="411" spans="1:8" x14ac:dyDescent="0.3">
      <c r="A411" s="12" t="str">
        <f>INDEX('ei names mapping'!$B$4:$R$33,MATCH(B383,'ei names mapping'!$A$4:$A$33,0),MATCH(G411,'ei names mapping'!$B$3:$R$3,0))</f>
        <v>road maintenance</v>
      </c>
      <c r="B411" s="16">
        <f>INDEX('vehicles specifications'!$B$3:$CK$86,MATCH(B386,'vehicles specifications'!$A$3:$A$86,0),MATCH(G411,'vehicles specifications'!$B$2:$CK$2,0))*INDEX('ei names mapping'!$B$137:$BK$220,MATCH(B386,'ei names mapping'!$A$137:$A$220,0),MATCH(G411,'ei names mapping'!$B$136:$BK$136,0))</f>
        <v>1.2899999999999999E-3</v>
      </c>
      <c r="C411" s="12" t="str">
        <f>INDEX('ei names mapping'!$B$38:$R$67,MATCH(B383,'ei names mapping'!$A$4:$A$33,0),MATCH(G411,'ei names mapping'!$B$3:$R$3,0))</f>
        <v>CH</v>
      </c>
      <c r="D411" s="12" t="str">
        <f>INDEX('ei names mapping'!$B$104:$BK$133,MATCH(B383,'ei names mapping'!$A$4:$A$33,0),MATCH(G411,'ei names mapping'!$B$3:$BK$3,0))</f>
        <v>meter-year</v>
      </c>
      <c r="E411" s="12"/>
      <c r="F411" s="12" t="s">
        <v>91</v>
      </c>
      <c r="G411" t="s">
        <v>117</v>
      </c>
      <c r="H411" s="12" t="str">
        <f>INDEX('ei names mapping'!$B$71:$BK$100,MATCH(B383,'ei names mapping'!$A$4:$A$33,0),MATCH(G411,'ei names mapping'!$B$3:$BK$3,0))</f>
        <v>road maintenance</v>
      </c>
    </row>
    <row r="412" spans="1:8" x14ac:dyDescent="0.3">
      <c r="A412" s="12" t="str">
        <f>INDEX('ei names mapping'!$B$4:$R$33,MATCH(B383,'ei names mapping'!$A$4:$A$33,0),MATCH(G412,'ei names mapping'!$B$3:$R$3,0))</f>
        <v>maintenance, motor scooter</v>
      </c>
      <c r="B412" s="16">
        <f>INDEX('vehicles specifications'!$B$3:$CK$86,MATCH(B386,'vehicles specifications'!$A$3:$A$86,0),MATCH(G412,'vehicles specifications'!$B$2:$CK$2,0))*INDEX('ei names mapping'!$B$137:$BK$220,MATCH(B386,'ei names mapping'!$A$137:$A$220,0),MATCH(G412,'ei names mapping'!$B$136:$BK$136,0))</f>
        <v>2.9940119760479042E-5</v>
      </c>
      <c r="C412" s="12" t="str">
        <f>INDEX('ei names mapping'!$B$38:$BK$67,MATCH(B383,'ei names mapping'!$A$4:$A$33,0),MATCH(G412,'ei names mapping'!$B$3:$BK$3,0))</f>
        <v>CH</v>
      </c>
      <c r="D412" s="12" t="str">
        <f>INDEX('ei names mapping'!$B$104:$BK$133,MATCH(B383,'ei names mapping'!$A$4:$A$33,0),MATCH(G412,'ei names mapping'!$B$3:$BK$3,0))</f>
        <v>unit</v>
      </c>
      <c r="F412" s="12" t="s">
        <v>91</v>
      </c>
      <c r="G412" s="12" t="s">
        <v>123</v>
      </c>
      <c r="H412" s="12" t="str">
        <f>INDEX('ei names mapping'!$B$71:$BK$100,MATCH(B383,'ei names mapping'!$A$4:$A$33,0),MATCH(G412,'ei names mapping'!$B$3:$BK$3,0))</f>
        <v>maintenance, motor scooter</v>
      </c>
    </row>
    <row r="413" spans="1:8" x14ac:dyDescent="0.3">
      <c r="A413" s="12" t="str">
        <f>INDEX('ei names mapping'!$B$4:$R$33,MATCH(B383,'ei names mapping'!$A$4:$A$33,0),MATCH(G413,'ei names mapping'!$B$3:$R$3,0))</f>
        <v>petrol blending for two-stroke engines</v>
      </c>
      <c r="B413" s="16">
        <f>INDEX('vehicles specifications'!$B$3:$CK$86,MATCH(B386,'vehicles specifications'!$A$3:$A$86,0),MATCH(G413,'vehicles specifications'!$B$2:$CK$2,0))*INDEX('ei names mapping'!$B$137:$BK$220,MATCH(B386,'ei names mapping'!$A$137:$A$220,0),MATCH(G413,'ei names mapping'!$B$136:$BK$136,0))</f>
        <v>1.9407507751755076E-2</v>
      </c>
      <c r="C413" s="12" t="str">
        <f>INDEX('ei names mapping'!$B$38:$BK$67,MATCH(B383,'ei names mapping'!$A$4:$A$33,0),MATCH(G413,'ei names mapping'!$B$3:$BK$3,0))</f>
        <v>CH</v>
      </c>
      <c r="D413" s="12" t="str">
        <f>INDEX('ei names mapping'!$B$104:$BK$133,MATCH(B383,'ei names mapping'!$A$4:$A$33,0),MATCH(G413,'ei names mapping'!$B$3:$BK$3,0))</f>
        <v>kilogram</v>
      </c>
      <c r="F413" s="12" t="s">
        <v>91</v>
      </c>
      <c r="G413" s="12" t="s">
        <v>27</v>
      </c>
      <c r="H413" s="12" t="str">
        <f>INDEX('ei names mapping'!$B$71:$BK$100,MATCH(B383,'ei names mapping'!$A$4:$A$33,0),MATCH(G413,'ei names mapping'!$B$3:$BK$3,0))</f>
        <v>petrol, two-stroke blend</v>
      </c>
    </row>
    <row r="414" spans="1:8" x14ac:dyDescent="0.3">
      <c r="A414" s="12" t="str">
        <f>INDEX('ei names mapping'!$B$4:$BK$33,MATCH(B383,'ei names mapping'!$A$4:$A$33,0),MATCH(G414,'ei names mapping'!$B$3:$BK$3,0))</f>
        <v>Carbon dioxide, fossil</v>
      </c>
      <c r="B414" s="16">
        <f>INDEX('vehicles specifications'!$B$3:$CK$86,MATCH(B386,'vehicles specifications'!$A$3:$A$86,0),MATCH(G414,'vehicles specifications'!$B$2:$CK$2,0))*INDEX('ei names mapping'!$B$137:$BK$220,MATCH(B386,'ei names mapping'!$A$137:$A$220,0),MATCH(G414,'ei names mapping'!$B$136:$BK$136,0))</f>
        <v>6.1715874650581141E-2</v>
      </c>
      <c r="C414" s="12"/>
      <c r="D414" s="12" t="str">
        <f>INDEX('ei names mapping'!$B$104:$BK$133,MATCH(B383,'ei names mapping'!$A$4:$A$33,0),MATCH(G414,'ei names mapping'!$B$3:$BK$3,0))</f>
        <v>kilogram</v>
      </c>
      <c r="E414" s="12" t="str">
        <f>INDEX('ei names mapping'!$B$225:$BK$255,MATCH(B383,'ei names mapping'!$A$4:$A$33,0),MATCH(G414,'ei names mapping'!$B$3:$BK$3,0))</f>
        <v>air</v>
      </c>
      <c r="F414" s="12" t="s">
        <v>173</v>
      </c>
      <c r="G414" t="s">
        <v>67</v>
      </c>
      <c r="H414" s="12"/>
    </row>
    <row r="415" spans="1:8" x14ac:dyDescent="0.3">
      <c r="A415" s="12" t="str">
        <f>INDEX('ei names mapping'!$B$4:$BK$33,MATCH(B383,'ei names mapping'!$A$4:$A$33,0),MATCH(G415,'ei names mapping'!$B$3:$BK$3,0))</f>
        <v>Sulfur dioxide</v>
      </c>
      <c r="B415" s="15">
        <f>INDEX('vehicles specifications'!$B$3:$CK$86,MATCH(B386,'vehicles specifications'!$A$3:$A$86,0),MATCH(G415,'vehicles specifications'!$B$2:$CK$2,0))*INDEX('ei names mapping'!$B$137:$BK$220,MATCH(B386,'ei names mapping'!$A$137:$A$220,0),MATCH(G415,'ei names mapping'!$B$136:$BK$136,0))</f>
        <v>3.1052012402808118E-7</v>
      </c>
      <c r="C415" s="12"/>
      <c r="D415" s="12" t="str">
        <f>INDEX('ei names mapping'!$B$104:$BK$133,MATCH(B383,'ei names mapping'!$A$4:$A$33,0),MATCH(G415,'ei names mapping'!$B$3:$BK$3,0))</f>
        <v>kilogram</v>
      </c>
      <c r="E415" s="12" t="str">
        <f>INDEX('ei names mapping'!$B$225:$BK$255,MATCH(B383,'ei names mapping'!$A$4:$A$33,0),MATCH(G415,'ei names mapping'!$B$3:$BK$3,0))</f>
        <v>air</v>
      </c>
      <c r="F415" s="12" t="s">
        <v>173</v>
      </c>
      <c r="G415" t="s">
        <v>68</v>
      </c>
      <c r="H415" s="12"/>
    </row>
    <row r="416" spans="1:8" x14ac:dyDescent="0.3">
      <c r="A416" s="12" t="str">
        <f>INDEX('ei names mapping'!$B$4:$BK$33,MATCH(B383,'ei names mapping'!$A$4:$A$33,0),MATCH(G416,'ei names mapping'!$B$3:$BK$3,0))</f>
        <v>Benzene</v>
      </c>
      <c r="B416" s="15">
        <f>INDEX('vehicles specifications'!$B$3:$CK$86,MATCH(B386,'vehicles specifications'!$A$3:$A$86,0),MATCH(G416,'vehicles specifications'!$B$2:$CK$2,0))*INDEX('ei names mapping'!$B$137:$BK$220,MATCH(B386,'ei names mapping'!$A$137:$A$220,0),MATCH(G416,'ei names mapping'!$B$136:$BK$136,0))</f>
        <v>5.0032792408401772E-5</v>
      </c>
      <c r="C416" s="12"/>
      <c r="D416" s="12" t="str">
        <f>INDEX('ei names mapping'!$B$104:$BK$133,MATCH(B383,'ei names mapping'!$A$4:$A$33,0),MATCH(G416,'ei names mapping'!$B$3:$BK$3,0))</f>
        <v>kilogram</v>
      </c>
      <c r="E416" s="12" t="str">
        <f>INDEX('ei names mapping'!$B$225:$BK$255,MATCH(B383,'ei names mapping'!$A$4:$A$33,0),MATCH(G416,'ei names mapping'!$B$3:$BK$3,0))</f>
        <v>air</v>
      </c>
      <c r="F416" s="12" t="s">
        <v>173</v>
      </c>
      <c r="G416" t="s">
        <v>56</v>
      </c>
      <c r="H416" s="12"/>
    </row>
    <row r="417" spans="1:8" x14ac:dyDescent="0.3">
      <c r="A417" s="12" t="str">
        <f>INDEX('ei names mapping'!$B$4:$BK$33,MATCH(B383,'ei names mapping'!$A$4:$A$33,0),MATCH(G417,'ei names mapping'!$B$3:$BK$3,0))</f>
        <v>Methane, fossil</v>
      </c>
      <c r="B417" s="15">
        <f>INDEX('vehicles specifications'!$B$3:$CK$86,MATCH(B386,'vehicles specifications'!$A$3:$A$86,0),MATCH(G417,'vehicles specifications'!$B$2:$CK$2,0))*INDEX('ei names mapping'!$B$137:$BK$220,MATCH(B386,'ei names mapping'!$A$137:$A$220,0),MATCH(G417,'ei names mapping'!$B$136:$BK$136,0))</f>
        <v>2.2686352001734651E-5</v>
      </c>
      <c r="C417" s="12"/>
      <c r="D417" s="12" t="str">
        <f>INDEX('ei names mapping'!$B$104:$BK$133,MATCH(B383,'ei names mapping'!$A$4:$A$33,0),MATCH(G417,'ei names mapping'!$B$3:$BK$3,0))</f>
        <v>kilogram</v>
      </c>
      <c r="E417" s="12" t="str">
        <f>INDEX('ei names mapping'!$B$225:$BK$255,MATCH(B383,'ei names mapping'!$A$4:$A$33,0),MATCH(G417,'ei names mapping'!$B$3:$BK$3,0))</f>
        <v>air</v>
      </c>
      <c r="F417" s="12" t="s">
        <v>173</v>
      </c>
      <c r="G417" t="s">
        <v>57</v>
      </c>
      <c r="H417" s="12"/>
    </row>
    <row r="418" spans="1:8" x14ac:dyDescent="0.3">
      <c r="A418" s="12" t="str">
        <f>INDEX('ei names mapping'!$B$4:$BK$33,MATCH(B383,'ei names mapping'!$A$4:$A$33,0),MATCH(G418,'ei names mapping'!$B$3:$BK$3,0))</f>
        <v>Carbon monoxide, fossil</v>
      </c>
      <c r="B418" s="15">
        <f>INDEX('vehicles specifications'!$B$3:$CK$86,MATCH(B386,'vehicles specifications'!$A$3:$A$86,0),MATCH(G418,'vehicles specifications'!$B$2:$CK$2,0))*INDEX('ei names mapping'!$B$137:$BK$220,MATCH(B386,'ei names mapping'!$A$137:$A$220,0),MATCH(G418,'ei names mapping'!$B$136:$BK$136,0))</f>
        <v>2.3988511584487494E-3</v>
      </c>
      <c r="C418" s="12"/>
      <c r="D418" s="12" t="str">
        <f>INDEX('ei names mapping'!$B$104:$BK$133,MATCH(B383,'ei names mapping'!$A$4:$A$33,0),MATCH(G418,'ei names mapping'!$B$3:$BK$3,0))</f>
        <v>kilogram</v>
      </c>
      <c r="E418" s="12" t="str">
        <f>INDEX('ei names mapping'!$B$225:$BK$255,MATCH(B383,'ei names mapping'!$A$4:$A$33,0),MATCH(G418,'ei names mapping'!$B$3:$BK$3,0))</f>
        <v>air</v>
      </c>
      <c r="F418" s="12" t="s">
        <v>173</v>
      </c>
      <c r="G418" t="s">
        <v>58</v>
      </c>
      <c r="H418" s="12"/>
    </row>
    <row r="419" spans="1:8" x14ac:dyDescent="0.3">
      <c r="A419" s="12" t="str">
        <f>INDEX('ei names mapping'!$B$4:$BK$33,MATCH(B383,'ei names mapping'!$A$4:$A$33,0),MATCH(G419,'ei names mapping'!$B$3:$BK$3,0))</f>
        <v>Dinitrogen monoxide</v>
      </c>
      <c r="B419" s="15">
        <f>INDEX('vehicles specifications'!$B$3:$CK$86,MATCH(B386,'vehicles specifications'!$A$3:$A$86,0),MATCH(G419,'vehicles specifications'!$B$2:$CK$2,0))*INDEX('ei names mapping'!$B$137:$BK$220,MATCH(B386,'ei names mapping'!$A$137:$A$220,0),MATCH(G419,'ei names mapping'!$B$136:$BK$136,0))</f>
        <v>1.1510072045527478E-6</v>
      </c>
      <c r="C419" s="12"/>
      <c r="D419" s="12" t="str">
        <f>INDEX('ei names mapping'!$B$104:$BK$133,MATCH(B383,'ei names mapping'!$A$4:$A$33,0),MATCH(G419,'ei names mapping'!$B$3:$BK$3,0))</f>
        <v>kilogram</v>
      </c>
      <c r="E419" s="12" t="str">
        <f>INDEX('ei names mapping'!$B$225:$BK$255,MATCH(B383,'ei names mapping'!$A$4:$A$33,0),MATCH(G419,'ei names mapping'!$B$3:$BK$3,0))</f>
        <v>air</v>
      </c>
      <c r="F419" s="12" t="s">
        <v>173</v>
      </c>
      <c r="G419" t="s">
        <v>59</v>
      </c>
      <c r="H419" s="12"/>
    </row>
    <row r="420" spans="1:8" x14ac:dyDescent="0.3">
      <c r="A420" s="12" t="str">
        <f>INDEX('ei names mapping'!$B$4:$BK$33,MATCH(B383,'ei names mapping'!$A$4:$A$33,0),MATCH(G420,'ei names mapping'!$B$3:$BK$3,0))</f>
        <v>Ammonia</v>
      </c>
      <c r="B420" s="15">
        <f>INDEX('vehicles specifications'!$B$3:$CK$86,MATCH(B386,'vehicles specifications'!$A$3:$A$86,0),MATCH(G420,'vehicles specifications'!$B$2:$CK$2,0))*INDEX('ei names mapping'!$B$137:$BK$220,MATCH(B386,'ei names mapping'!$A$137:$A$220,0),MATCH(G420,'ei names mapping'!$B$136:$BK$136,0))</f>
        <v>1.1510072045527478E-6</v>
      </c>
      <c r="C420" s="12"/>
      <c r="D420" s="12" t="str">
        <f>INDEX('ei names mapping'!$B$104:$BK$133,MATCH(B383,'ei names mapping'!$A$4:$A$33,0),MATCH(G420,'ei names mapping'!$B$3:$BK$3,0))</f>
        <v>kilogram</v>
      </c>
      <c r="E420" s="12" t="str">
        <f>INDEX('ei names mapping'!$B$225:$BK$255,MATCH(B383,'ei names mapping'!$A$4:$A$33,0),MATCH(G420,'ei names mapping'!$B$3:$BK$3,0))</f>
        <v>air</v>
      </c>
      <c r="F420" s="12" t="s">
        <v>173</v>
      </c>
      <c r="G420" t="s">
        <v>60</v>
      </c>
      <c r="H420" s="12"/>
    </row>
    <row r="421" spans="1:8" x14ac:dyDescent="0.3">
      <c r="A421" s="12" t="str">
        <f>INDEX('ei names mapping'!$B$4:$BK$33,MATCH(B383,'ei names mapping'!$A$4:$A$33,0),MATCH(G421,'ei names mapping'!$B$3:$BK$3,0))</f>
        <v>Nitrogen oxides</v>
      </c>
      <c r="B421" s="15">
        <f>INDEX('vehicles specifications'!$B$3:$CK$86,MATCH(B386,'vehicles specifications'!$A$3:$A$86,0),MATCH(G421,'vehicles specifications'!$B$2:$CK$2,0))*INDEX('ei names mapping'!$B$137:$BK$220,MATCH(B386,'ei names mapping'!$A$137:$A$220,0),MATCH(G421,'ei names mapping'!$B$136:$BK$136,0))</f>
        <v>8.6314846172377596E-5</v>
      </c>
      <c r="C421" s="12"/>
      <c r="D421" s="12" t="str">
        <f>INDEX('ei names mapping'!$B$104:$BK$133,MATCH(B383,'ei names mapping'!$A$4:$A$33,0),MATCH(G421,'ei names mapping'!$B$3:$BK$3,0))</f>
        <v>kilogram</v>
      </c>
      <c r="E421" s="12" t="str">
        <f>INDEX('ei names mapping'!$B$225:$BK$255,MATCH(B383,'ei names mapping'!$A$4:$A$33,0),MATCH(G421,'ei names mapping'!$B$3:$BK$3,0))</f>
        <v>air</v>
      </c>
      <c r="F421" s="12" t="s">
        <v>173</v>
      </c>
      <c r="G421" s="12" t="s">
        <v>61</v>
      </c>
      <c r="H421" s="12"/>
    </row>
    <row r="422" spans="1:8" x14ac:dyDescent="0.3">
      <c r="A422" s="12" t="str">
        <f>INDEX('ei names mapping'!$B$4:$BK$33,MATCH(B383,'ei names mapping'!$A$4:$A$33,0),MATCH(G422,'ei names mapping'!$B$3:$BK$3,0))</f>
        <v>Particulates, &lt; 2.5 um</v>
      </c>
      <c r="B422" s="15">
        <f>INDEX('vehicles specifications'!$B$3:$CK$86,MATCH(B$386,'vehicles specifications'!$A$3:$A$86,0),MATCH(G422,'vehicles specifications'!$B$2:$CK$2,0))*INDEX('ei names mapping'!$B$137:$BK$220,MATCH(B$386,'ei names mapping'!$A$137:$A$220,0),MATCH(G422,'ei names mapping'!$B$136:$BK$136,0))</f>
        <v>6.6102343757464297E-6</v>
      </c>
      <c r="C422" s="12"/>
      <c r="D422" s="12" t="str">
        <f>INDEX('ei names mapping'!$B$104:$BK$133,MATCH(B383,'ei names mapping'!$A$4:$A$33,0),MATCH(G422,'ei names mapping'!$B$3:$BK$3,0))</f>
        <v>kilogram</v>
      </c>
      <c r="E422" s="12" t="str">
        <f>INDEX('ei names mapping'!$B$225:$BK$255,MATCH(B383,'ei names mapping'!$A$4:$A$33,0),MATCH(G422,'ei names mapping'!$B$3:$BK$3,0))</f>
        <v>air</v>
      </c>
      <c r="F422" s="12" t="s">
        <v>173</v>
      </c>
      <c r="G422" s="12" t="s">
        <v>63</v>
      </c>
      <c r="H422" s="12"/>
    </row>
    <row r="423" spans="1:8" s="21" customFormat="1" x14ac:dyDescent="0.3">
      <c r="A423" s="12" t="str">
        <f>INDEX('ei names mapping'!$B$4:$BK$33,MATCH(B$229,'ei names mapping'!$A$4:$A$33,0),MATCH(G423,'ei names mapping'!$B$3:$BK$3,0))</f>
        <v>NMVOC, non-methane volatile organic compounds, unspecified origin</v>
      </c>
      <c r="B423" s="15">
        <f>INDEX('vehicles specifications'!$B$3:$CK$86,MATCH(B$386,'vehicles specifications'!$A$3:$A$86,0),MATCH(G423,'vehicles specifications'!$B$2:$CK$2,0))*INDEX('ei names mapping'!$B$137:$BK$220,MATCH(B$386,'ei names mapping'!$A$137:$A$220,0),MATCH(G423,'ei names mapping'!$B$136:$BK$136,0))</f>
        <v>4.0347299974261968E-4</v>
      </c>
      <c r="C423" s="12"/>
      <c r="D423" s="12" t="str">
        <f>INDEX('ei names mapping'!$B$104:$BK$133,MATCH(B$229,'ei names mapping'!$A$4:$A$33,0),MATCH(G423,'ei names mapping'!$B$3:$BK$3,0))</f>
        <v>kilogram</v>
      </c>
      <c r="E423" s="12" t="str">
        <f>INDEX('ei names mapping'!$B$225:$BK$255,MATCH(B$229,'ei names mapping'!$A$4:$A$33,0),MATCH(G423,'ei names mapping'!$B$3:$BK$3,0))</f>
        <v>air</v>
      </c>
      <c r="F423" s="12" t="s">
        <v>173</v>
      </c>
      <c r="G423" s="12" t="s">
        <v>659</v>
      </c>
      <c r="H423" s="12"/>
    </row>
    <row r="424" spans="1:8" s="21" customFormat="1" x14ac:dyDescent="0.3">
      <c r="A424" s="12" t="str">
        <f>INDEX('ei names mapping'!$B$4:$BK$33,MATCH(B$229,'ei names mapping'!$A$4:$A$33,0),MATCH(G424,'ei names mapping'!$B$3:$BK$3,0))</f>
        <v>Ethane</v>
      </c>
      <c r="B424" s="15">
        <f>INDEX('vehicles specifications'!$B$3:$CK$86,MATCH(B$386,'vehicles specifications'!$A$3:$A$86,0),MATCH(G424,'vehicles specifications'!$B$2:$CK$2,0))*INDEX('ei names mapping'!$B$137:$BK$220,MATCH(B$386,'ei names mapping'!$A$137:$A$220,0),MATCH(G424,'ei names mapping'!$B$136:$BK$136,0))</f>
        <v>2.8450019212620617E-5</v>
      </c>
      <c r="C424" s="12"/>
      <c r="D424" s="12" t="str">
        <f>INDEX('ei names mapping'!$B$104:$BK$133,MATCH(B$229,'ei names mapping'!$A$4:$A$33,0),MATCH(G424,'ei names mapping'!$B$3:$BK$3,0))</f>
        <v>kilogram</v>
      </c>
      <c r="E424" s="12" t="str">
        <f>INDEX('ei names mapping'!$B$225:$BK$255,MATCH(B$229,'ei names mapping'!$A$4:$A$33,0),MATCH(G424,'ei names mapping'!$B$3:$BK$3,0))</f>
        <v>air</v>
      </c>
      <c r="F424" s="12" t="s">
        <v>173</v>
      </c>
      <c r="G424" s="12" t="s">
        <v>603</v>
      </c>
      <c r="H424" s="12"/>
    </row>
    <row r="425" spans="1:8" s="21" customFormat="1" x14ac:dyDescent="0.3">
      <c r="A425" s="12" t="str">
        <f>INDEX('ei names mapping'!$B$4:$BK$33,MATCH(B$229,'ei names mapping'!$A$4:$A$33,0),MATCH(G425,'ei names mapping'!$B$3:$BK$3,0))</f>
        <v>Propane</v>
      </c>
      <c r="B425" s="15">
        <f>INDEX('vehicles specifications'!$B$3:$CK$86,MATCH(B$386,'vehicles specifications'!$A$3:$A$86,0),MATCH(G425,'vehicles specifications'!$B$2:$CK$2,0))*INDEX('ei names mapping'!$B$137:$BK$220,MATCH(B$386,'ei names mapping'!$A$137:$A$220,0),MATCH(G425,'ei names mapping'!$B$136:$BK$136,0))</f>
        <v>5.7970258583709726E-6</v>
      </c>
      <c r="C425" s="12"/>
      <c r="D425" s="12" t="str">
        <f>INDEX('ei names mapping'!$B$104:$BK$133,MATCH(B$229,'ei names mapping'!$A$4:$A$33,0),MATCH(G425,'ei names mapping'!$B$3:$BK$3,0))</f>
        <v>kilogram</v>
      </c>
      <c r="E425" s="12" t="str">
        <f>INDEX('ei names mapping'!$B$225:$BK$255,MATCH(B$229,'ei names mapping'!$A$4:$A$33,0),MATCH(G425,'ei names mapping'!$B$3:$BK$3,0))</f>
        <v>air</v>
      </c>
      <c r="F425" s="12" t="s">
        <v>173</v>
      </c>
      <c r="G425" s="12" t="s">
        <v>604</v>
      </c>
      <c r="H425" s="12"/>
    </row>
    <row r="426" spans="1:8" s="21" customFormat="1" x14ac:dyDescent="0.3">
      <c r="A426" s="12" t="str">
        <f>INDEX('ei names mapping'!$B$4:$BK$33,MATCH(B$229,'ei names mapping'!$A$4:$A$33,0),MATCH(G426,'ei names mapping'!$B$3:$BK$3,0))</f>
        <v>Butane</v>
      </c>
      <c r="B426" s="15">
        <f>INDEX('vehicles specifications'!$B$3:$CK$86,MATCH(B$386,'vehicles specifications'!$A$3:$A$86,0),MATCH(G426,'vehicles specifications'!$B$2:$CK$2,0))*INDEX('ei names mapping'!$B$137:$BK$220,MATCH(B$386,'ei names mapping'!$A$137:$A$220,0),MATCH(G426,'ei names mapping'!$B$136:$BK$136,0))</f>
        <v>4.6732946919790611E-5</v>
      </c>
      <c r="C426" s="12"/>
      <c r="D426" s="12" t="str">
        <f>INDEX('ei names mapping'!$B$104:$BK$133,MATCH(B$229,'ei names mapping'!$A$4:$A$33,0),MATCH(G426,'ei names mapping'!$B$3:$BK$3,0))</f>
        <v>kilogram</v>
      </c>
      <c r="E426" s="12" t="str">
        <f>INDEX('ei names mapping'!$B$225:$BK$255,MATCH(B$229,'ei names mapping'!$A$4:$A$33,0),MATCH(G426,'ei names mapping'!$B$3:$BK$3,0))</f>
        <v>air</v>
      </c>
      <c r="F426" s="12" t="s">
        <v>173</v>
      </c>
      <c r="G426" s="12" t="s">
        <v>605</v>
      </c>
      <c r="H426" s="12"/>
    </row>
    <row r="427" spans="1:8" s="21" customFormat="1" x14ac:dyDescent="0.3">
      <c r="A427" s="12" t="str">
        <f>INDEX('ei names mapping'!$B$4:$BK$33,MATCH(B$229,'ei names mapping'!$A$4:$A$33,0),MATCH(G427,'ei names mapping'!$B$3:$BK$3,0))</f>
        <v>Pentane</v>
      </c>
      <c r="B427" s="15">
        <f>INDEX('vehicles specifications'!$B$3:$CK$86,MATCH(B$386,'vehicles specifications'!$A$3:$A$86,0),MATCH(G427,'vehicles specifications'!$B$2:$CK$2,0))*INDEX('ei names mapping'!$B$137:$BK$220,MATCH(B$386,'ei names mapping'!$A$137:$A$220,0),MATCH(G427,'ei names mapping'!$B$136:$BK$136,0))</f>
        <v>1.9174777839227063E-5</v>
      </c>
      <c r="C427" s="12"/>
      <c r="D427" s="12" t="str">
        <f>INDEX('ei names mapping'!$B$104:$BK$133,MATCH(B$229,'ei names mapping'!$A$4:$A$33,0),MATCH(G427,'ei names mapping'!$B$3:$BK$3,0))</f>
        <v>kilogram</v>
      </c>
      <c r="E427" s="12" t="str">
        <f>INDEX('ei names mapping'!$B$225:$BK$255,MATCH(B$229,'ei names mapping'!$A$4:$A$33,0),MATCH(G427,'ei names mapping'!$B$3:$BK$3,0))</f>
        <v>air</v>
      </c>
      <c r="F427" s="12" t="s">
        <v>173</v>
      </c>
      <c r="G427" s="12" t="s">
        <v>606</v>
      </c>
      <c r="H427" s="12"/>
    </row>
    <row r="428" spans="1:8" s="21" customFormat="1" x14ac:dyDescent="0.3">
      <c r="A428" s="12" t="str">
        <f>INDEX('ei names mapping'!$B$4:$BK$33,MATCH(B$229,'ei names mapping'!$A$4:$A$33,0),MATCH(G428,'ei names mapping'!$B$3:$BK$3,0))</f>
        <v>Hexane</v>
      </c>
      <c r="B428" s="15">
        <f>INDEX('vehicles specifications'!$B$3:$CK$86,MATCH(B$386,'vehicles specifications'!$A$3:$A$86,0),MATCH(G428,'vehicles specifications'!$B$2:$CK$2,0))*INDEX('ei names mapping'!$B$137:$BK$220,MATCH(B$386,'ei names mapping'!$A$137:$A$220,0),MATCH(G428,'ei names mapping'!$B$136:$BK$136,0))</f>
        <v>1.4358787126118871E-5</v>
      </c>
      <c r="C428" s="12"/>
      <c r="D428" s="12" t="str">
        <f>INDEX('ei names mapping'!$B$104:$BK$133,MATCH(B$229,'ei names mapping'!$A$4:$A$33,0),MATCH(G428,'ei names mapping'!$B$3:$BK$3,0))</f>
        <v>kilogram</v>
      </c>
      <c r="E428" s="12" t="str">
        <f>INDEX('ei names mapping'!$B$225:$BK$255,MATCH(B$229,'ei names mapping'!$A$4:$A$33,0),MATCH(G428,'ei names mapping'!$B$3:$BK$3,0))</f>
        <v>air</v>
      </c>
      <c r="F428" s="12" t="s">
        <v>173</v>
      </c>
      <c r="G428" s="12" t="s">
        <v>607</v>
      </c>
      <c r="H428" s="12"/>
    </row>
    <row r="429" spans="1:8" s="21" customFormat="1" x14ac:dyDescent="0.3">
      <c r="A429" s="12" t="str">
        <f>INDEX('ei names mapping'!$B$4:$BK$33,MATCH(B$229,'ei names mapping'!$A$4:$A$33,0),MATCH(G429,'ei names mapping'!$B$3:$BK$3,0))</f>
        <v>Cyclohexane</v>
      </c>
      <c r="B429" s="15">
        <f>INDEX('vehicles specifications'!$B$3:$CK$86,MATCH(B$386,'vehicles specifications'!$A$3:$A$86,0),MATCH(G429,'vehicles specifications'!$B$2:$CK$2,0))*INDEX('ei names mapping'!$B$137:$BK$220,MATCH(B$386,'ei names mapping'!$A$137:$A$220,0),MATCH(G429,'ei names mapping'!$B$136:$BK$136,0))</f>
        <v>1.016709150545063E-5</v>
      </c>
      <c r="C429" s="12"/>
      <c r="D429" s="12" t="str">
        <f>INDEX('ei names mapping'!$B$104:$BK$133,MATCH(B$229,'ei names mapping'!$A$4:$A$33,0),MATCH(G429,'ei names mapping'!$B$3:$BK$3,0))</f>
        <v>kilogram</v>
      </c>
      <c r="E429" s="12" t="str">
        <f>INDEX('ei names mapping'!$B$225:$BK$255,MATCH(B$229,'ei names mapping'!$A$4:$A$33,0),MATCH(G429,'ei names mapping'!$B$3:$BK$3,0))</f>
        <v>air</v>
      </c>
      <c r="F429" s="12" t="s">
        <v>173</v>
      </c>
      <c r="G429" s="12" t="s">
        <v>608</v>
      </c>
      <c r="H429" s="12"/>
    </row>
    <row r="430" spans="1:8" s="21" customFormat="1" x14ac:dyDescent="0.3">
      <c r="A430" s="12" t="str">
        <f>INDEX('ei names mapping'!$B$4:$BK$33,MATCH(B$229,'ei names mapping'!$A$4:$A$33,0),MATCH(G430,'ei names mapping'!$B$3:$BK$3,0))</f>
        <v>Heptane</v>
      </c>
      <c r="B430" s="15">
        <f>INDEX('vehicles specifications'!$B$3:$CK$86,MATCH(B$386,'vehicles specifications'!$A$3:$A$86,0),MATCH(G430,'vehicles specifications'!$B$2:$CK$2,0))*INDEX('ei names mapping'!$B$137:$BK$220,MATCH(B$386,'ei names mapping'!$A$137:$A$220,0),MATCH(G430,'ei names mapping'!$B$136:$BK$136,0))</f>
        <v>6.599690977222338E-6</v>
      </c>
      <c r="C430" s="12"/>
      <c r="D430" s="12" t="str">
        <f>INDEX('ei names mapping'!$B$104:$BK$133,MATCH(B$229,'ei names mapping'!$A$4:$A$33,0),MATCH(G430,'ei names mapping'!$B$3:$BK$3,0))</f>
        <v>kilogram</v>
      </c>
      <c r="E430" s="12" t="str">
        <f>INDEX('ei names mapping'!$B$225:$BK$255,MATCH(B$229,'ei names mapping'!$A$4:$A$33,0),MATCH(G430,'ei names mapping'!$B$3:$BK$3,0))</f>
        <v>air</v>
      </c>
      <c r="F430" s="12" t="s">
        <v>173</v>
      </c>
      <c r="G430" s="12" t="s">
        <v>609</v>
      </c>
      <c r="H430" s="12"/>
    </row>
    <row r="431" spans="1:8" s="21" customFormat="1" x14ac:dyDescent="0.3">
      <c r="A431" s="12" t="str">
        <f>INDEX('ei names mapping'!$B$4:$BK$33,MATCH(B$229,'ei names mapping'!$A$4:$A$33,0),MATCH(G431,'ei names mapping'!$B$3:$BK$3,0))</f>
        <v>Ethene</v>
      </c>
      <c r="B431" s="15">
        <f>INDEX('vehicles specifications'!$B$3:$CK$86,MATCH(B$386,'vehicles specifications'!$A$3:$A$86,0),MATCH(G431,'vehicles specifications'!$B$2:$CK$2,0))*INDEX('ei names mapping'!$B$137:$BK$220,MATCH(B$386,'ei names mapping'!$A$137:$A$220,0),MATCH(G431,'ei names mapping'!$B$136:$BK$136,0))</f>
        <v>6.5105059640166308E-5</v>
      </c>
      <c r="C431" s="12"/>
      <c r="D431" s="12" t="str">
        <f>INDEX('ei names mapping'!$B$104:$BK$133,MATCH(B$229,'ei names mapping'!$A$4:$A$33,0),MATCH(G431,'ei names mapping'!$B$3:$BK$3,0))</f>
        <v>kilogram</v>
      </c>
      <c r="E431" s="12" t="str">
        <f>INDEX('ei names mapping'!$B$225:$BK$255,MATCH(B$229,'ei names mapping'!$A$4:$A$33,0),MATCH(G431,'ei names mapping'!$B$3:$BK$3,0))</f>
        <v>air</v>
      </c>
      <c r="F431" s="12" t="s">
        <v>173</v>
      </c>
      <c r="G431" s="12" t="s">
        <v>610</v>
      </c>
      <c r="H431" s="12"/>
    </row>
    <row r="432" spans="1:8" s="21" customFormat="1" x14ac:dyDescent="0.3">
      <c r="A432" s="12" t="str">
        <f>INDEX('ei names mapping'!$B$4:$BK$33,MATCH(B$229,'ei names mapping'!$A$4:$A$33,0),MATCH(G432,'ei names mapping'!$B$3:$BK$3,0))</f>
        <v>Propene</v>
      </c>
      <c r="B432" s="15">
        <f>INDEX('vehicles specifications'!$B$3:$CK$86,MATCH(B$386,'vehicles specifications'!$A$3:$A$86,0),MATCH(G432,'vehicles specifications'!$B$2:$CK$2,0))*INDEX('ei names mapping'!$B$137:$BK$220,MATCH(B$386,'ei names mapping'!$A$137:$A$220,0),MATCH(G432,'ei names mapping'!$B$136:$BK$136,0))</f>
        <v>3.406867504458017E-5</v>
      </c>
      <c r="C432" s="12"/>
      <c r="D432" s="12" t="str">
        <f>INDEX('ei names mapping'!$B$104:$BK$133,MATCH(B$229,'ei names mapping'!$A$4:$A$33,0),MATCH(G432,'ei names mapping'!$B$3:$BK$3,0))</f>
        <v>kilogram</v>
      </c>
      <c r="E432" s="12" t="str">
        <f>INDEX('ei names mapping'!$B$225:$BK$255,MATCH(B$229,'ei names mapping'!$A$4:$A$33,0),MATCH(G432,'ei names mapping'!$B$3:$BK$3,0))</f>
        <v>air</v>
      </c>
      <c r="F432" s="12" t="s">
        <v>173</v>
      </c>
      <c r="G432" s="12" t="s">
        <v>611</v>
      </c>
      <c r="H432" s="12"/>
    </row>
    <row r="433" spans="1:8" s="21" customFormat="1" x14ac:dyDescent="0.3">
      <c r="A433" s="12" t="str">
        <f>INDEX('ei names mapping'!$B$4:$BK$33,MATCH(B$229,'ei names mapping'!$A$4:$A$33,0),MATCH(G433,'ei names mapping'!$B$3:$BK$3,0))</f>
        <v>1-Pentene</v>
      </c>
      <c r="B433" s="15">
        <f>INDEX('vehicles specifications'!$B$3:$CK$86,MATCH(B$386,'vehicles specifications'!$A$3:$A$86,0),MATCH(G433,'vehicles specifications'!$B$2:$CK$2,0))*INDEX('ei names mapping'!$B$137:$BK$220,MATCH(B$386,'ei names mapping'!$A$137:$A$220,0),MATCH(G433,'ei names mapping'!$B$136:$BK$136,0))</f>
        <v>9.8103514526278003E-7</v>
      </c>
      <c r="C433" s="12"/>
      <c r="D433" s="12" t="str">
        <f>INDEX('ei names mapping'!$B$104:$BK$133,MATCH(B$229,'ei names mapping'!$A$4:$A$33,0),MATCH(G433,'ei names mapping'!$B$3:$BK$3,0))</f>
        <v>kilogram</v>
      </c>
      <c r="E433" s="12" t="str">
        <f>INDEX('ei names mapping'!$B$225:$BK$255,MATCH(B$229,'ei names mapping'!$A$4:$A$33,0),MATCH(G433,'ei names mapping'!$B$3:$BK$3,0))</f>
        <v>air</v>
      </c>
      <c r="F433" s="12" t="s">
        <v>173</v>
      </c>
      <c r="G433" s="12" t="s">
        <v>612</v>
      </c>
      <c r="H433" s="12"/>
    </row>
    <row r="434" spans="1:8" s="21" customFormat="1" x14ac:dyDescent="0.3">
      <c r="A434" s="12" t="str">
        <f>INDEX('ei names mapping'!$B$4:$BK$33,MATCH(B$229,'ei names mapping'!$A$4:$A$33,0),MATCH(G434,'ei names mapping'!$B$3:$BK$3,0))</f>
        <v>Toluene</v>
      </c>
      <c r="B434" s="15">
        <f>INDEX('vehicles specifications'!$B$3:$CK$86,MATCH(B$386,'vehicles specifications'!$A$3:$A$86,0),MATCH(G434,'vehicles specifications'!$B$2:$CK$2,0))*INDEX('ei names mapping'!$B$137:$BK$220,MATCH(B$386,'ei names mapping'!$A$137:$A$220,0),MATCH(G434,'ei names mapping'!$B$136:$BK$136,0))</f>
        <v>9.7925144499866576E-5</v>
      </c>
      <c r="C434" s="12"/>
      <c r="D434" s="12" t="str">
        <f>INDEX('ei names mapping'!$B$104:$BK$133,MATCH(B$229,'ei names mapping'!$A$4:$A$33,0),MATCH(G434,'ei names mapping'!$B$3:$BK$3,0))</f>
        <v>kilogram</v>
      </c>
      <c r="E434" s="12" t="str">
        <f>INDEX('ei names mapping'!$B$225:$BK$255,MATCH(B$229,'ei names mapping'!$A$4:$A$33,0),MATCH(G434,'ei names mapping'!$B$3:$BK$3,0))</f>
        <v>air</v>
      </c>
      <c r="F434" s="12" t="s">
        <v>173</v>
      </c>
      <c r="G434" s="12" t="s">
        <v>613</v>
      </c>
      <c r="H434" s="12"/>
    </row>
    <row r="435" spans="1:8" s="21" customFormat="1" x14ac:dyDescent="0.3">
      <c r="A435" s="12" t="str">
        <f>INDEX('ei names mapping'!$B$4:$BK$33,MATCH(B$229,'ei names mapping'!$A$4:$A$33,0),MATCH(G435,'ei names mapping'!$B$3:$BK$3,0))</f>
        <v>m-Xylene</v>
      </c>
      <c r="B435" s="15">
        <f>INDEX('vehicles specifications'!$B$3:$CK$86,MATCH(B$386,'vehicles specifications'!$A$3:$A$86,0),MATCH(G435,'vehicles specifications'!$B$2:$CK$2,0))*INDEX('ei names mapping'!$B$137:$BK$220,MATCH(B$386,'ei names mapping'!$A$137:$A$220,0),MATCH(G435,'ei names mapping'!$B$136:$BK$136,0))</f>
        <v>4.8427462170699053E-5</v>
      </c>
      <c r="C435" s="12"/>
      <c r="D435" s="12" t="str">
        <f>INDEX('ei names mapping'!$B$104:$BK$133,MATCH(B$229,'ei names mapping'!$A$4:$A$33,0),MATCH(G435,'ei names mapping'!$B$3:$BK$3,0))</f>
        <v>kilogram</v>
      </c>
      <c r="E435" s="12" t="str">
        <f>INDEX('ei names mapping'!$B$225:$BK$255,MATCH(B$229,'ei names mapping'!$A$4:$A$33,0),MATCH(G435,'ei names mapping'!$B$3:$BK$3,0))</f>
        <v>air</v>
      </c>
      <c r="F435" s="12" t="s">
        <v>173</v>
      </c>
      <c r="G435" s="12" t="s">
        <v>614</v>
      </c>
      <c r="H435" s="12"/>
    </row>
    <row r="436" spans="1:8" s="21" customFormat="1" x14ac:dyDescent="0.3">
      <c r="A436" s="12" t="str">
        <f>INDEX('ei names mapping'!$B$4:$BK$33,MATCH(B$229,'ei names mapping'!$A$4:$A$33,0),MATCH(G436,'ei names mapping'!$B$3:$BK$3,0))</f>
        <v>o-Xylene</v>
      </c>
      <c r="B436" s="15">
        <f>INDEX('vehicles specifications'!$B$3:$CK$86,MATCH(B$386,'vehicles specifications'!$A$3:$A$86,0),MATCH(G436,'vehicles specifications'!$B$2:$CK$2,0))*INDEX('ei names mapping'!$B$137:$BK$220,MATCH(B$386,'ei names mapping'!$A$137:$A$220,0),MATCH(G436,'ei names mapping'!$B$136:$BK$136,0))</f>
        <v>2.0155812984489841E-5</v>
      </c>
      <c r="C436" s="12"/>
      <c r="D436" s="12" t="str">
        <f>INDEX('ei names mapping'!$B$104:$BK$133,MATCH(B$229,'ei names mapping'!$A$4:$A$33,0),MATCH(G436,'ei names mapping'!$B$3:$BK$3,0))</f>
        <v>kilogram</v>
      </c>
      <c r="E436" s="12" t="str">
        <f>INDEX('ei names mapping'!$B$225:$BK$255,MATCH(B$229,'ei names mapping'!$A$4:$A$33,0),MATCH(G436,'ei names mapping'!$B$3:$BK$3,0))</f>
        <v>air</v>
      </c>
      <c r="F436" s="12" t="s">
        <v>173</v>
      </c>
      <c r="G436" s="12" t="s">
        <v>615</v>
      </c>
      <c r="H436" s="12"/>
    </row>
    <row r="437" spans="1:8" s="21" customFormat="1" x14ac:dyDescent="0.3">
      <c r="A437" s="12" t="str">
        <f>INDEX('ei names mapping'!$B$4:$BK$33,MATCH(B$229,'ei names mapping'!$A$4:$A$33,0),MATCH(G437,'ei names mapping'!$B$3:$BK$3,0))</f>
        <v>Formaldehyde</v>
      </c>
      <c r="B437" s="15">
        <f>INDEX('vehicles specifications'!$B$3:$CK$86,MATCH(B$386,'vehicles specifications'!$A$3:$A$86,0),MATCH(G437,'vehicles specifications'!$B$2:$CK$2,0))*INDEX('ei names mapping'!$B$137:$BK$220,MATCH(B$386,'ei names mapping'!$A$137:$A$220,0),MATCH(G437,'ei names mapping'!$B$136:$BK$136,0))</f>
        <v>1.5161452244970237E-5</v>
      </c>
      <c r="C437" s="12"/>
      <c r="D437" s="12" t="str">
        <f>INDEX('ei names mapping'!$B$104:$BK$133,MATCH(B$229,'ei names mapping'!$A$4:$A$33,0),MATCH(G437,'ei names mapping'!$B$3:$BK$3,0))</f>
        <v>kilogram</v>
      </c>
      <c r="E437" s="12" t="str">
        <f>INDEX('ei names mapping'!$B$225:$BK$255,MATCH(B$229,'ei names mapping'!$A$4:$A$33,0),MATCH(G437,'ei names mapping'!$B$3:$BK$3,0))</f>
        <v>air</v>
      </c>
      <c r="F437" s="12" t="s">
        <v>173</v>
      </c>
      <c r="G437" s="12" t="s">
        <v>616</v>
      </c>
      <c r="H437" s="12"/>
    </row>
    <row r="438" spans="1:8" s="21" customFormat="1" x14ac:dyDescent="0.3">
      <c r="A438" s="12" t="str">
        <f>INDEX('ei names mapping'!$B$4:$BK$33,MATCH(B$229,'ei names mapping'!$A$4:$A$33,0),MATCH(G438,'ei names mapping'!$B$3:$BK$3,0))</f>
        <v>Acetaldehyde</v>
      </c>
      <c r="B438" s="15">
        <f>INDEX('vehicles specifications'!$B$3:$CK$86,MATCH(B$386,'vehicles specifications'!$A$3:$A$86,0),MATCH(G438,'vehicles specifications'!$B$2:$CK$2,0))*INDEX('ei names mapping'!$B$137:$BK$220,MATCH(B$386,'ei names mapping'!$A$137:$A$220,0),MATCH(G438,'ei names mapping'!$B$136:$BK$136,0))</f>
        <v>6.6888759904280447E-6</v>
      </c>
      <c r="C438" s="12"/>
      <c r="D438" s="12" t="str">
        <f>INDEX('ei names mapping'!$B$104:$BK$133,MATCH(B$229,'ei names mapping'!$A$4:$A$33,0),MATCH(G438,'ei names mapping'!$B$3:$BK$3,0))</f>
        <v>kilogram</v>
      </c>
      <c r="E438" s="12" t="str">
        <f>INDEX('ei names mapping'!$B$225:$BK$255,MATCH(B$229,'ei names mapping'!$A$4:$A$33,0),MATCH(G438,'ei names mapping'!$B$3:$BK$3,0))</f>
        <v>air</v>
      </c>
      <c r="F438" s="12" t="s">
        <v>173</v>
      </c>
      <c r="G438" s="12" t="s">
        <v>617</v>
      </c>
      <c r="H438" s="12"/>
    </row>
    <row r="439" spans="1:8" s="21" customFormat="1" x14ac:dyDescent="0.3">
      <c r="A439" s="12" t="str">
        <f>INDEX('ei names mapping'!$B$4:$BK$33,MATCH(B$229,'ei names mapping'!$A$4:$A$33,0),MATCH(G439,'ei names mapping'!$B$3:$BK$3,0))</f>
        <v>Benzaldehyde</v>
      </c>
      <c r="B439" s="15">
        <f>INDEX('vehicles specifications'!$B$3:$CK$86,MATCH(B$386,'vehicles specifications'!$A$3:$A$86,0),MATCH(G439,'vehicles specifications'!$B$2:$CK$2,0))*INDEX('ei names mapping'!$B$137:$BK$220,MATCH(B$386,'ei names mapping'!$A$137:$A$220,0),MATCH(G439,'ei names mapping'!$B$136:$BK$136,0))</f>
        <v>1.9620702905255601E-6</v>
      </c>
      <c r="C439" s="12"/>
      <c r="D439" s="12" t="str">
        <f>INDEX('ei names mapping'!$B$104:$BK$133,MATCH(B$229,'ei names mapping'!$A$4:$A$33,0),MATCH(G439,'ei names mapping'!$B$3:$BK$3,0))</f>
        <v>kilogram</v>
      </c>
      <c r="E439" s="12" t="str">
        <f>INDEX('ei names mapping'!$B$225:$BK$255,MATCH(B$229,'ei names mapping'!$A$4:$A$33,0),MATCH(G439,'ei names mapping'!$B$3:$BK$3,0))</f>
        <v>air</v>
      </c>
      <c r="F439" s="12" t="s">
        <v>173</v>
      </c>
      <c r="G439" s="12" t="s">
        <v>618</v>
      </c>
      <c r="H439" s="12"/>
    </row>
    <row r="440" spans="1:8" s="21" customFormat="1" x14ac:dyDescent="0.3">
      <c r="A440" s="12" t="str">
        <f>INDEX('ei names mapping'!$B$4:$BK$33,MATCH(B$229,'ei names mapping'!$A$4:$A$33,0),MATCH(G440,'ei names mapping'!$B$3:$BK$3,0))</f>
        <v>Acetone</v>
      </c>
      <c r="B440" s="15">
        <f>INDEX('vehicles specifications'!$B$3:$CK$86,MATCH(B$386,'vehicles specifications'!$A$3:$A$86,0),MATCH(G440,'vehicles specifications'!$B$2:$CK$2,0))*INDEX('ei names mapping'!$B$137:$BK$220,MATCH(B$386,'ei names mapping'!$A$137:$A$220,0),MATCH(G440,'ei names mapping'!$B$136:$BK$136,0))</f>
        <v>5.4402858055481441E-6</v>
      </c>
      <c r="C440" s="12"/>
      <c r="D440" s="12" t="str">
        <f>INDEX('ei names mapping'!$B$104:$BK$133,MATCH(B$229,'ei names mapping'!$A$4:$A$33,0),MATCH(G440,'ei names mapping'!$B$3:$BK$3,0))</f>
        <v>kilogram</v>
      </c>
      <c r="E440" s="12" t="str">
        <f>INDEX('ei names mapping'!$B$225:$BK$255,MATCH(B$229,'ei names mapping'!$A$4:$A$33,0),MATCH(G440,'ei names mapping'!$B$3:$BK$3,0))</f>
        <v>air</v>
      </c>
      <c r="F440" s="12" t="s">
        <v>173</v>
      </c>
      <c r="G440" s="12" t="s">
        <v>619</v>
      </c>
      <c r="H440" s="12"/>
    </row>
    <row r="441" spans="1:8" s="21" customFormat="1" x14ac:dyDescent="0.3">
      <c r="A441" s="12" t="str">
        <f>INDEX('ei names mapping'!$B$4:$BK$33,MATCH(B$229,'ei names mapping'!$A$4:$A$33,0),MATCH(G441,'ei names mapping'!$B$3:$BK$3,0))</f>
        <v>Methyl ethyl ketone</v>
      </c>
      <c r="B441" s="15">
        <f>INDEX('vehicles specifications'!$B$3:$CK$86,MATCH(B$386,'vehicles specifications'!$A$3:$A$86,0),MATCH(G441,'vehicles specifications'!$B$2:$CK$2,0))*INDEX('ei names mapping'!$B$137:$BK$220,MATCH(B$386,'ei names mapping'!$A$137:$A$220,0),MATCH(G441,'ei names mapping'!$B$136:$BK$136,0))</f>
        <v>0</v>
      </c>
      <c r="C441" s="12"/>
      <c r="D441" s="12" t="str">
        <f>INDEX('ei names mapping'!$B$104:$BK$133,MATCH(B$229,'ei names mapping'!$A$4:$A$33,0),MATCH(G441,'ei names mapping'!$B$3:$BK$3,0))</f>
        <v>kilogram</v>
      </c>
      <c r="E441" s="12" t="str">
        <f>INDEX('ei names mapping'!$B$225:$BK$255,MATCH(B$229,'ei names mapping'!$A$4:$A$33,0),MATCH(G441,'ei names mapping'!$B$3:$BK$3,0))</f>
        <v>air</v>
      </c>
      <c r="F441" s="12" t="s">
        <v>173</v>
      </c>
      <c r="G441" s="12" t="s">
        <v>622</v>
      </c>
      <c r="H441" s="12"/>
    </row>
    <row r="442" spans="1:8" s="21" customFormat="1" x14ac:dyDescent="0.3">
      <c r="A442" s="12" t="str">
        <f>INDEX('ei names mapping'!$B$4:$BK$33,MATCH(B$229,'ei names mapping'!$A$4:$A$33,0),MATCH(G442,'ei names mapping'!$B$3:$BK$3,0))</f>
        <v>Acrolein</v>
      </c>
      <c r="B442" s="15">
        <f>INDEX('vehicles specifications'!$B$3:$CK$86,MATCH(B$386,'vehicles specifications'!$A$3:$A$86,0),MATCH(G442,'vehicles specifications'!$B$2:$CK$2,0))*INDEX('ei names mapping'!$B$137:$BK$220,MATCH(B$386,'ei names mapping'!$A$137:$A$220,0),MATCH(G442,'ei names mapping'!$B$136:$BK$136,0))</f>
        <v>1.6945152509084381E-6</v>
      </c>
      <c r="C442" s="12"/>
      <c r="D442" s="12" t="str">
        <f>INDEX('ei names mapping'!$B$104:$BK$133,MATCH(B$229,'ei names mapping'!$A$4:$A$33,0),MATCH(G442,'ei names mapping'!$B$3:$BK$3,0))</f>
        <v>kilogram</v>
      </c>
      <c r="E442" s="12" t="str">
        <f>INDEX('ei names mapping'!$B$225:$BK$255,MATCH(B$229,'ei names mapping'!$A$4:$A$33,0),MATCH(G442,'ei names mapping'!$B$3:$BK$3,0))</f>
        <v>air</v>
      </c>
      <c r="F442" s="12" t="s">
        <v>173</v>
      </c>
      <c r="G442" s="12" t="s">
        <v>620</v>
      </c>
      <c r="H442" s="12"/>
    </row>
    <row r="443" spans="1:8" s="21" customFormat="1" x14ac:dyDescent="0.3">
      <c r="A443" s="12" t="str">
        <f>INDEX('ei names mapping'!$B$4:$BK$33,MATCH(B$229,'ei names mapping'!$A$4:$A$33,0),MATCH(G443,'ei names mapping'!$B$3:$BK$3,0))</f>
        <v>Styrene</v>
      </c>
      <c r="B443" s="15">
        <f>INDEX('vehicles specifications'!$B$3:$CK$86,MATCH(B$386,'vehicles specifications'!$A$3:$A$86,0),MATCH(G443,'vehicles specifications'!$B$2:$CK$2,0))*INDEX('ei names mapping'!$B$137:$BK$220,MATCH(B$386,'ei names mapping'!$A$137:$A$220,0),MATCH(G443,'ei names mapping'!$B$136:$BK$136,0))</f>
        <v>9.0076863337764332E-6</v>
      </c>
      <c r="C443" s="12"/>
      <c r="D443" s="12" t="str">
        <f>INDEX('ei names mapping'!$B$104:$BK$133,MATCH(B$229,'ei names mapping'!$A$4:$A$33,0),MATCH(G443,'ei names mapping'!$B$3:$BK$3,0))</f>
        <v>kilogram</v>
      </c>
      <c r="E443" s="12" t="str">
        <f>INDEX('ei names mapping'!$B$225:$BK$255,MATCH(B$229,'ei names mapping'!$A$4:$A$33,0),MATCH(G443,'ei names mapping'!$B$3:$BK$3,0))</f>
        <v>air</v>
      </c>
      <c r="F443" s="12" t="s">
        <v>173</v>
      </c>
      <c r="G443" s="12" t="s">
        <v>621</v>
      </c>
      <c r="H443" s="12"/>
    </row>
    <row r="444" spans="1:8" s="21" customFormat="1" x14ac:dyDescent="0.3">
      <c r="A444" s="12" t="str">
        <f>INDEX('ei names mapping'!$B$4:$BK$33,MATCH(B$229,'ei names mapping'!$A$4:$A$33,0),MATCH(G444,'ei names mapping'!$B$3:$BK$3,0))</f>
        <v>PAH, polycyclic aromatic hydrocarbons</v>
      </c>
      <c r="B444" s="15">
        <f>INDEX('vehicles specifications'!$B$3:$CK$86,MATCH(B$386,'vehicles specifications'!$A$3:$A$86,0),MATCH(G444,'vehicles specifications'!$B$2:$CK$2,0))*INDEX('ei names mapping'!$B$137:$BK$220,MATCH(B$386,'ei names mapping'!$A$137:$A$220,0),MATCH(G444,'ei names mapping'!$B$136:$BK$136,0))</f>
        <v>2.8636165837869648E-8</v>
      </c>
      <c r="C444" s="12"/>
      <c r="D444" s="12" t="str">
        <f>INDEX('ei names mapping'!$B$104:$BK$133,MATCH(B$229,'ei names mapping'!$A$4:$A$33,0),MATCH(G444,'ei names mapping'!$B$3:$BK$3,0))</f>
        <v>kilogram</v>
      </c>
      <c r="E444" s="12" t="str">
        <f>INDEX('ei names mapping'!$B$225:$BK$255,MATCH(B$229,'ei names mapping'!$A$4:$A$33,0),MATCH(G444,'ei names mapping'!$B$3:$BK$3,0))</f>
        <v>air</v>
      </c>
      <c r="F444" s="12" t="s">
        <v>173</v>
      </c>
      <c r="G444" s="12" t="s">
        <v>623</v>
      </c>
      <c r="H444" s="12"/>
    </row>
    <row r="445" spans="1:8" s="21" customFormat="1" x14ac:dyDescent="0.3">
      <c r="A445" s="12" t="str">
        <f>INDEX('ei names mapping'!$B$4:$BK$33,MATCH(B$229,'ei names mapping'!$A$4:$A$33,0),MATCH(G445,'ei names mapping'!$B$3:$BK$3,0))</f>
        <v>Arsenic</v>
      </c>
      <c r="B445" s="15">
        <f>INDEX('vehicles specifications'!$B$3:$CK$86,MATCH(B$386,'vehicles specifications'!$A$3:$A$86,0),MATCH(G445,'vehicles specifications'!$B$2:$CK$2,0))*INDEX('ei names mapping'!$B$137:$BK$220,MATCH(B$386,'ei names mapping'!$A$137:$A$220,0),MATCH(G445,'ei names mapping'!$B$136:$BK$136,0))</f>
        <v>2.4686349860232454E-10</v>
      </c>
      <c r="C445" s="12"/>
      <c r="D445" s="12" t="str">
        <f>INDEX('ei names mapping'!$B$104:$BK$133,MATCH(B$229,'ei names mapping'!$A$4:$A$33,0),MATCH(G445,'ei names mapping'!$B$3:$BK$3,0))</f>
        <v>kilogram</v>
      </c>
      <c r="E445" s="12" t="str">
        <f>INDEX('ei names mapping'!$B$225:$BK$255,MATCH(B$229,'ei names mapping'!$A$4:$A$33,0),MATCH(G445,'ei names mapping'!$B$3:$BK$3,0))</f>
        <v>air</v>
      </c>
      <c r="F445" s="12" t="s">
        <v>173</v>
      </c>
      <c r="G445" s="12" t="s">
        <v>624</v>
      </c>
      <c r="H445" s="12"/>
    </row>
    <row r="446" spans="1:8" s="21" customFormat="1" x14ac:dyDescent="0.3">
      <c r="A446" s="12" t="str">
        <f>INDEX('ei names mapping'!$B$4:$BK$33,MATCH(B$229,'ei names mapping'!$A$4:$A$33,0),MATCH(G446,'ei names mapping'!$B$3:$BK$3,0))</f>
        <v>Selenium</v>
      </c>
      <c r="B446" s="15">
        <f>INDEX('vehicles specifications'!$B$3:$CK$86,MATCH(B$386,'vehicles specifications'!$A$3:$A$86,0),MATCH(G446,'vehicles specifications'!$B$2:$CK$2,0))*INDEX('ei names mapping'!$B$137:$BK$220,MATCH(B$386,'ei names mapping'!$A$137:$A$220,0),MATCH(G446,'ei names mapping'!$B$136:$BK$136,0))</f>
        <v>1.6457566573488304E-10</v>
      </c>
      <c r="C446" s="12"/>
      <c r="D446" s="12" t="str">
        <f>INDEX('ei names mapping'!$B$104:$BK$133,MATCH(B$229,'ei names mapping'!$A$4:$A$33,0),MATCH(G446,'ei names mapping'!$B$3:$BK$3,0))</f>
        <v>kilogram</v>
      </c>
      <c r="E446" s="12" t="str">
        <f>INDEX('ei names mapping'!$B$225:$BK$255,MATCH(B$229,'ei names mapping'!$A$4:$A$33,0),MATCH(G446,'ei names mapping'!$B$3:$BK$3,0))</f>
        <v>air</v>
      </c>
      <c r="F446" s="12" t="s">
        <v>173</v>
      </c>
      <c r="G446" s="12" t="s">
        <v>625</v>
      </c>
      <c r="H446" s="12"/>
    </row>
    <row r="447" spans="1:8" s="21" customFormat="1" x14ac:dyDescent="0.3">
      <c r="A447" s="12" t="str">
        <f>INDEX('ei names mapping'!$B$4:$BK$33,MATCH(B$229,'ei names mapping'!$A$4:$A$33,0),MATCH(G447,'ei names mapping'!$B$3:$BK$3,0))</f>
        <v>Zinc</v>
      </c>
      <c r="B447" s="15">
        <f>INDEX('vehicles specifications'!$B$3:$CK$86,MATCH(B$386,'vehicles specifications'!$A$3:$A$86,0),MATCH(G447,'vehicles specifications'!$B$2:$CK$2,0))*INDEX('ei names mapping'!$B$137:$BK$220,MATCH(B$386,'ei names mapping'!$A$137:$A$220,0),MATCH(G447,'ei names mapping'!$B$136:$BK$136,0))</f>
        <v>1.7774171899367368E-6</v>
      </c>
      <c r="C447" s="12"/>
      <c r="D447" s="12" t="str">
        <f>INDEX('ei names mapping'!$B$104:$BK$133,MATCH(B$229,'ei names mapping'!$A$4:$A$33,0),MATCH(G447,'ei names mapping'!$B$3:$BK$3,0))</f>
        <v>kilogram</v>
      </c>
      <c r="E447" s="12" t="str">
        <f>INDEX('ei names mapping'!$B$225:$BK$255,MATCH(B$229,'ei names mapping'!$A$4:$A$33,0),MATCH(G447,'ei names mapping'!$B$3:$BK$3,0))</f>
        <v>air</v>
      </c>
      <c r="F447" s="12" t="s">
        <v>173</v>
      </c>
      <c r="G447" s="12" t="s">
        <v>626</v>
      </c>
      <c r="H447" s="12"/>
    </row>
    <row r="448" spans="1:8" s="21" customFormat="1" x14ac:dyDescent="0.3">
      <c r="A448" s="12" t="str">
        <f>INDEX('ei names mapping'!$B$4:$BK$33,MATCH(B$229,'ei names mapping'!$A$4:$A$33,0),MATCH(G448,'ei names mapping'!$B$3:$BK$3,0))</f>
        <v>Copper</v>
      </c>
      <c r="B448" s="15">
        <f>INDEX('vehicles specifications'!$B$3:$CK$86,MATCH(B$386,'vehicles specifications'!$A$3:$A$86,0),MATCH(G448,'vehicles specifications'!$B$2:$CK$2,0))*INDEX('ei names mapping'!$B$137:$BK$220,MATCH(B$386,'ei names mapping'!$A$137:$A$220,0),MATCH(G448,'ei names mapping'!$B$136:$BK$136,0))</f>
        <v>3.4560889804325435E-8</v>
      </c>
      <c r="C448" s="12"/>
      <c r="D448" s="12" t="str">
        <f>INDEX('ei names mapping'!$B$104:$BK$133,MATCH(B$229,'ei names mapping'!$A$4:$A$33,0),MATCH(G448,'ei names mapping'!$B$3:$BK$3,0))</f>
        <v>kilogram</v>
      </c>
      <c r="E448" s="12" t="str">
        <f>INDEX('ei names mapping'!$B$225:$BK$255,MATCH(B$229,'ei names mapping'!$A$4:$A$33,0),MATCH(G448,'ei names mapping'!$B$3:$BK$3,0))</f>
        <v>air</v>
      </c>
      <c r="F448" s="12" t="s">
        <v>173</v>
      </c>
      <c r="G448" s="12" t="s">
        <v>581</v>
      </c>
      <c r="H448" s="12"/>
    </row>
    <row r="449" spans="1:8" s="21" customFormat="1" x14ac:dyDescent="0.3">
      <c r="A449" s="12" t="str">
        <f>INDEX('ei names mapping'!$B$4:$BK$33,MATCH(B$229,'ei names mapping'!$A$4:$A$33,0),MATCH(G449,'ei names mapping'!$B$3:$BK$3,0))</f>
        <v>Nickel</v>
      </c>
      <c r="B449" s="15">
        <f>INDEX('vehicles specifications'!$B$3:$CK$86,MATCH(B$386,'vehicles specifications'!$A$3:$A$86,0),MATCH(G449,'vehicles specifications'!$B$2:$CK$2,0))*INDEX('ei names mapping'!$B$137:$BK$220,MATCH(B$386,'ei names mapping'!$A$137:$A$220,0),MATCH(G449,'ei names mapping'!$B$136:$BK$136,0))</f>
        <v>1.0697418272767397E-8</v>
      </c>
      <c r="C449" s="12"/>
      <c r="D449" s="12" t="str">
        <f>INDEX('ei names mapping'!$B$104:$BK$133,MATCH(B$229,'ei names mapping'!$A$4:$A$33,0),MATCH(G449,'ei names mapping'!$B$3:$BK$3,0))</f>
        <v>kilogram</v>
      </c>
      <c r="E449" s="12" t="str">
        <f>INDEX('ei names mapping'!$B$225:$BK$255,MATCH(B$229,'ei names mapping'!$A$4:$A$33,0),MATCH(G449,'ei names mapping'!$B$3:$BK$3,0))</f>
        <v>air</v>
      </c>
      <c r="F449" s="12" t="s">
        <v>173</v>
      </c>
      <c r="G449" s="12" t="s">
        <v>583</v>
      </c>
      <c r="H449" s="12"/>
    </row>
    <row r="450" spans="1:8" s="21" customFormat="1" x14ac:dyDescent="0.3">
      <c r="A450" s="12" t="str">
        <f>INDEX('ei names mapping'!$B$4:$BK$33,MATCH(B$229,'ei names mapping'!$A$4:$A$33,0),MATCH(G450,'ei names mapping'!$B$3:$BK$3,0))</f>
        <v>Chromium</v>
      </c>
      <c r="B450" s="15">
        <f>INDEX('vehicles specifications'!$B$3:$CK$86,MATCH(B$386,'vehicles specifications'!$A$3:$A$86,0),MATCH(G450,'vehicles specifications'!$B$2:$CK$2,0))*INDEX('ei names mapping'!$B$137:$BK$220,MATCH(B$386,'ei names mapping'!$A$137:$A$220,0),MATCH(G450,'ei names mapping'!$B$136:$BK$136,0))</f>
        <v>1.3166053258790645E-8</v>
      </c>
      <c r="C450" s="12"/>
      <c r="D450" s="12" t="str">
        <f>INDEX('ei names mapping'!$B$104:$BK$133,MATCH(B$229,'ei names mapping'!$A$4:$A$33,0),MATCH(G450,'ei names mapping'!$B$3:$BK$3,0))</f>
        <v>kilogram</v>
      </c>
      <c r="E450" s="12" t="str">
        <f>INDEX('ei names mapping'!$B$225:$BK$255,MATCH(B$229,'ei names mapping'!$A$4:$A$33,0),MATCH(G450,'ei names mapping'!$B$3:$BK$3,0))</f>
        <v>air</v>
      </c>
      <c r="F450" s="12" t="s">
        <v>173</v>
      </c>
      <c r="G450" s="12" t="s">
        <v>582</v>
      </c>
      <c r="H450" s="12"/>
    </row>
    <row r="451" spans="1:8" s="21" customFormat="1" x14ac:dyDescent="0.3">
      <c r="A451" s="12" t="str">
        <f>INDEX('ei names mapping'!$B$4:$BK$33,MATCH(B$229,'ei names mapping'!$A$4:$A$33,0),MATCH(G451,'ei names mapping'!$B$3:$BK$3,0))</f>
        <v>Chromium VI</v>
      </c>
      <c r="B451" s="15">
        <f>INDEX('vehicles specifications'!$B$3:$CK$86,MATCH(B$386,'vehicles specifications'!$A$3:$A$86,0),MATCH(G451,'vehicles specifications'!$B$2:$CK$2,0))*INDEX('ei names mapping'!$B$137:$BK$220,MATCH(B$386,'ei names mapping'!$A$137:$A$220,0),MATCH(G451,'ei names mapping'!$B$136:$BK$136,0))</f>
        <v>2.6332106517581283E-11</v>
      </c>
      <c r="C451" s="12"/>
      <c r="D451" s="12" t="str">
        <f>INDEX('ei names mapping'!$B$104:$BK$133,MATCH(B$229,'ei names mapping'!$A$4:$A$33,0),MATCH(G451,'ei names mapping'!$B$3:$BK$3,0))</f>
        <v>kilogram</v>
      </c>
      <c r="E451" s="12" t="str">
        <f>INDEX('ei names mapping'!$B$225:$BK$255,MATCH(B$229,'ei names mapping'!$A$4:$A$33,0),MATCH(G451,'ei names mapping'!$B$3:$BK$3,0))</f>
        <v>air</v>
      </c>
      <c r="F451" s="12" t="s">
        <v>173</v>
      </c>
      <c r="G451" s="12" t="s">
        <v>629</v>
      </c>
      <c r="H451" s="12"/>
    </row>
    <row r="452" spans="1:8" s="21" customFormat="1" x14ac:dyDescent="0.3">
      <c r="A452" s="12" t="str">
        <f>INDEX('ei names mapping'!$B$4:$BK$33,MATCH(B$229,'ei names mapping'!$A$4:$A$33,0),MATCH(G452,'ei names mapping'!$B$3:$BK$3,0))</f>
        <v>Mercury</v>
      </c>
      <c r="B452" s="15">
        <f>INDEX('vehicles specifications'!$B$3:$CK$86,MATCH(B$386,'vehicles specifications'!$A$3:$A$86,0),MATCH(G452,'vehicles specifications'!$B$2:$CK$2,0))*INDEX('ei names mapping'!$B$137:$BK$220,MATCH(B$386,'ei names mapping'!$A$137:$A$220,0),MATCH(G452,'ei names mapping'!$B$136:$BK$136,0))</f>
        <v>7.1590414594674119E-9</v>
      </c>
      <c r="C452" s="12"/>
      <c r="D452" s="12" t="str">
        <f>INDEX('ei names mapping'!$B$104:$BK$133,MATCH(B$229,'ei names mapping'!$A$4:$A$33,0),MATCH(G452,'ei names mapping'!$B$3:$BK$3,0))</f>
        <v>kilogram</v>
      </c>
      <c r="E452" s="12" t="str">
        <f>INDEX('ei names mapping'!$B$225:$BK$255,MATCH(B$229,'ei names mapping'!$A$4:$A$33,0),MATCH(G452,'ei names mapping'!$B$3:$BK$3,0))</f>
        <v>air</v>
      </c>
      <c r="F452" s="12" t="s">
        <v>173</v>
      </c>
      <c r="G452" s="12" t="s">
        <v>627</v>
      </c>
      <c r="H452" s="12"/>
    </row>
    <row r="453" spans="1:8" s="21" customFormat="1" x14ac:dyDescent="0.3">
      <c r="A453" s="12" t="str">
        <f>INDEX('ei names mapping'!$B$4:$BK$33,MATCH(B$229,'ei names mapping'!$A$4:$A$33,0),MATCH(G453,'ei names mapping'!$B$3:$BK$3,0))</f>
        <v>Cadmium</v>
      </c>
      <c r="B453" s="15">
        <f>INDEX('vehicles specifications'!$B$3:$CK$86,MATCH(B$386,'vehicles specifications'!$A$3:$A$86,0),MATCH(G453,'vehicles specifications'!$B$2:$CK$2,0))*INDEX('ei names mapping'!$B$137:$BK$220,MATCH(B$386,'ei names mapping'!$A$137:$A$220,0),MATCH(G453,'ei names mapping'!$B$136:$BK$136,0))</f>
        <v>8.8870859496836834E-9</v>
      </c>
      <c r="C453" s="12"/>
      <c r="D453" s="12" t="str">
        <f>INDEX('ei names mapping'!$B$104:$BK$133,MATCH(B$229,'ei names mapping'!$A$4:$A$33,0),MATCH(G453,'ei names mapping'!$B$3:$BK$3,0))</f>
        <v>kilogram</v>
      </c>
      <c r="E453" s="12" t="str">
        <f>INDEX('ei names mapping'!$B$225:$BK$255,MATCH(B$229,'ei names mapping'!$A$4:$A$33,0),MATCH(G453,'ei names mapping'!$B$3:$BK$3,0))</f>
        <v>air</v>
      </c>
      <c r="F453" s="12" t="s">
        <v>173</v>
      </c>
      <c r="G453" s="12" t="s">
        <v>628</v>
      </c>
      <c r="H453" s="12"/>
    </row>
    <row r="454" spans="1:8" x14ac:dyDescent="0.3">
      <c r="A454" s="12" t="str">
        <f>INDEX('ei names mapping'!$B$4:$BK$33,MATCH(B383,'ei names mapping'!$A$4:$A$33,0),MATCH(G454,'ei names mapping'!$B$3:$BK$3,0))</f>
        <v>treatment of road wear emissions, passenger car</v>
      </c>
      <c r="B454" s="16">
        <f>INDEX('vehicles specifications'!$B$3:$CK$86,MATCH(B386,'vehicles specifications'!$A$3:$A$86,0),MATCH(G454,'vehicles specifications'!$B$2:$CK$2,0))*INDEX('ei names mapping'!$B$137:$BK$220,MATCH(B386,'ei names mapping'!$A$137:$A$220,0),MATCH(G454,'ei names mapping'!$B$136:$BK$136,0))</f>
        <v>-6.0000000000000002E-6</v>
      </c>
      <c r="C454" s="12" t="str">
        <f>INDEX('ei names mapping'!$B$38:$BK$67,MATCH(B383,'ei names mapping'!$A$4:$A$33,0),MATCH(G454,'ei names mapping'!$B$3:$BK$3,0))</f>
        <v>RER</v>
      </c>
      <c r="D454" s="12" t="str">
        <f>INDEX('ei names mapping'!$B$104:$BK$133,MATCH(B383,'ei names mapping'!$A$4:$A$33,0),MATCH(G454,'ei names mapping'!$B$3:$BK$3,0))</f>
        <v>kilogram</v>
      </c>
      <c r="E454" s="12"/>
      <c r="F454" s="12" t="s">
        <v>91</v>
      </c>
      <c r="G454" t="s">
        <v>29</v>
      </c>
      <c r="H454" s="12" t="str">
        <f>INDEX('ei names mapping'!$B$71:$BK$100,MATCH(B383,'ei names mapping'!$A$4:$A$33,0),MATCH(G454,'ei names mapping'!$B$3:$BK$3,0))</f>
        <v>road wear emissions, passenger car</v>
      </c>
    </row>
    <row r="455" spans="1:8" x14ac:dyDescent="0.3">
      <c r="A455" s="12" t="str">
        <f>INDEX('ei names mapping'!$B$4:$BK$33,MATCH(B383,'ei names mapping'!$A$4:$A$33,0),MATCH(G455,'ei names mapping'!$B$3:$BK$3,0))</f>
        <v>treatment of tyre wear emissions, passenger car</v>
      </c>
      <c r="B455" s="16">
        <f>INDEX('vehicles specifications'!$B$3:$CK$86,MATCH(B386,'vehicles specifications'!$A$3:$A$86,0),MATCH(G455,'vehicles specifications'!$B$2:$CK$2,0))*INDEX('ei names mapping'!$B$137:$BK$220,MATCH(B386,'ei names mapping'!$A$137:$A$220,0),MATCH(G455,'ei names mapping'!$B$136:$BK$136,0))</f>
        <v>-5.8379999999999998E-6</v>
      </c>
      <c r="C455" s="12" t="str">
        <f>INDEX('ei names mapping'!$B$38:$BK$67,MATCH(B383,'ei names mapping'!$A$4:$A$33,0),MATCH(G455,'ei names mapping'!$B$3:$BK$3,0))</f>
        <v>RER</v>
      </c>
      <c r="D455" s="12" t="str">
        <f>INDEX('ei names mapping'!$B$104:$BK$133,MATCH(B383,'ei names mapping'!$A$4:$A$33,0),MATCH(G455,'ei names mapping'!$B$3:$BK$3,0))</f>
        <v>kilogram</v>
      </c>
      <c r="E455" s="12"/>
      <c r="F455" s="12" t="s">
        <v>91</v>
      </c>
      <c r="G455" t="s">
        <v>30</v>
      </c>
      <c r="H455" s="12" t="str">
        <f>INDEX('ei names mapping'!$B$71:$BK$100,MATCH(B383,'ei names mapping'!$A$4:$A$33,0),MATCH(G455,'ei names mapping'!$B$3:$BK$3,0))</f>
        <v>tyre wear emissions, passenger car</v>
      </c>
    </row>
    <row r="456" spans="1:8" x14ac:dyDescent="0.3">
      <c r="A456" s="12" t="str">
        <f>INDEX('ei names mapping'!$B$4:$BK$33,MATCH(B383,'ei names mapping'!$A$4:$A$33,0),MATCH(G456,'ei names mapping'!$B$3:$BK$3,0))</f>
        <v>treatment of brake wear emissions, passenger car</v>
      </c>
      <c r="B456" s="16">
        <f>INDEX('vehicles specifications'!$B$3:$CK$86,MATCH(B386,'vehicles specifications'!$A$3:$A$86,0),MATCH(G456,'vehicles specifications'!$B$2:$CK$2,0))*INDEX('ei names mapping'!$B$137:$BK$220,MATCH(B386,'ei names mapping'!$A$137:$A$220,0),MATCH(G456,'ei names mapping'!$B$136:$BK$136,0))</f>
        <v>-3.6740000000000003E-6</v>
      </c>
      <c r="C456" s="12" t="str">
        <f>INDEX('ei names mapping'!$B$38:$BK$67,MATCH(B383,'ei names mapping'!$A$4:$A$33,0),MATCH(G456,'ei names mapping'!$B$3:$BK$3,0))</f>
        <v>RER</v>
      </c>
      <c r="D456" s="12" t="str">
        <f>INDEX('ei names mapping'!$B$104:$BK$133,MATCH(B383,'ei names mapping'!$A$4:$A$33,0),MATCH(G456,'ei names mapping'!$B$3:$BK$3,0))</f>
        <v>kilogram</v>
      </c>
      <c r="E456" s="12"/>
      <c r="F456" s="12" t="s">
        <v>91</v>
      </c>
      <c r="G456" t="s">
        <v>31</v>
      </c>
      <c r="H456" s="12" t="str">
        <f>INDEX('ei names mapping'!$B$71:$BK$100,MATCH(B383,'ei names mapping'!$A$4:$A$33,0),MATCH(G456,'ei names mapping'!$B$3:$BK$3,0))</f>
        <v>brake wear emissions, passenger car</v>
      </c>
    </row>
    <row r="457" spans="1:8" x14ac:dyDescent="0.3">
      <c r="B457" s="6"/>
    </row>
    <row r="458" spans="1:8" ht="15.6" x14ac:dyDescent="0.3">
      <c r="A458" s="11" t="s">
        <v>72</v>
      </c>
      <c r="B458" s="9" t="str">
        <f>"transport, "&amp;B460&amp;", "&amp;B462</f>
        <v>transport, Moped, gasoline, &lt;4kW, EURO-5, 2030</v>
      </c>
    </row>
    <row r="459" spans="1:8" x14ac:dyDescent="0.3">
      <c r="A459" t="s">
        <v>73</v>
      </c>
      <c r="B459" t="s">
        <v>37</v>
      </c>
    </row>
    <row r="460" spans="1:8" x14ac:dyDescent="0.3">
      <c r="A460" t="s">
        <v>87</v>
      </c>
      <c r="B460" t="s">
        <v>647</v>
      </c>
    </row>
    <row r="461" spans="1:8" x14ac:dyDescent="0.3">
      <c r="A461" t="s">
        <v>88</v>
      </c>
      <c r="B461" s="12"/>
    </row>
    <row r="462" spans="1:8" x14ac:dyDescent="0.3">
      <c r="A462" t="s">
        <v>89</v>
      </c>
      <c r="B462" s="12">
        <v>2030</v>
      </c>
    </row>
    <row r="463" spans="1:8" x14ac:dyDescent="0.3">
      <c r="A463" t="s">
        <v>131</v>
      </c>
      <c r="B463" s="12" t="str">
        <f>B460&amp;" - "&amp;B462&amp;" - "&amp;B459</f>
        <v>Moped, gasoline, &lt;4kW, EURO-5 - 2030 - CH</v>
      </c>
    </row>
    <row r="464" spans="1:8" x14ac:dyDescent="0.3">
      <c r="A464" t="s">
        <v>74</v>
      </c>
      <c r="B464" s="12" t="str">
        <f>"transport, "&amp;B460</f>
        <v>transport, Moped, gasoline, &lt;4kW, EURO-5</v>
      </c>
    </row>
    <row r="465" spans="1:2" x14ac:dyDescent="0.3">
      <c r="A465" t="s">
        <v>75</v>
      </c>
      <c r="B465" t="s">
        <v>76</v>
      </c>
    </row>
    <row r="466" spans="1:2" x14ac:dyDescent="0.3">
      <c r="A466" t="s">
        <v>77</v>
      </c>
      <c r="B466" t="s">
        <v>172</v>
      </c>
    </row>
    <row r="467" spans="1:2" x14ac:dyDescent="0.3">
      <c r="A467" t="s">
        <v>79</v>
      </c>
      <c r="B467" t="s">
        <v>90</v>
      </c>
    </row>
    <row r="468" spans="1:2" x14ac:dyDescent="0.3">
      <c r="A468" t="s">
        <v>132</v>
      </c>
      <c r="B468">
        <f>INDEX('vehicles specifications'!$B$3:$CK$86,MATCH(B463,'vehicles specifications'!$A$3:$A$86,0),MATCH("Lifetime [km]",'vehicles specifications'!$B$2:$CK$2,0))</f>
        <v>33400</v>
      </c>
    </row>
    <row r="469" spans="1:2" x14ac:dyDescent="0.3">
      <c r="A469" t="s">
        <v>133</v>
      </c>
      <c r="B469">
        <f>INDEX('vehicles specifications'!$B$3:$CK$86,MATCH(B463,'vehicles specifications'!$A$3:$A$86,0),MATCH("Passengers [unit]",'vehicles specifications'!$B$2:$CK$2,0))</f>
        <v>1</v>
      </c>
    </row>
    <row r="470" spans="1:2" x14ac:dyDescent="0.3">
      <c r="A470" t="s">
        <v>134</v>
      </c>
      <c r="B470">
        <f>INDEX('vehicles specifications'!$B$3:$CK$86,MATCH(B463,'vehicles specifications'!$A$3:$A$86,0),MATCH("Servicing [unit]",'vehicles specifications'!$B$2:$CK$2,0))</f>
        <v>1</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2553</v>
      </c>
    </row>
    <row r="473" spans="1:2" x14ac:dyDescent="0.3">
      <c r="A473" t="s">
        <v>137</v>
      </c>
      <c r="B473" s="2">
        <f>INDEX('vehicles specifications'!$B$3:$CK$86,MATCH(B463,'vehicles specifications'!$A$3:$A$86,0),MATCH("Curb mass [kg]",'vehicles specifications'!$B$2:$CK$2,0))</f>
        <v>61.729124999999996</v>
      </c>
    </row>
    <row r="474" spans="1:2" x14ac:dyDescent="0.3">
      <c r="A474" t="s">
        <v>138</v>
      </c>
      <c r="B474">
        <f>INDEX('vehicles specifications'!$B$3:$CK$86,MATCH(B463,'vehicles specifications'!$A$3:$A$86,0),MATCH("Power [kW]",'vehicles specifications'!$B$2:$CK$2,0))</f>
        <v>2.5</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s="2">
        <f>INDEX('vehicles specifications'!$B$3:$CK$86,MATCH(B463,'vehicles specifications'!$A$3:$A$86,0),MATCH("Oxydation energy stored [kWh]",'vehicles specifications'!$B$2:$CK$2,0))</f>
        <v>61.833333333333329</v>
      </c>
    </row>
    <row r="478" spans="1:2" x14ac:dyDescent="0.3">
      <c r="A478" t="s">
        <v>145</v>
      </c>
      <c r="B478">
        <f>INDEX('vehicles specifications'!$B$3:$CK$86,MATCH(B463,'vehicles specifications'!$A$3:$A$86,0),MATCH("Fuel mass [kg]",'vehicles specifications'!$B$2:$CK$2,0))</f>
        <v>5.25</v>
      </c>
    </row>
    <row r="479" spans="1:2" x14ac:dyDescent="0.3">
      <c r="A479" t="s">
        <v>141</v>
      </c>
      <c r="B479" s="2">
        <f>INDEX('vehicles specifications'!$B$3:$CK$86,MATCH(B463,'vehicles specifications'!$A$3:$A$86,0),MATCH("Range [km]",'vehicles specifications'!$B$2:$CK$2,0))</f>
        <v>273.24633182489572</v>
      </c>
    </row>
    <row r="480" spans="1:2" x14ac:dyDescent="0.3">
      <c r="A480" t="s">
        <v>142</v>
      </c>
      <c r="B480" t="str">
        <f>INDEX('vehicles specifications'!$B$3:$CK$86,MATCH(B463,'vehicles specifications'!$A$3:$A$86,0),MATCH("Emission standard",'vehicles specifications'!$B$2:$CK$2,0))</f>
        <v>EURO-5</v>
      </c>
    </row>
    <row r="481" spans="1:8" x14ac:dyDescent="0.3">
      <c r="A481" t="s">
        <v>144</v>
      </c>
      <c r="B481" s="6">
        <f>INDEX('vehicles specifications'!$B$3:$CK$86,MATCH(B463,'vehicles specifications'!$A$3:$A$86,0),MATCH("Lightweighting rate [%]",'vehicles specifications'!$B$2:$CK$2,0))</f>
        <v>0.03</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2.5 kW. Lifetime: 33400 km. Annual kilometers: 2553 km. Number of passengers: 1. Curb mass: 61.7 kg. Lightweighting of glider: 3%. Emission standard: EURO-5. Service visits throughout lifetime: 1. Range: 273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Moped, gasoline, &lt;4kW, EURO-5, 2030</v>
      </c>
      <c r="B485" s="12">
        <v>1</v>
      </c>
      <c r="C485" s="12" t="str">
        <f>B459</f>
        <v>CH</v>
      </c>
      <c r="D485" s="12" t="s">
        <v>172</v>
      </c>
      <c r="E485" s="12"/>
      <c r="F485" s="12" t="s">
        <v>85</v>
      </c>
      <c r="G485" s="12" t="s">
        <v>86</v>
      </c>
      <c r="H485" s="12" t="str">
        <f>B464</f>
        <v>transport, Moped, gasoline, &lt;4kW, EURO-5</v>
      </c>
    </row>
    <row r="486" spans="1:8" x14ac:dyDescent="0.3">
      <c r="A486" s="12" t="str">
        <f>RIGHT(A485,LEN(A485)-11)</f>
        <v>Moped, gasoline, &lt;4kW, EURO-5, 2030</v>
      </c>
      <c r="B486" s="12">
        <f>1/B468</f>
        <v>2.9940119760479042E-5</v>
      </c>
      <c r="C486" s="12" t="str">
        <f>B459</f>
        <v>CH</v>
      </c>
      <c r="D486" s="12" t="s">
        <v>77</v>
      </c>
      <c r="E486" s="12"/>
      <c r="F486" s="12" t="s">
        <v>91</v>
      </c>
      <c r="G486" s="12"/>
      <c r="H486" s="12" t="str">
        <f>RIGHT(H485,LEN(H485)-11)</f>
        <v>Moped, gasoline, &lt;4kW, EURO-5</v>
      </c>
    </row>
    <row r="487" spans="1:8" s="21" customFormat="1" x14ac:dyDescent="0.3">
      <c r="A487" s="12" t="str">
        <f>INDEX('ei names mapping'!$B$4:$R$33,MATCH(B460,'ei names mapping'!$A$4:$A$33,0),MATCH(G487,'ei names mapping'!$B$3:$R$3,0))</f>
        <v>road construction</v>
      </c>
      <c r="B487" s="16">
        <f>INDEX('vehicles specifications'!$B$3:$CK$86,MATCH(B463,'vehicles specifications'!$A$3:$A$86,0),MATCH(G487,'vehicles specifications'!$B$2:$CK$2,0))*INDEX('ei names mapping'!$B$137:$BK$220,MATCH(B463,'ei names mapping'!$A$137:$A$220,0),MATCH(G487,'ei names mapping'!$B$136:$BK$136,0))</f>
        <v>7.1812540125000006E-5</v>
      </c>
      <c r="C487" s="12" t="str">
        <f>INDEX('ei names mapping'!$B$38:$R$67,MATCH(B460,'ei names mapping'!$A$4:$A$33,0),MATCH(G487,'ei names mapping'!$B$3:$R$3,0))</f>
        <v>CH</v>
      </c>
      <c r="D487" s="12" t="str">
        <f>INDEX('ei names mapping'!$B$104:$BK$133,MATCH(B460,'ei names mapping'!$A$4:$A$33,0),MATCH(G487,'ei names mapping'!$B$3:$BK$3,0))</f>
        <v>meter-year</v>
      </c>
      <c r="E487" s="12"/>
      <c r="F487" s="12" t="s">
        <v>91</v>
      </c>
      <c r="G487" s="21" t="s">
        <v>108</v>
      </c>
      <c r="H487" s="12" t="str">
        <f>INDEX('ei names mapping'!$B$71:$BK$100,MATCH(B460,'ei names mapping'!$A$4:$A$33,0),MATCH(G487,'ei names mapping'!$B$3:$BK$3,0))</f>
        <v>road</v>
      </c>
    </row>
    <row r="488" spans="1:8" x14ac:dyDescent="0.3">
      <c r="A488" s="12" t="str">
        <f>INDEX('ei names mapping'!$B$4:$R$33,MATCH(B460,'ei names mapping'!$A$4:$A$33,0),MATCH(G488,'ei names mapping'!$B$3:$R$3,0))</f>
        <v>road maintenance</v>
      </c>
      <c r="B488" s="16">
        <f>INDEX('vehicles specifications'!$B$3:$CK$86,MATCH(B463,'vehicles specifications'!$A$3:$A$86,0),MATCH(G488,'vehicles specifications'!$B$2:$CK$2,0))*INDEX('ei names mapping'!$B$137:$BK$220,MATCH(B463,'ei names mapping'!$A$137:$A$220,0),MATCH(G488,'ei names mapping'!$B$136:$BK$136,0))</f>
        <v>1.2899999999999999E-3</v>
      </c>
      <c r="C488" s="12" t="str">
        <f>INDEX('ei names mapping'!$B$38:$R$67,MATCH(B460,'ei names mapping'!$A$4:$A$33,0),MATCH(G488,'ei names mapping'!$B$3:$R$3,0))</f>
        <v>CH</v>
      </c>
      <c r="D488" s="12" t="str">
        <f>INDEX('ei names mapping'!$B$104:$BK$133,MATCH(B460,'ei names mapping'!$A$4:$A$33,0),MATCH(G488,'ei names mapping'!$B$3:$BK$3,0))</f>
        <v>meter-year</v>
      </c>
      <c r="E488" s="12"/>
      <c r="F488" s="12" t="s">
        <v>91</v>
      </c>
      <c r="G488" t="s">
        <v>117</v>
      </c>
      <c r="H488" s="12" t="str">
        <f>INDEX('ei names mapping'!$B$71:$BK$100,MATCH(B460,'ei names mapping'!$A$4:$A$33,0),MATCH(G488,'ei names mapping'!$B$3:$BK$3,0))</f>
        <v>road maintenance</v>
      </c>
    </row>
    <row r="489" spans="1:8" x14ac:dyDescent="0.3">
      <c r="A489" s="12" t="str">
        <f>INDEX('ei names mapping'!$B$4:$R$33,MATCH(B460,'ei names mapping'!$A$4:$A$33,0),MATCH(G489,'ei names mapping'!$B$3:$R$3,0))</f>
        <v>maintenance, motor scooter</v>
      </c>
      <c r="B489" s="16">
        <f>INDEX('vehicles specifications'!$B$3:$CK$86,MATCH(B463,'vehicles specifications'!$A$3:$A$86,0),MATCH(G489,'vehicles specifications'!$B$2:$CK$2,0))*INDEX('ei names mapping'!$B$137:$BK$220,MATCH(B463,'ei names mapping'!$A$137:$A$220,0),MATCH(G489,'ei names mapping'!$B$136:$BK$136,0))</f>
        <v>2.9940119760479042E-5</v>
      </c>
      <c r="C489" s="12" t="str">
        <f>INDEX('ei names mapping'!$B$38:$BK$67,MATCH(B460,'ei names mapping'!$A$4:$A$33,0),MATCH(G489,'ei names mapping'!$B$3:$BK$3,0))</f>
        <v>CH</v>
      </c>
      <c r="D489" s="12" t="str">
        <f>INDEX('ei names mapping'!$B$104:$BK$133,MATCH(B460,'ei names mapping'!$A$4:$A$33,0),MATCH(G489,'ei names mapping'!$B$3:$BK$3,0))</f>
        <v>unit</v>
      </c>
      <c r="F489" s="12" t="s">
        <v>91</v>
      </c>
      <c r="G489" s="12" t="s">
        <v>123</v>
      </c>
      <c r="H489" s="12" t="str">
        <f>INDEX('ei names mapping'!$B$71:$BK$100,MATCH(B460,'ei names mapping'!$A$4:$A$33,0),MATCH(G489,'ei names mapping'!$B$3:$BK$3,0))</f>
        <v>maintenance, motor scooter</v>
      </c>
    </row>
    <row r="490" spans="1:8" x14ac:dyDescent="0.3">
      <c r="A490" s="12" t="str">
        <f>INDEX('ei names mapping'!$B$4:$R$33,MATCH(B460,'ei names mapping'!$A$4:$A$33,0),MATCH(G490,'ei names mapping'!$B$3:$R$3,0))</f>
        <v>petrol blending for two-stroke engines</v>
      </c>
      <c r="B490" s="16">
        <f>INDEX('vehicles specifications'!$B$3:$CK$86,MATCH(B463,'vehicles specifications'!$A$3:$A$86,0),MATCH(G490,'vehicles specifications'!$B$2:$CK$2,0))*INDEX('ei names mapping'!$B$137:$BK$220,MATCH(B463,'ei names mapping'!$A$137:$A$220,0),MATCH(G490,'ei names mapping'!$B$136:$BK$136,0))</f>
        <v>1.9213432674237526E-2</v>
      </c>
      <c r="C490" s="12" t="str">
        <f>INDEX('ei names mapping'!$B$38:$BK$67,MATCH(B460,'ei names mapping'!$A$4:$A$33,0),MATCH(G490,'ei names mapping'!$B$3:$BK$3,0))</f>
        <v>CH</v>
      </c>
      <c r="D490" s="12" t="str">
        <f>INDEX('ei names mapping'!$B$104:$BK$133,MATCH(B460,'ei names mapping'!$A$4:$A$33,0),MATCH(G490,'ei names mapping'!$B$3:$BK$3,0))</f>
        <v>kilogram</v>
      </c>
      <c r="F490" s="12" t="s">
        <v>91</v>
      </c>
      <c r="G490" s="12" t="s">
        <v>27</v>
      </c>
      <c r="H490" s="12" t="str">
        <f>INDEX('ei names mapping'!$B$71:$BK$100,MATCH(B460,'ei names mapping'!$A$4:$A$33,0),MATCH(G490,'ei names mapping'!$B$3:$BK$3,0))</f>
        <v>petrol, two-stroke blend</v>
      </c>
    </row>
    <row r="491" spans="1:8" x14ac:dyDescent="0.3">
      <c r="A491" s="12" t="str">
        <f>INDEX('ei names mapping'!$B$4:$BK$33,MATCH(B460,'ei names mapping'!$A$4:$A$33,0),MATCH(G491,'ei names mapping'!$B$3:$BK$3,0))</f>
        <v>Carbon dioxide, fossil</v>
      </c>
      <c r="B491" s="16">
        <f>INDEX('vehicles specifications'!$B$3:$CK$86,MATCH(B463,'vehicles specifications'!$A$3:$A$86,0),MATCH(G491,'vehicles specifications'!$B$2:$CK$2,0))*INDEX('ei names mapping'!$B$137:$BK$220,MATCH(B463,'ei names mapping'!$A$137:$A$220,0),MATCH(G491,'ei names mapping'!$B$136:$BK$136,0))</f>
        <v>6.1098715904075326E-2</v>
      </c>
      <c r="C491" s="12"/>
      <c r="D491" s="12" t="str">
        <f>INDEX('ei names mapping'!$B$104:$BK$133,MATCH(B460,'ei names mapping'!$A$4:$A$33,0),MATCH(G491,'ei names mapping'!$B$3:$BK$3,0))</f>
        <v>kilogram</v>
      </c>
      <c r="E491" s="12" t="str">
        <f>INDEX('ei names mapping'!$B$225:$BK$255,MATCH(B460,'ei names mapping'!$A$4:$A$33,0),MATCH(G491,'ei names mapping'!$B$3:$BK$3,0))</f>
        <v>air</v>
      </c>
      <c r="F491" s="12" t="s">
        <v>173</v>
      </c>
      <c r="G491" t="s">
        <v>67</v>
      </c>
      <c r="H491" s="12"/>
    </row>
    <row r="492" spans="1:8" x14ac:dyDescent="0.3">
      <c r="A492" s="12" t="str">
        <f>INDEX('ei names mapping'!$B$4:$BK$33,MATCH(B460,'ei names mapping'!$A$4:$A$33,0),MATCH(G492,'ei names mapping'!$B$3:$BK$3,0))</f>
        <v>Sulfur dioxide</v>
      </c>
      <c r="B492" s="15">
        <f>INDEX('vehicles specifications'!$B$3:$CK$86,MATCH(B463,'vehicles specifications'!$A$3:$A$86,0),MATCH(G492,'vehicles specifications'!$B$2:$CK$2,0))*INDEX('ei names mapping'!$B$137:$BK$220,MATCH(B463,'ei names mapping'!$A$137:$A$220,0),MATCH(G492,'ei names mapping'!$B$136:$BK$136,0))</f>
        <v>3.0741492278780034E-7</v>
      </c>
      <c r="C492" s="12"/>
      <c r="D492" s="12" t="str">
        <f>INDEX('ei names mapping'!$B$104:$BK$133,MATCH(B460,'ei names mapping'!$A$4:$A$33,0),MATCH(G492,'ei names mapping'!$B$3:$BK$3,0))</f>
        <v>kilogram</v>
      </c>
      <c r="E492" s="12" t="str">
        <f>INDEX('ei names mapping'!$B$225:$BK$255,MATCH(B460,'ei names mapping'!$A$4:$A$33,0),MATCH(G492,'ei names mapping'!$B$3:$BK$3,0))</f>
        <v>air</v>
      </c>
      <c r="F492" s="12" t="s">
        <v>173</v>
      </c>
      <c r="G492" t="s">
        <v>68</v>
      </c>
      <c r="H492" s="12"/>
    </row>
    <row r="493" spans="1:8" x14ac:dyDescent="0.3">
      <c r="A493" s="12" t="str">
        <f>INDEX('ei names mapping'!$B$4:$BK$33,MATCH(B460,'ei names mapping'!$A$4:$A$33,0),MATCH(G493,'ei names mapping'!$B$3:$BK$3,0))</f>
        <v>Benzene</v>
      </c>
      <c r="B493" s="15">
        <f>INDEX('vehicles specifications'!$B$3:$CK$86,MATCH(B463,'vehicles specifications'!$A$3:$A$86,0),MATCH(G493,'vehicles specifications'!$B$2:$CK$2,0))*INDEX('ei names mapping'!$B$137:$BK$220,MATCH(B463,'ei names mapping'!$A$137:$A$220,0),MATCH(G493,'ei names mapping'!$B$136:$BK$136,0))</f>
        <v>4.9532464484317754E-5</v>
      </c>
      <c r="C493" s="12"/>
      <c r="D493" s="12" t="str">
        <f>INDEX('ei names mapping'!$B$104:$BK$133,MATCH(B460,'ei names mapping'!$A$4:$A$33,0),MATCH(G493,'ei names mapping'!$B$3:$BK$3,0))</f>
        <v>kilogram</v>
      </c>
      <c r="E493" s="12" t="str">
        <f>INDEX('ei names mapping'!$B$225:$BK$255,MATCH(B460,'ei names mapping'!$A$4:$A$33,0),MATCH(G493,'ei names mapping'!$B$3:$BK$3,0))</f>
        <v>air</v>
      </c>
      <c r="F493" s="12" t="s">
        <v>173</v>
      </c>
      <c r="G493" t="s">
        <v>56</v>
      </c>
      <c r="H493" s="12"/>
    </row>
    <row r="494" spans="1:8" x14ac:dyDescent="0.3">
      <c r="A494" s="12" t="str">
        <f>INDEX('ei names mapping'!$B$4:$BK$33,MATCH(B460,'ei names mapping'!$A$4:$A$33,0),MATCH(G494,'ei names mapping'!$B$3:$BK$3,0))</f>
        <v>Methane, fossil</v>
      </c>
      <c r="B494" s="15">
        <f>INDEX('vehicles specifications'!$B$3:$CK$86,MATCH(B463,'vehicles specifications'!$A$3:$A$86,0),MATCH(G494,'vehicles specifications'!$B$2:$CK$2,0))*INDEX('ei names mapping'!$B$137:$BK$220,MATCH(B463,'ei names mapping'!$A$137:$A$220,0),MATCH(G494,'ei names mapping'!$B$136:$BK$136,0))</f>
        <v>2.2459488481717305E-5</v>
      </c>
      <c r="C494" s="12"/>
      <c r="D494" s="12" t="str">
        <f>INDEX('ei names mapping'!$B$104:$BK$133,MATCH(B460,'ei names mapping'!$A$4:$A$33,0),MATCH(G494,'ei names mapping'!$B$3:$BK$3,0))</f>
        <v>kilogram</v>
      </c>
      <c r="E494" s="12" t="str">
        <f>INDEX('ei names mapping'!$B$225:$BK$255,MATCH(B460,'ei names mapping'!$A$4:$A$33,0),MATCH(G494,'ei names mapping'!$B$3:$BK$3,0))</f>
        <v>air</v>
      </c>
      <c r="F494" s="12" t="s">
        <v>173</v>
      </c>
      <c r="G494" t="s">
        <v>57</v>
      </c>
      <c r="H494" s="12"/>
    </row>
    <row r="495" spans="1:8" x14ac:dyDescent="0.3">
      <c r="A495" s="12" t="str">
        <f>INDEX('ei names mapping'!$B$4:$BK$33,MATCH(B460,'ei names mapping'!$A$4:$A$33,0),MATCH(G495,'ei names mapping'!$B$3:$BK$3,0))</f>
        <v>Carbon monoxide, fossil</v>
      </c>
      <c r="B495" s="15">
        <f>INDEX('vehicles specifications'!$B$3:$CK$86,MATCH(B463,'vehicles specifications'!$A$3:$A$86,0),MATCH(G495,'vehicles specifications'!$B$2:$CK$2,0))*INDEX('ei names mapping'!$B$137:$BK$220,MATCH(B463,'ei names mapping'!$A$137:$A$220,0),MATCH(G495,'ei names mapping'!$B$136:$BK$136,0))</f>
        <v>2.374862646864262E-3</v>
      </c>
      <c r="C495" s="12"/>
      <c r="D495" s="12" t="str">
        <f>INDEX('ei names mapping'!$B$104:$BK$133,MATCH(B460,'ei names mapping'!$A$4:$A$33,0),MATCH(G495,'ei names mapping'!$B$3:$BK$3,0))</f>
        <v>kilogram</v>
      </c>
      <c r="E495" s="12" t="str">
        <f>INDEX('ei names mapping'!$B$225:$BK$255,MATCH(B460,'ei names mapping'!$A$4:$A$33,0),MATCH(G495,'ei names mapping'!$B$3:$BK$3,0))</f>
        <v>air</v>
      </c>
      <c r="F495" s="12" t="s">
        <v>173</v>
      </c>
      <c r="G495" t="s">
        <v>58</v>
      </c>
      <c r="H495" s="12"/>
    </row>
    <row r="496" spans="1:8" x14ac:dyDescent="0.3">
      <c r="A496" s="12" t="str">
        <f>INDEX('ei names mapping'!$B$4:$BK$33,MATCH(B460,'ei names mapping'!$A$4:$A$33,0),MATCH(G496,'ei names mapping'!$B$3:$BK$3,0))</f>
        <v>Dinitrogen monoxide</v>
      </c>
      <c r="B496" s="15">
        <f>INDEX('vehicles specifications'!$B$3:$CK$86,MATCH(B463,'vehicles specifications'!$A$3:$A$86,0),MATCH(G496,'vehicles specifications'!$B$2:$CK$2,0))*INDEX('ei names mapping'!$B$137:$BK$220,MATCH(B463,'ei names mapping'!$A$137:$A$220,0),MATCH(G496,'ei names mapping'!$B$136:$BK$136,0))</f>
        <v>1.1394971325072205E-6</v>
      </c>
      <c r="C496" s="12"/>
      <c r="D496" s="12" t="str">
        <f>INDEX('ei names mapping'!$B$104:$BK$133,MATCH(B460,'ei names mapping'!$A$4:$A$33,0),MATCH(G496,'ei names mapping'!$B$3:$BK$3,0))</f>
        <v>kilogram</v>
      </c>
      <c r="E496" s="12" t="str">
        <f>INDEX('ei names mapping'!$B$225:$BK$255,MATCH(B460,'ei names mapping'!$A$4:$A$33,0),MATCH(G496,'ei names mapping'!$B$3:$BK$3,0))</f>
        <v>air</v>
      </c>
      <c r="F496" s="12" t="s">
        <v>173</v>
      </c>
      <c r="G496" t="s">
        <v>59</v>
      </c>
      <c r="H496" s="12"/>
    </row>
    <row r="497" spans="1:8" x14ac:dyDescent="0.3">
      <c r="A497" s="12" t="str">
        <f>INDEX('ei names mapping'!$B$4:$BK$33,MATCH(B460,'ei names mapping'!$A$4:$A$33,0),MATCH(G497,'ei names mapping'!$B$3:$BK$3,0))</f>
        <v>Ammonia</v>
      </c>
      <c r="B497" s="15">
        <f>INDEX('vehicles specifications'!$B$3:$CK$86,MATCH(B463,'vehicles specifications'!$A$3:$A$86,0),MATCH(G497,'vehicles specifications'!$B$2:$CK$2,0))*INDEX('ei names mapping'!$B$137:$BK$220,MATCH(B463,'ei names mapping'!$A$137:$A$220,0),MATCH(G497,'ei names mapping'!$B$136:$BK$136,0))</f>
        <v>1.1394971325072205E-6</v>
      </c>
      <c r="C497" s="12"/>
      <c r="D497" s="12" t="str">
        <f>INDEX('ei names mapping'!$B$104:$BK$133,MATCH(B460,'ei names mapping'!$A$4:$A$33,0),MATCH(G497,'ei names mapping'!$B$3:$BK$3,0))</f>
        <v>kilogram</v>
      </c>
      <c r="E497" s="12" t="str">
        <f>INDEX('ei names mapping'!$B$225:$BK$255,MATCH(B460,'ei names mapping'!$A$4:$A$33,0),MATCH(G497,'ei names mapping'!$B$3:$BK$3,0))</f>
        <v>air</v>
      </c>
      <c r="F497" s="12" t="s">
        <v>173</v>
      </c>
      <c r="G497" t="s">
        <v>60</v>
      </c>
      <c r="H497" s="12"/>
    </row>
    <row r="498" spans="1:8" x14ac:dyDescent="0.3">
      <c r="A498" s="12" t="str">
        <f>INDEX('ei names mapping'!$B$4:$BK$33,MATCH(B460,'ei names mapping'!$A$4:$A$33,0),MATCH(G498,'ei names mapping'!$B$3:$BK$3,0))</f>
        <v>Nitrogen oxides</v>
      </c>
      <c r="B498" s="15">
        <f>INDEX('vehicles specifications'!$B$3:$CK$86,MATCH(B463,'vehicles specifications'!$A$3:$A$86,0),MATCH(G498,'vehicles specifications'!$B$2:$CK$2,0))*INDEX('ei names mapping'!$B$137:$BK$220,MATCH(B463,'ei names mapping'!$A$137:$A$220,0),MATCH(G498,'ei names mapping'!$B$136:$BK$136,0))</f>
        <v>8.5451697710653811E-5</v>
      </c>
      <c r="C498" s="12"/>
      <c r="D498" s="12" t="str">
        <f>INDEX('ei names mapping'!$B$104:$BK$133,MATCH(B460,'ei names mapping'!$A$4:$A$33,0),MATCH(G498,'ei names mapping'!$B$3:$BK$3,0))</f>
        <v>kilogram</v>
      </c>
      <c r="E498" s="12" t="str">
        <f>INDEX('ei names mapping'!$B$225:$BK$255,MATCH(B460,'ei names mapping'!$A$4:$A$33,0),MATCH(G498,'ei names mapping'!$B$3:$BK$3,0))</f>
        <v>air</v>
      </c>
      <c r="F498" s="12" t="s">
        <v>173</v>
      </c>
      <c r="G498" s="12" t="s">
        <v>61</v>
      </c>
      <c r="H498" s="12"/>
    </row>
    <row r="499" spans="1:8" x14ac:dyDescent="0.3">
      <c r="A499" s="12" t="str">
        <f>INDEX('ei names mapping'!$B$4:$BK$33,MATCH(B460,'ei names mapping'!$A$4:$A$33,0),MATCH(G499,'ei names mapping'!$B$3:$BK$3,0))</f>
        <v>Particulates, &lt; 2.5 um</v>
      </c>
      <c r="B499" s="15">
        <f>INDEX('vehicles specifications'!$B$3:$CK$86,MATCH(B$463,'vehicles specifications'!$A$3:$A$86,0),MATCH(G499,'vehicles specifications'!$B$2:$CK$2,0))*INDEX('ei names mapping'!$B$137:$BK$220,MATCH(B$463,'ei names mapping'!$A$137:$A$220,0),MATCH(G499,'ei names mapping'!$B$136:$BK$136,0))</f>
        <v>6.5441320319889656E-6</v>
      </c>
      <c r="C499" s="12"/>
      <c r="D499" s="12" t="str">
        <f>INDEX('ei names mapping'!$B$104:$BK$133,MATCH(B460,'ei names mapping'!$A$4:$A$33,0),MATCH(G499,'ei names mapping'!$B$3:$BK$3,0))</f>
        <v>kilogram</v>
      </c>
      <c r="E499" s="12" t="str">
        <f>INDEX('ei names mapping'!$B$225:$BK$255,MATCH(B460,'ei names mapping'!$A$4:$A$33,0),MATCH(G499,'ei names mapping'!$B$3:$BK$3,0))</f>
        <v>air</v>
      </c>
      <c r="F499" s="12" t="s">
        <v>173</v>
      </c>
      <c r="G499" s="12" t="s">
        <v>63</v>
      </c>
      <c r="H499" s="12"/>
    </row>
    <row r="500" spans="1:8" s="21" customFormat="1" x14ac:dyDescent="0.3">
      <c r="A500" s="12" t="str">
        <f>INDEX('ei names mapping'!$B$4:$BK$33,MATCH(B$229,'ei names mapping'!$A$4:$A$33,0),MATCH(G500,'ei names mapping'!$B$3:$BK$3,0))</f>
        <v>NMVOC, non-methane volatile organic compounds, unspecified origin</v>
      </c>
      <c r="B500" s="15">
        <f>INDEX('vehicles specifications'!$B$3:$CK$86,MATCH(B$463,'vehicles specifications'!$A$3:$A$86,0),MATCH(G500,'vehicles specifications'!$B$2:$CK$2,0))*INDEX('ei names mapping'!$B$137:$BK$220,MATCH(B$463,'ei names mapping'!$A$137:$A$220,0),MATCH(G500,'ei names mapping'!$B$136:$BK$136,0))</f>
        <v>3.9943826974519353E-4</v>
      </c>
      <c r="C500" s="12"/>
      <c r="D500" s="12" t="str">
        <f>INDEX('ei names mapping'!$B$104:$BK$133,MATCH(B$229,'ei names mapping'!$A$4:$A$33,0),MATCH(G500,'ei names mapping'!$B$3:$BK$3,0))</f>
        <v>kilogram</v>
      </c>
      <c r="E500" s="12" t="str">
        <f>INDEX('ei names mapping'!$B$225:$BK$255,MATCH(B$229,'ei names mapping'!$A$4:$A$33,0),MATCH(G500,'ei names mapping'!$B$3:$BK$3,0))</f>
        <v>air</v>
      </c>
      <c r="F500" s="12" t="s">
        <v>173</v>
      </c>
      <c r="G500" s="12" t="s">
        <v>659</v>
      </c>
      <c r="H500" s="12"/>
    </row>
    <row r="501" spans="1:8" s="21" customFormat="1" x14ac:dyDescent="0.3">
      <c r="A501" s="12" t="str">
        <f>INDEX('ei names mapping'!$B$4:$BK$33,MATCH(B$229,'ei names mapping'!$A$4:$A$33,0),MATCH(G501,'ei names mapping'!$B$3:$BK$3,0))</f>
        <v>Ethane</v>
      </c>
      <c r="B501" s="15">
        <f>INDEX('vehicles specifications'!$B$3:$CK$86,MATCH(B$463,'vehicles specifications'!$A$3:$A$86,0),MATCH(G501,'vehicles specifications'!$B$2:$CK$2,0))*INDEX('ei names mapping'!$B$137:$BK$220,MATCH(B$463,'ei names mapping'!$A$137:$A$220,0),MATCH(G501,'ei names mapping'!$B$136:$BK$136,0))</f>
        <v>2.8165519020494411E-5</v>
      </c>
      <c r="C501" s="12"/>
      <c r="D501" s="12" t="str">
        <f>INDEX('ei names mapping'!$B$104:$BK$133,MATCH(B$229,'ei names mapping'!$A$4:$A$33,0),MATCH(G501,'ei names mapping'!$B$3:$BK$3,0))</f>
        <v>kilogram</v>
      </c>
      <c r="E501" s="12" t="str">
        <f>INDEX('ei names mapping'!$B$225:$BK$255,MATCH(B$229,'ei names mapping'!$A$4:$A$33,0),MATCH(G501,'ei names mapping'!$B$3:$BK$3,0))</f>
        <v>air</v>
      </c>
      <c r="F501" s="12" t="s">
        <v>173</v>
      </c>
      <c r="G501" s="12" t="s">
        <v>603</v>
      </c>
      <c r="H501" s="12"/>
    </row>
    <row r="502" spans="1:8" s="21" customFormat="1" x14ac:dyDescent="0.3">
      <c r="A502" s="12" t="str">
        <f>INDEX('ei names mapping'!$B$4:$BK$33,MATCH(B$229,'ei names mapping'!$A$4:$A$33,0),MATCH(G502,'ei names mapping'!$B$3:$BK$3,0))</f>
        <v>Propane</v>
      </c>
      <c r="B502" s="15">
        <f>INDEX('vehicles specifications'!$B$3:$CK$86,MATCH(B$463,'vehicles specifications'!$A$3:$A$86,0),MATCH(G502,'vehicles specifications'!$B$2:$CK$2,0))*INDEX('ei names mapping'!$B$137:$BK$220,MATCH(B$463,'ei names mapping'!$A$137:$A$220,0),MATCH(G502,'ei names mapping'!$B$136:$BK$136,0))</f>
        <v>5.7390555997872623E-6</v>
      </c>
      <c r="C502" s="12"/>
      <c r="D502" s="12" t="str">
        <f>INDEX('ei names mapping'!$B$104:$BK$133,MATCH(B$229,'ei names mapping'!$A$4:$A$33,0),MATCH(G502,'ei names mapping'!$B$3:$BK$3,0))</f>
        <v>kilogram</v>
      </c>
      <c r="E502" s="12" t="str">
        <f>INDEX('ei names mapping'!$B$225:$BK$255,MATCH(B$229,'ei names mapping'!$A$4:$A$33,0),MATCH(G502,'ei names mapping'!$B$3:$BK$3,0))</f>
        <v>air</v>
      </c>
      <c r="F502" s="12" t="s">
        <v>173</v>
      </c>
      <c r="G502" s="12" t="s">
        <v>604</v>
      </c>
      <c r="H502" s="12"/>
    </row>
    <row r="503" spans="1:8" s="21" customFormat="1" x14ac:dyDescent="0.3">
      <c r="A503" s="12" t="str">
        <f>INDEX('ei names mapping'!$B$4:$BK$33,MATCH(B$229,'ei names mapping'!$A$4:$A$33,0),MATCH(G503,'ei names mapping'!$B$3:$BK$3,0))</f>
        <v>Butane</v>
      </c>
      <c r="B503" s="15">
        <f>INDEX('vehicles specifications'!$B$3:$CK$86,MATCH(B$463,'vehicles specifications'!$A$3:$A$86,0),MATCH(G503,'vehicles specifications'!$B$2:$CK$2,0))*INDEX('ei names mapping'!$B$137:$BK$220,MATCH(B$463,'ei names mapping'!$A$137:$A$220,0),MATCH(G503,'ei names mapping'!$B$136:$BK$136,0))</f>
        <v>4.6265617450592708E-5</v>
      </c>
      <c r="C503" s="12"/>
      <c r="D503" s="12" t="str">
        <f>INDEX('ei names mapping'!$B$104:$BK$133,MATCH(B$229,'ei names mapping'!$A$4:$A$33,0),MATCH(G503,'ei names mapping'!$B$3:$BK$3,0))</f>
        <v>kilogram</v>
      </c>
      <c r="E503" s="12" t="str">
        <f>INDEX('ei names mapping'!$B$225:$BK$255,MATCH(B$229,'ei names mapping'!$A$4:$A$33,0),MATCH(G503,'ei names mapping'!$B$3:$BK$3,0))</f>
        <v>air</v>
      </c>
      <c r="F503" s="12" t="s">
        <v>173</v>
      </c>
      <c r="G503" s="12" t="s">
        <v>605</v>
      </c>
      <c r="H503" s="12"/>
    </row>
    <row r="504" spans="1:8" s="21" customFormat="1" x14ac:dyDescent="0.3">
      <c r="A504" s="12" t="str">
        <f>INDEX('ei names mapping'!$B$4:$BK$33,MATCH(B$229,'ei names mapping'!$A$4:$A$33,0),MATCH(G504,'ei names mapping'!$B$3:$BK$3,0))</f>
        <v>Pentane</v>
      </c>
      <c r="B504" s="15">
        <f>INDEX('vehicles specifications'!$B$3:$CK$86,MATCH(B$463,'vehicles specifications'!$A$3:$A$86,0),MATCH(G504,'vehicles specifications'!$B$2:$CK$2,0))*INDEX('ei names mapping'!$B$137:$BK$220,MATCH(B$463,'ei names mapping'!$A$137:$A$220,0),MATCH(G504,'ei names mapping'!$B$136:$BK$136,0))</f>
        <v>1.898303006083479E-5</v>
      </c>
      <c r="C504" s="12"/>
      <c r="D504" s="12" t="str">
        <f>INDEX('ei names mapping'!$B$104:$BK$133,MATCH(B$229,'ei names mapping'!$A$4:$A$33,0),MATCH(G504,'ei names mapping'!$B$3:$BK$3,0))</f>
        <v>kilogram</v>
      </c>
      <c r="E504" s="12" t="str">
        <f>INDEX('ei names mapping'!$B$225:$BK$255,MATCH(B$229,'ei names mapping'!$A$4:$A$33,0),MATCH(G504,'ei names mapping'!$B$3:$BK$3,0))</f>
        <v>air</v>
      </c>
      <c r="F504" s="12" t="s">
        <v>173</v>
      </c>
      <c r="G504" s="12" t="s">
        <v>606</v>
      </c>
      <c r="H504" s="12"/>
    </row>
    <row r="505" spans="1:8" s="21" customFormat="1" x14ac:dyDescent="0.3">
      <c r="A505" s="12" t="str">
        <f>INDEX('ei names mapping'!$B$4:$BK$33,MATCH(B$229,'ei names mapping'!$A$4:$A$33,0),MATCH(G505,'ei names mapping'!$B$3:$BK$3,0))</f>
        <v>Hexane</v>
      </c>
      <c r="B505" s="15">
        <f>INDEX('vehicles specifications'!$B$3:$CK$86,MATCH(B$463,'vehicles specifications'!$A$3:$A$86,0),MATCH(G505,'vehicles specifications'!$B$2:$CK$2,0))*INDEX('ei names mapping'!$B$137:$BK$220,MATCH(B$463,'ei names mapping'!$A$137:$A$220,0),MATCH(G505,'ei names mapping'!$B$136:$BK$136,0))</f>
        <v>1.4215199254857682E-5</v>
      </c>
      <c r="C505" s="12"/>
      <c r="D505" s="12" t="str">
        <f>INDEX('ei names mapping'!$B$104:$BK$133,MATCH(B$229,'ei names mapping'!$A$4:$A$33,0),MATCH(G505,'ei names mapping'!$B$3:$BK$3,0))</f>
        <v>kilogram</v>
      </c>
      <c r="E505" s="12" t="str">
        <f>INDEX('ei names mapping'!$B$225:$BK$255,MATCH(B$229,'ei names mapping'!$A$4:$A$33,0),MATCH(G505,'ei names mapping'!$B$3:$BK$3,0))</f>
        <v>air</v>
      </c>
      <c r="F505" s="12" t="s">
        <v>173</v>
      </c>
      <c r="G505" s="12" t="s">
        <v>607</v>
      </c>
      <c r="H505" s="12"/>
    </row>
    <row r="506" spans="1:8" s="21" customFormat="1" x14ac:dyDescent="0.3">
      <c r="A506" s="12" t="str">
        <f>INDEX('ei names mapping'!$B$4:$BK$33,MATCH(B$229,'ei names mapping'!$A$4:$A$33,0),MATCH(G506,'ei names mapping'!$B$3:$BK$3,0))</f>
        <v>Cyclohexane</v>
      </c>
      <c r="B506" s="15">
        <f>INDEX('vehicles specifications'!$B$3:$CK$86,MATCH(B$463,'vehicles specifications'!$A$3:$A$86,0),MATCH(G506,'vehicles specifications'!$B$2:$CK$2,0))*INDEX('ei names mapping'!$B$137:$BK$220,MATCH(B$463,'ei names mapping'!$A$137:$A$220,0),MATCH(G506,'ei names mapping'!$B$136:$BK$136,0))</f>
        <v>1.0065420590396123E-5</v>
      </c>
      <c r="C506" s="12"/>
      <c r="D506" s="12" t="str">
        <f>INDEX('ei names mapping'!$B$104:$BK$133,MATCH(B$229,'ei names mapping'!$A$4:$A$33,0),MATCH(G506,'ei names mapping'!$B$3:$BK$3,0))</f>
        <v>kilogram</v>
      </c>
      <c r="E506" s="12" t="str">
        <f>INDEX('ei names mapping'!$B$225:$BK$255,MATCH(B$229,'ei names mapping'!$A$4:$A$33,0),MATCH(G506,'ei names mapping'!$B$3:$BK$3,0))</f>
        <v>air</v>
      </c>
      <c r="F506" s="12" t="s">
        <v>173</v>
      </c>
      <c r="G506" s="12" t="s">
        <v>608</v>
      </c>
      <c r="H506" s="12"/>
    </row>
    <row r="507" spans="1:8" s="21" customFormat="1" x14ac:dyDescent="0.3">
      <c r="A507" s="12" t="str">
        <f>INDEX('ei names mapping'!$B$4:$BK$33,MATCH(B$229,'ei names mapping'!$A$4:$A$33,0),MATCH(G507,'ei names mapping'!$B$3:$BK$3,0))</f>
        <v>Heptane</v>
      </c>
      <c r="B507" s="15">
        <f>INDEX('vehicles specifications'!$B$3:$CK$86,MATCH(B$463,'vehicles specifications'!$A$3:$A$86,0),MATCH(G507,'vehicles specifications'!$B$2:$CK$2,0))*INDEX('ei names mapping'!$B$137:$BK$220,MATCH(B$463,'ei names mapping'!$A$137:$A$220,0),MATCH(G507,'ei names mapping'!$B$136:$BK$136,0))</f>
        <v>6.5336940674501146E-6</v>
      </c>
      <c r="C507" s="12"/>
      <c r="D507" s="12" t="str">
        <f>INDEX('ei names mapping'!$B$104:$BK$133,MATCH(B$229,'ei names mapping'!$A$4:$A$33,0),MATCH(G507,'ei names mapping'!$B$3:$BK$3,0))</f>
        <v>kilogram</v>
      </c>
      <c r="E507" s="12" t="str">
        <f>INDEX('ei names mapping'!$B$225:$BK$255,MATCH(B$229,'ei names mapping'!$A$4:$A$33,0),MATCH(G507,'ei names mapping'!$B$3:$BK$3,0))</f>
        <v>air</v>
      </c>
      <c r="F507" s="12" t="s">
        <v>173</v>
      </c>
      <c r="G507" s="12" t="s">
        <v>609</v>
      </c>
      <c r="H507" s="12"/>
    </row>
    <row r="508" spans="1:8" s="21" customFormat="1" x14ac:dyDescent="0.3">
      <c r="A508" s="12" t="str">
        <f>INDEX('ei names mapping'!$B$4:$BK$33,MATCH(B$229,'ei names mapping'!$A$4:$A$33,0),MATCH(G508,'ei names mapping'!$B$3:$BK$3,0))</f>
        <v>Ethene</v>
      </c>
      <c r="B508" s="15">
        <f>INDEX('vehicles specifications'!$B$3:$CK$86,MATCH(B$463,'vehicles specifications'!$A$3:$A$86,0),MATCH(G508,'vehicles specifications'!$B$2:$CK$2,0))*INDEX('ei names mapping'!$B$137:$BK$220,MATCH(B$463,'ei names mapping'!$A$137:$A$220,0),MATCH(G508,'ei names mapping'!$B$136:$BK$136,0))</f>
        <v>6.4454009043764642E-5</v>
      </c>
      <c r="C508" s="12"/>
      <c r="D508" s="12" t="str">
        <f>INDEX('ei names mapping'!$B$104:$BK$133,MATCH(B$229,'ei names mapping'!$A$4:$A$33,0),MATCH(G508,'ei names mapping'!$B$3:$BK$3,0))</f>
        <v>kilogram</v>
      </c>
      <c r="E508" s="12" t="str">
        <f>INDEX('ei names mapping'!$B$225:$BK$255,MATCH(B$229,'ei names mapping'!$A$4:$A$33,0),MATCH(G508,'ei names mapping'!$B$3:$BK$3,0))</f>
        <v>air</v>
      </c>
      <c r="F508" s="12" t="s">
        <v>173</v>
      </c>
      <c r="G508" s="12" t="s">
        <v>610</v>
      </c>
      <c r="H508" s="12"/>
    </row>
    <row r="509" spans="1:8" s="21" customFormat="1" x14ac:dyDescent="0.3">
      <c r="A509" s="12" t="str">
        <f>INDEX('ei names mapping'!$B$4:$BK$33,MATCH(B$229,'ei names mapping'!$A$4:$A$33,0),MATCH(G509,'ei names mapping'!$B$3:$BK$3,0))</f>
        <v>Propene</v>
      </c>
      <c r="B509" s="15">
        <f>INDEX('vehicles specifications'!$B$3:$CK$86,MATCH(B$463,'vehicles specifications'!$A$3:$A$86,0),MATCH(G509,'vehicles specifications'!$B$2:$CK$2,0))*INDEX('ei names mapping'!$B$137:$BK$220,MATCH(B$463,'ei names mapping'!$A$137:$A$220,0),MATCH(G509,'ei names mapping'!$B$136:$BK$136,0))</f>
        <v>3.3727988294134373E-5</v>
      </c>
      <c r="C509" s="12"/>
      <c r="D509" s="12" t="str">
        <f>INDEX('ei names mapping'!$B$104:$BK$133,MATCH(B$229,'ei names mapping'!$A$4:$A$33,0),MATCH(G509,'ei names mapping'!$B$3:$BK$3,0))</f>
        <v>kilogram</v>
      </c>
      <c r="E509" s="12" t="str">
        <f>INDEX('ei names mapping'!$B$225:$BK$255,MATCH(B$229,'ei names mapping'!$A$4:$A$33,0),MATCH(G509,'ei names mapping'!$B$3:$BK$3,0))</f>
        <v>air</v>
      </c>
      <c r="F509" s="12" t="s">
        <v>173</v>
      </c>
      <c r="G509" s="12" t="s">
        <v>611</v>
      </c>
      <c r="H509" s="12"/>
    </row>
    <row r="510" spans="1:8" s="21" customFormat="1" x14ac:dyDescent="0.3">
      <c r="A510" s="12" t="str">
        <f>INDEX('ei names mapping'!$B$4:$BK$33,MATCH(B$229,'ei names mapping'!$A$4:$A$33,0),MATCH(G510,'ei names mapping'!$B$3:$BK$3,0))</f>
        <v>1-Pentene</v>
      </c>
      <c r="B510" s="15">
        <f>INDEX('vehicles specifications'!$B$3:$CK$86,MATCH(B$463,'vehicles specifications'!$A$3:$A$86,0),MATCH(G510,'vehicles specifications'!$B$2:$CK$2,0))*INDEX('ei names mapping'!$B$137:$BK$220,MATCH(B$463,'ei names mapping'!$A$137:$A$220,0),MATCH(G510,'ei names mapping'!$B$136:$BK$136,0))</f>
        <v>9.7122479381015224E-7</v>
      </c>
      <c r="C510" s="12"/>
      <c r="D510" s="12" t="str">
        <f>INDEX('ei names mapping'!$B$104:$BK$133,MATCH(B$229,'ei names mapping'!$A$4:$A$33,0),MATCH(G510,'ei names mapping'!$B$3:$BK$3,0))</f>
        <v>kilogram</v>
      </c>
      <c r="E510" s="12" t="str">
        <f>INDEX('ei names mapping'!$B$225:$BK$255,MATCH(B$229,'ei names mapping'!$A$4:$A$33,0),MATCH(G510,'ei names mapping'!$B$3:$BK$3,0))</f>
        <v>air</v>
      </c>
      <c r="F510" s="12" t="s">
        <v>173</v>
      </c>
      <c r="G510" s="12" t="s">
        <v>612</v>
      </c>
      <c r="H510" s="12"/>
    </row>
    <row r="511" spans="1:8" s="21" customFormat="1" x14ac:dyDescent="0.3">
      <c r="A511" s="12" t="str">
        <f>INDEX('ei names mapping'!$B$4:$BK$33,MATCH(B$229,'ei names mapping'!$A$4:$A$33,0),MATCH(G511,'ei names mapping'!$B$3:$BK$3,0))</f>
        <v>Toluene</v>
      </c>
      <c r="B511" s="15">
        <f>INDEX('vehicles specifications'!$B$3:$CK$86,MATCH(B$463,'vehicles specifications'!$A$3:$A$86,0),MATCH(G511,'vehicles specifications'!$B$2:$CK$2,0))*INDEX('ei names mapping'!$B$137:$BK$220,MATCH(B$463,'ei names mapping'!$A$137:$A$220,0),MATCH(G511,'ei names mapping'!$B$136:$BK$136,0))</f>
        <v>9.6945893054867918E-5</v>
      </c>
      <c r="C511" s="12"/>
      <c r="D511" s="12" t="str">
        <f>INDEX('ei names mapping'!$B$104:$BK$133,MATCH(B$229,'ei names mapping'!$A$4:$A$33,0),MATCH(G511,'ei names mapping'!$B$3:$BK$3,0))</f>
        <v>kilogram</v>
      </c>
      <c r="E511" s="12" t="str">
        <f>INDEX('ei names mapping'!$B$225:$BK$255,MATCH(B$229,'ei names mapping'!$A$4:$A$33,0),MATCH(G511,'ei names mapping'!$B$3:$BK$3,0))</f>
        <v>air</v>
      </c>
      <c r="F511" s="12" t="s">
        <v>173</v>
      </c>
      <c r="G511" s="12" t="s">
        <v>613</v>
      </c>
      <c r="H511" s="12"/>
    </row>
    <row r="512" spans="1:8" s="21" customFormat="1" x14ac:dyDescent="0.3">
      <c r="A512" s="12" t="str">
        <f>INDEX('ei names mapping'!$B$4:$BK$33,MATCH(B$229,'ei names mapping'!$A$4:$A$33,0),MATCH(G512,'ei names mapping'!$B$3:$BK$3,0))</f>
        <v>m-Xylene</v>
      </c>
      <c r="B512" s="15">
        <f>INDEX('vehicles specifications'!$B$3:$CK$86,MATCH(B$463,'vehicles specifications'!$A$3:$A$86,0),MATCH(G512,'vehicles specifications'!$B$2:$CK$2,0))*INDEX('ei names mapping'!$B$137:$BK$220,MATCH(B$463,'ei names mapping'!$A$137:$A$220,0),MATCH(G512,'ei names mapping'!$B$136:$BK$136,0))</f>
        <v>4.7943187548992062E-5</v>
      </c>
      <c r="C512" s="12"/>
      <c r="D512" s="12" t="str">
        <f>INDEX('ei names mapping'!$B$104:$BK$133,MATCH(B$229,'ei names mapping'!$A$4:$A$33,0),MATCH(G512,'ei names mapping'!$B$3:$BK$3,0))</f>
        <v>kilogram</v>
      </c>
      <c r="E512" s="12" t="str">
        <f>INDEX('ei names mapping'!$B$225:$BK$255,MATCH(B$229,'ei names mapping'!$A$4:$A$33,0),MATCH(G512,'ei names mapping'!$B$3:$BK$3,0))</f>
        <v>air</v>
      </c>
      <c r="F512" s="12" t="s">
        <v>173</v>
      </c>
      <c r="G512" s="12" t="s">
        <v>614</v>
      </c>
      <c r="H512" s="12"/>
    </row>
    <row r="513" spans="1:8" s="21" customFormat="1" x14ac:dyDescent="0.3">
      <c r="A513" s="12" t="str">
        <f>INDEX('ei names mapping'!$B$4:$BK$33,MATCH(B$229,'ei names mapping'!$A$4:$A$33,0),MATCH(G513,'ei names mapping'!$B$3:$BK$3,0))</f>
        <v>o-Xylene</v>
      </c>
      <c r="B513" s="15">
        <f>INDEX('vehicles specifications'!$B$3:$CK$86,MATCH(B$463,'vehicles specifications'!$A$3:$A$86,0),MATCH(G513,'vehicles specifications'!$B$2:$CK$2,0))*INDEX('ei names mapping'!$B$137:$BK$220,MATCH(B$463,'ei names mapping'!$A$137:$A$220,0),MATCH(G513,'ei names mapping'!$B$136:$BK$136,0))</f>
        <v>1.9954254854644945E-5</v>
      </c>
      <c r="C513" s="12"/>
      <c r="D513" s="12" t="str">
        <f>INDEX('ei names mapping'!$B$104:$BK$133,MATCH(B$229,'ei names mapping'!$A$4:$A$33,0),MATCH(G513,'ei names mapping'!$B$3:$BK$3,0))</f>
        <v>kilogram</v>
      </c>
      <c r="E513" s="12" t="str">
        <f>INDEX('ei names mapping'!$B$225:$BK$255,MATCH(B$229,'ei names mapping'!$A$4:$A$33,0),MATCH(G513,'ei names mapping'!$B$3:$BK$3,0))</f>
        <v>air</v>
      </c>
      <c r="F513" s="12" t="s">
        <v>173</v>
      </c>
      <c r="G513" s="12" t="s">
        <v>615</v>
      </c>
      <c r="H513" s="12"/>
    </row>
    <row r="514" spans="1:8" s="21" customFormat="1" x14ac:dyDescent="0.3">
      <c r="A514" s="12" t="str">
        <f>INDEX('ei names mapping'!$B$4:$BK$33,MATCH(B$229,'ei names mapping'!$A$4:$A$33,0),MATCH(G514,'ei names mapping'!$B$3:$BK$3,0))</f>
        <v>Formaldehyde</v>
      </c>
      <c r="B514" s="15">
        <f>INDEX('vehicles specifications'!$B$3:$CK$86,MATCH(B$463,'vehicles specifications'!$A$3:$A$86,0),MATCH(G514,'vehicles specifications'!$B$2:$CK$2,0))*INDEX('ei names mapping'!$B$137:$BK$220,MATCH(B$463,'ei names mapping'!$A$137:$A$220,0),MATCH(G514,'ei names mapping'!$B$136:$BK$136,0))</f>
        <v>1.5009837722520535E-5</v>
      </c>
      <c r="C514" s="12"/>
      <c r="D514" s="12" t="str">
        <f>INDEX('ei names mapping'!$B$104:$BK$133,MATCH(B$229,'ei names mapping'!$A$4:$A$33,0),MATCH(G514,'ei names mapping'!$B$3:$BK$3,0))</f>
        <v>kilogram</v>
      </c>
      <c r="E514" s="12" t="str">
        <f>INDEX('ei names mapping'!$B$225:$BK$255,MATCH(B$229,'ei names mapping'!$A$4:$A$33,0),MATCH(G514,'ei names mapping'!$B$3:$BK$3,0))</f>
        <v>air</v>
      </c>
      <c r="F514" s="12" t="s">
        <v>173</v>
      </c>
      <c r="G514" s="12" t="s">
        <v>616</v>
      </c>
      <c r="H514" s="12"/>
    </row>
    <row r="515" spans="1:8" s="21" customFormat="1" x14ac:dyDescent="0.3">
      <c r="A515" s="12" t="str">
        <f>INDEX('ei names mapping'!$B$4:$BK$33,MATCH(B$229,'ei names mapping'!$A$4:$A$33,0),MATCH(G515,'ei names mapping'!$B$3:$BK$3,0))</f>
        <v>Acetaldehyde</v>
      </c>
      <c r="B515" s="15">
        <f>INDEX('vehicles specifications'!$B$3:$CK$86,MATCH(B$463,'vehicles specifications'!$A$3:$A$86,0),MATCH(G515,'vehicles specifications'!$B$2:$CK$2,0))*INDEX('ei names mapping'!$B$137:$BK$220,MATCH(B$463,'ei names mapping'!$A$137:$A$220,0),MATCH(G515,'ei names mapping'!$B$136:$BK$136,0))</f>
        <v>6.6219872305237644E-6</v>
      </c>
      <c r="C515" s="12"/>
      <c r="D515" s="12" t="str">
        <f>INDEX('ei names mapping'!$B$104:$BK$133,MATCH(B$229,'ei names mapping'!$A$4:$A$33,0),MATCH(G515,'ei names mapping'!$B$3:$BK$3,0))</f>
        <v>kilogram</v>
      </c>
      <c r="E515" s="12" t="str">
        <f>INDEX('ei names mapping'!$B$225:$BK$255,MATCH(B$229,'ei names mapping'!$A$4:$A$33,0),MATCH(G515,'ei names mapping'!$B$3:$BK$3,0))</f>
        <v>air</v>
      </c>
      <c r="F515" s="12" t="s">
        <v>173</v>
      </c>
      <c r="G515" s="12" t="s">
        <v>617</v>
      </c>
      <c r="H515" s="12"/>
    </row>
    <row r="516" spans="1:8" s="21" customFormat="1" x14ac:dyDescent="0.3">
      <c r="A516" s="12" t="str">
        <f>INDEX('ei names mapping'!$B$4:$BK$33,MATCH(B$229,'ei names mapping'!$A$4:$A$33,0),MATCH(G516,'ei names mapping'!$B$3:$BK$3,0))</f>
        <v>Benzaldehyde</v>
      </c>
      <c r="B516" s="15">
        <f>INDEX('vehicles specifications'!$B$3:$CK$86,MATCH(B$463,'vehicles specifications'!$A$3:$A$86,0),MATCH(G516,'vehicles specifications'!$B$2:$CK$2,0))*INDEX('ei names mapping'!$B$137:$BK$220,MATCH(B$463,'ei names mapping'!$A$137:$A$220,0),MATCH(G516,'ei names mapping'!$B$136:$BK$136,0))</f>
        <v>1.9424495876203045E-6</v>
      </c>
      <c r="C516" s="12"/>
      <c r="D516" s="12" t="str">
        <f>INDEX('ei names mapping'!$B$104:$BK$133,MATCH(B$229,'ei names mapping'!$A$4:$A$33,0),MATCH(G516,'ei names mapping'!$B$3:$BK$3,0))</f>
        <v>kilogram</v>
      </c>
      <c r="E516" s="12" t="str">
        <f>INDEX('ei names mapping'!$B$225:$BK$255,MATCH(B$229,'ei names mapping'!$A$4:$A$33,0),MATCH(G516,'ei names mapping'!$B$3:$BK$3,0))</f>
        <v>air</v>
      </c>
      <c r="F516" s="12" t="s">
        <v>173</v>
      </c>
      <c r="G516" s="12" t="s">
        <v>618</v>
      </c>
      <c r="H516" s="12"/>
    </row>
    <row r="517" spans="1:8" s="21" customFormat="1" x14ac:dyDescent="0.3">
      <c r="A517" s="12" t="str">
        <f>INDEX('ei names mapping'!$B$4:$BK$33,MATCH(B$229,'ei names mapping'!$A$4:$A$33,0),MATCH(G517,'ei names mapping'!$B$3:$BK$3,0))</f>
        <v>Acetone</v>
      </c>
      <c r="B517" s="15">
        <f>INDEX('vehicles specifications'!$B$3:$CK$86,MATCH(B$463,'vehicles specifications'!$A$3:$A$86,0),MATCH(G517,'vehicles specifications'!$B$2:$CK$2,0))*INDEX('ei names mapping'!$B$137:$BK$220,MATCH(B$463,'ei names mapping'!$A$137:$A$220,0),MATCH(G517,'ei names mapping'!$B$136:$BK$136,0))</f>
        <v>5.3858829474926628E-6</v>
      </c>
      <c r="C517" s="12"/>
      <c r="D517" s="12" t="str">
        <f>INDEX('ei names mapping'!$B$104:$BK$133,MATCH(B$229,'ei names mapping'!$A$4:$A$33,0),MATCH(G517,'ei names mapping'!$B$3:$BK$3,0))</f>
        <v>kilogram</v>
      </c>
      <c r="E517" s="12" t="str">
        <f>INDEX('ei names mapping'!$B$225:$BK$255,MATCH(B$229,'ei names mapping'!$A$4:$A$33,0),MATCH(G517,'ei names mapping'!$B$3:$BK$3,0))</f>
        <v>air</v>
      </c>
      <c r="F517" s="12" t="s">
        <v>173</v>
      </c>
      <c r="G517" s="12" t="s">
        <v>619</v>
      </c>
      <c r="H517" s="12"/>
    </row>
    <row r="518" spans="1:8" s="21" customFormat="1" x14ac:dyDescent="0.3">
      <c r="A518" s="12" t="str">
        <f>INDEX('ei names mapping'!$B$4:$BK$33,MATCH(B$229,'ei names mapping'!$A$4:$A$33,0),MATCH(G518,'ei names mapping'!$B$3:$BK$3,0))</f>
        <v>Methyl ethyl ketone</v>
      </c>
      <c r="B518" s="15">
        <f>INDEX('vehicles specifications'!$B$3:$CK$86,MATCH(B$463,'vehicles specifications'!$A$3:$A$86,0),MATCH(G518,'vehicles specifications'!$B$2:$CK$2,0))*INDEX('ei names mapping'!$B$137:$BK$220,MATCH(B$463,'ei names mapping'!$A$137:$A$220,0),MATCH(G518,'ei names mapping'!$B$136:$BK$136,0))</f>
        <v>0</v>
      </c>
      <c r="C518" s="12"/>
      <c r="D518" s="12" t="str">
        <f>INDEX('ei names mapping'!$B$104:$BK$133,MATCH(B$229,'ei names mapping'!$A$4:$A$33,0),MATCH(G518,'ei names mapping'!$B$3:$BK$3,0))</f>
        <v>kilogram</v>
      </c>
      <c r="E518" s="12" t="str">
        <f>INDEX('ei names mapping'!$B$225:$BK$255,MATCH(B$229,'ei names mapping'!$A$4:$A$33,0),MATCH(G518,'ei names mapping'!$B$3:$BK$3,0))</f>
        <v>air</v>
      </c>
      <c r="F518" s="12" t="s">
        <v>173</v>
      </c>
      <c r="G518" s="12" t="s">
        <v>622</v>
      </c>
      <c r="H518" s="12"/>
    </row>
    <row r="519" spans="1:8" s="21" customFormat="1" x14ac:dyDescent="0.3">
      <c r="A519" s="12" t="str">
        <f>INDEX('ei names mapping'!$B$4:$BK$33,MATCH(B$229,'ei names mapping'!$A$4:$A$33,0),MATCH(G519,'ei names mapping'!$B$3:$BK$3,0))</f>
        <v>Acrolein</v>
      </c>
      <c r="B519" s="15">
        <f>INDEX('vehicles specifications'!$B$3:$CK$86,MATCH(B$463,'vehicles specifications'!$A$3:$A$86,0),MATCH(G519,'vehicles specifications'!$B$2:$CK$2,0))*INDEX('ei names mapping'!$B$137:$BK$220,MATCH(B$463,'ei names mapping'!$A$137:$A$220,0),MATCH(G519,'ei names mapping'!$B$136:$BK$136,0))</f>
        <v>1.6775700983993538E-6</v>
      </c>
      <c r="C519" s="12"/>
      <c r="D519" s="12" t="str">
        <f>INDEX('ei names mapping'!$B$104:$BK$133,MATCH(B$229,'ei names mapping'!$A$4:$A$33,0),MATCH(G519,'ei names mapping'!$B$3:$BK$3,0))</f>
        <v>kilogram</v>
      </c>
      <c r="E519" s="12" t="str">
        <f>INDEX('ei names mapping'!$B$225:$BK$255,MATCH(B$229,'ei names mapping'!$A$4:$A$33,0),MATCH(G519,'ei names mapping'!$B$3:$BK$3,0))</f>
        <v>air</v>
      </c>
      <c r="F519" s="12" t="s">
        <v>173</v>
      </c>
      <c r="G519" s="12" t="s">
        <v>620</v>
      </c>
      <c r="H519" s="12"/>
    </row>
    <row r="520" spans="1:8" s="21" customFormat="1" x14ac:dyDescent="0.3">
      <c r="A520" s="12" t="str">
        <f>INDEX('ei names mapping'!$B$4:$BK$33,MATCH(B$229,'ei names mapping'!$A$4:$A$33,0),MATCH(G520,'ei names mapping'!$B$3:$BK$3,0))</f>
        <v>Styrene</v>
      </c>
      <c r="B520" s="15">
        <f>INDEX('vehicles specifications'!$B$3:$CK$86,MATCH(B$463,'vehicles specifications'!$A$3:$A$86,0),MATCH(G520,'vehicles specifications'!$B$2:$CK$2,0))*INDEX('ei names mapping'!$B$137:$BK$220,MATCH(B$463,'ei names mapping'!$A$137:$A$220,0),MATCH(G520,'ei names mapping'!$B$136:$BK$136,0))</f>
        <v>8.9176094704386688E-6</v>
      </c>
      <c r="C520" s="12"/>
      <c r="D520" s="12" t="str">
        <f>INDEX('ei names mapping'!$B$104:$BK$133,MATCH(B$229,'ei names mapping'!$A$4:$A$33,0),MATCH(G520,'ei names mapping'!$B$3:$BK$3,0))</f>
        <v>kilogram</v>
      </c>
      <c r="E520" s="12" t="str">
        <f>INDEX('ei names mapping'!$B$225:$BK$255,MATCH(B$229,'ei names mapping'!$A$4:$A$33,0),MATCH(G520,'ei names mapping'!$B$3:$BK$3,0))</f>
        <v>air</v>
      </c>
      <c r="F520" s="12" t="s">
        <v>173</v>
      </c>
      <c r="G520" s="12" t="s">
        <v>621</v>
      </c>
      <c r="H520" s="12"/>
    </row>
    <row r="521" spans="1:8" s="21" customFormat="1" x14ac:dyDescent="0.3">
      <c r="A521" s="12" t="str">
        <f>INDEX('ei names mapping'!$B$4:$BK$33,MATCH(B$229,'ei names mapping'!$A$4:$A$33,0),MATCH(G521,'ei names mapping'!$B$3:$BK$3,0))</f>
        <v>PAH, polycyclic aromatic hydrocarbons</v>
      </c>
      <c r="B521" s="15">
        <f>INDEX('vehicles specifications'!$B$3:$CK$86,MATCH(B$463,'vehicles specifications'!$A$3:$A$86,0),MATCH(G521,'vehicles specifications'!$B$2:$CK$2,0))*INDEX('ei names mapping'!$B$137:$BK$220,MATCH(B$463,'ei names mapping'!$A$137:$A$220,0),MATCH(G521,'ei names mapping'!$B$136:$BK$136,0))</f>
        <v>2.834980417949095E-8</v>
      </c>
      <c r="C521" s="12"/>
      <c r="D521" s="12" t="str">
        <f>INDEX('ei names mapping'!$B$104:$BK$133,MATCH(B$229,'ei names mapping'!$A$4:$A$33,0),MATCH(G521,'ei names mapping'!$B$3:$BK$3,0))</f>
        <v>kilogram</v>
      </c>
      <c r="E521" s="12" t="str">
        <f>INDEX('ei names mapping'!$B$225:$BK$255,MATCH(B$229,'ei names mapping'!$A$4:$A$33,0),MATCH(G521,'ei names mapping'!$B$3:$BK$3,0))</f>
        <v>air</v>
      </c>
      <c r="F521" s="12" t="s">
        <v>173</v>
      </c>
      <c r="G521" s="12" t="s">
        <v>623</v>
      </c>
      <c r="H521" s="12"/>
    </row>
    <row r="522" spans="1:8" s="21" customFormat="1" x14ac:dyDescent="0.3">
      <c r="A522" s="12" t="str">
        <f>INDEX('ei names mapping'!$B$4:$BK$33,MATCH(B$229,'ei names mapping'!$A$4:$A$33,0),MATCH(G522,'ei names mapping'!$B$3:$BK$3,0))</f>
        <v>Arsenic</v>
      </c>
      <c r="B522" s="15">
        <f>INDEX('vehicles specifications'!$B$3:$CK$86,MATCH(B$463,'vehicles specifications'!$A$3:$A$86,0),MATCH(G522,'vehicles specifications'!$B$2:$CK$2,0))*INDEX('ei names mapping'!$B$137:$BK$220,MATCH(B$463,'ei names mapping'!$A$137:$A$220,0),MATCH(G522,'ei names mapping'!$B$136:$BK$136,0))</f>
        <v>2.443948636163013E-10</v>
      </c>
      <c r="C522" s="12"/>
      <c r="D522" s="12" t="str">
        <f>INDEX('ei names mapping'!$B$104:$BK$133,MATCH(B$229,'ei names mapping'!$A$4:$A$33,0),MATCH(G522,'ei names mapping'!$B$3:$BK$3,0))</f>
        <v>kilogram</v>
      </c>
      <c r="E522" s="12" t="str">
        <f>INDEX('ei names mapping'!$B$225:$BK$255,MATCH(B$229,'ei names mapping'!$A$4:$A$33,0),MATCH(G522,'ei names mapping'!$B$3:$BK$3,0))</f>
        <v>air</v>
      </c>
      <c r="F522" s="12" t="s">
        <v>173</v>
      </c>
      <c r="G522" s="12" t="s">
        <v>624</v>
      </c>
      <c r="H522" s="12"/>
    </row>
    <row r="523" spans="1:8" s="21" customFormat="1" x14ac:dyDescent="0.3">
      <c r="A523" s="12" t="str">
        <f>INDEX('ei names mapping'!$B$4:$BK$33,MATCH(B$229,'ei names mapping'!$A$4:$A$33,0),MATCH(G523,'ei names mapping'!$B$3:$BK$3,0))</f>
        <v>Selenium</v>
      </c>
      <c r="B523" s="15">
        <f>INDEX('vehicles specifications'!$B$3:$CK$86,MATCH(B$463,'vehicles specifications'!$A$3:$A$86,0),MATCH(G523,'vehicles specifications'!$B$2:$CK$2,0))*INDEX('ei names mapping'!$B$137:$BK$220,MATCH(B$463,'ei names mapping'!$A$137:$A$220,0),MATCH(G523,'ei names mapping'!$B$136:$BK$136,0))</f>
        <v>1.6292990907753419E-10</v>
      </c>
      <c r="C523" s="12"/>
      <c r="D523" s="12" t="str">
        <f>INDEX('ei names mapping'!$B$104:$BK$133,MATCH(B$229,'ei names mapping'!$A$4:$A$33,0),MATCH(G523,'ei names mapping'!$B$3:$BK$3,0))</f>
        <v>kilogram</v>
      </c>
      <c r="E523" s="12" t="str">
        <f>INDEX('ei names mapping'!$B$225:$BK$255,MATCH(B$229,'ei names mapping'!$A$4:$A$33,0),MATCH(G523,'ei names mapping'!$B$3:$BK$3,0))</f>
        <v>air</v>
      </c>
      <c r="F523" s="12" t="s">
        <v>173</v>
      </c>
      <c r="G523" s="12" t="s">
        <v>625</v>
      </c>
      <c r="H523" s="12"/>
    </row>
    <row r="524" spans="1:8" s="21" customFormat="1" x14ac:dyDescent="0.3">
      <c r="A524" s="12" t="str">
        <f>INDEX('ei names mapping'!$B$4:$BK$33,MATCH(B$229,'ei names mapping'!$A$4:$A$33,0),MATCH(G524,'ei names mapping'!$B$3:$BK$3,0))</f>
        <v>Zinc</v>
      </c>
      <c r="B524" s="15">
        <f>INDEX('vehicles specifications'!$B$3:$CK$86,MATCH(B$463,'vehicles specifications'!$A$3:$A$86,0),MATCH(G524,'vehicles specifications'!$B$2:$CK$2,0))*INDEX('ei names mapping'!$B$137:$BK$220,MATCH(B$463,'ei names mapping'!$A$137:$A$220,0),MATCH(G524,'ei names mapping'!$B$136:$BK$136,0))</f>
        <v>1.7596430180373694E-6</v>
      </c>
      <c r="C524" s="12"/>
      <c r="D524" s="12" t="str">
        <f>INDEX('ei names mapping'!$B$104:$BK$133,MATCH(B$229,'ei names mapping'!$A$4:$A$33,0),MATCH(G524,'ei names mapping'!$B$3:$BK$3,0))</f>
        <v>kilogram</v>
      </c>
      <c r="E524" s="12" t="str">
        <f>INDEX('ei names mapping'!$B$225:$BK$255,MATCH(B$229,'ei names mapping'!$A$4:$A$33,0),MATCH(G524,'ei names mapping'!$B$3:$BK$3,0))</f>
        <v>air</v>
      </c>
      <c r="F524" s="12" t="s">
        <v>173</v>
      </c>
      <c r="G524" s="12" t="s">
        <v>626</v>
      </c>
      <c r="H524" s="12"/>
    </row>
    <row r="525" spans="1:8" s="21" customFormat="1" x14ac:dyDescent="0.3">
      <c r="A525" s="12" t="str">
        <f>INDEX('ei names mapping'!$B$4:$BK$33,MATCH(B$229,'ei names mapping'!$A$4:$A$33,0),MATCH(G525,'ei names mapping'!$B$3:$BK$3,0))</f>
        <v>Copper</v>
      </c>
      <c r="B525" s="15">
        <f>INDEX('vehicles specifications'!$B$3:$CK$86,MATCH(B$463,'vehicles specifications'!$A$3:$A$86,0),MATCH(G525,'vehicles specifications'!$B$2:$CK$2,0))*INDEX('ei names mapping'!$B$137:$BK$220,MATCH(B$463,'ei names mapping'!$A$137:$A$220,0),MATCH(G525,'ei names mapping'!$B$136:$BK$136,0))</f>
        <v>3.4215280906282183E-8</v>
      </c>
      <c r="C525" s="12"/>
      <c r="D525" s="12" t="str">
        <f>INDEX('ei names mapping'!$B$104:$BK$133,MATCH(B$229,'ei names mapping'!$A$4:$A$33,0),MATCH(G525,'ei names mapping'!$B$3:$BK$3,0))</f>
        <v>kilogram</v>
      </c>
      <c r="E525" s="12" t="str">
        <f>INDEX('ei names mapping'!$B$225:$BK$255,MATCH(B$229,'ei names mapping'!$A$4:$A$33,0),MATCH(G525,'ei names mapping'!$B$3:$BK$3,0))</f>
        <v>air</v>
      </c>
      <c r="F525" s="12" t="s">
        <v>173</v>
      </c>
      <c r="G525" s="12" t="s">
        <v>581</v>
      </c>
      <c r="H525" s="12"/>
    </row>
    <row r="526" spans="1:8" s="21" customFormat="1" x14ac:dyDescent="0.3">
      <c r="A526" s="12" t="str">
        <f>INDEX('ei names mapping'!$B$4:$BK$33,MATCH(B$229,'ei names mapping'!$A$4:$A$33,0),MATCH(G526,'ei names mapping'!$B$3:$BK$3,0))</f>
        <v>Nickel</v>
      </c>
      <c r="B526" s="15">
        <f>INDEX('vehicles specifications'!$B$3:$CK$86,MATCH(B$463,'vehicles specifications'!$A$3:$A$86,0),MATCH(G526,'vehicles specifications'!$B$2:$CK$2,0))*INDEX('ei names mapping'!$B$137:$BK$220,MATCH(B$463,'ei names mapping'!$A$137:$A$220,0),MATCH(G526,'ei names mapping'!$B$136:$BK$136,0))</f>
        <v>1.0590444090039723E-8</v>
      </c>
      <c r="C526" s="12"/>
      <c r="D526" s="12" t="str">
        <f>INDEX('ei names mapping'!$B$104:$BK$133,MATCH(B$229,'ei names mapping'!$A$4:$A$33,0),MATCH(G526,'ei names mapping'!$B$3:$BK$3,0))</f>
        <v>kilogram</v>
      </c>
      <c r="E526" s="12" t="str">
        <f>INDEX('ei names mapping'!$B$225:$BK$255,MATCH(B$229,'ei names mapping'!$A$4:$A$33,0),MATCH(G526,'ei names mapping'!$B$3:$BK$3,0))</f>
        <v>air</v>
      </c>
      <c r="F526" s="12" t="s">
        <v>173</v>
      </c>
      <c r="G526" s="12" t="s">
        <v>583</v>
      </c>
      <c r="H526" s="12"/>
    </row>
    <row r="527" spans="1:8" s="21" customFormat="1" x14ac:dyDescent="0.3">
      <c r="A527" s="12" t="str">
        <f>INDEX('ei names mapping'!$B$4:$BK$33,MATCH(B$229,'ei names mapping'!$A$4:$A$33,0),MATCH(G527,'ei names mapping'!$B$3:$BK$3,0))</f>
        <v>Chromium</v>
      </c>
      <c r="B527" s="15">
        <f>INDEX('vehicles specifications'!$B$3:$CK$86,MATCH(B$463,'vehicles specifications'!$A$3:$A$86,0),MATCH(G527,'vehicles specifications'!$B$2:$CK$2,0))*INDEX('ei names mapping'!$B$137:$BK$220,MATCH(B$463,'ei names mapping'!$A$137:$A$220,0),MATCH(G527,'ei names mapping'!$B$136:$BK$136,0))</f>
        <v>1.303439272620274E-8</v>
      </c>
      <c r="C527" s="12"/>
      <c r="D527" s="12" t="str">
        <f>INDEX('ei names mapping'!$B$104:$BK$133,MATCH(B$229,'ei names mapping'!$A$4:$A$33,0),MATCH(G527,'ei names mapping'!$B$3:$BK$3,0))</f>
        <v>kilogram</v>
      </c>
      <c r="E527" s="12" t="str">
        <f>INDEX('ei names mapping'!$B$225:$BK$255,MATCH(B$229,'ei names mapping'!$A$4:$A$33,0),MATCH(G527,'ei names mapping'!$B$3:$BK$3,0))</f>
        <v>air</v>
      </c>
      <c r="F527" s="12" t="s">
        <v>173</v>
      </c>
      <c r="G527" s="12" t="s">
        <v>582</v>
      </c>
      <c r="H527" s="12"/>
    </row>
    <row r="528" spans="1:8" s="21" customFormat="1" x14ac:dyDescent="0.3">
      <c r="A528" s="12" t="str">
        <f>INDEX('ei names mapping'!$B$4:$BK$33,MATCH(B$229,'ei names mapping'!$A$4:$A$33,0),MATCH(G528,'ei names mapping'!$B$3:$BK$3,0))</f>
        <v>Chromium VI</v>
      </c>
      <c r="B528" s="15">
        <f>INDEX('vehicles specifications'!$B$3:$CK$86,MATCH(B$463,'vehicles specifications'!$A$3:$A$86,0),MATCH(G528,'vehicles specifications'!$B$2:$CK$2,0))*INDEX('ei names mapping'!$B$137:$BK$220,MATCH(B$463,'ei names mapping'!$A$137:$A$220,0),MATCH(G528,'ei names mapping'!$B$136:$BK$136,0))</f>
        <v>2.6068785452405472E-11</v>
      </c>
      <c r="C528" s="12"/>
      <c r="D528" s="12" t="str">
        <f>INDEX('ei names mapping'!$B$104:$BK$133,MATCH(B$229,'ei names mapping'!$A$4:$A$33,0),MATCH(G528,'ei names mapping'!$B$3:$BK$3,0))</f>
        <v>kilogram</v>
      </c>
      <c r="E528" s="12" t="str">
        <f>INDEX('ei names mapping'!$B$225:$BK$255,MATCH(B$229,'ei names mapping'!$A$4:$A$33,0),MATCH(G528,'ei names mapping'!$B$3:$BK$3,0))</f>
        <v>air</v>
      </c>
      <c r="F528" s="12" t="s">
        <v>173</v>
      </c>
      <c r="G528" s="12" t="s">
        <v>629</v>
      </c>
      <c r="H528" s="12"/>
    </row>
    <row r="529" spans="1:8" s="21" customFormat="1" x14ac:dyDescent="0.3">
      <c r="A529" s="12" t="str">
        <f>INDEX('ei names mapping'!$B$4:$BK$33,MATCH(B$229,'ei names mapping'!$A$4:$A$33,0),MATCH(G529,'ei names mapping'!$B$3:$BK$3,0))</f>
        <v>Mercury</v>
      </c>
      <c r="B529" s="15">
        <f>INDEX('vehicles specifications'!$B$3:$CK$86,MATCH(B$463,'vehicles specifications'!$A$3:$A$86,0),MATCH(G529,'vehicles specifications'!$B$2:$CK$2,0))*INDEX('ei names mapping'!$B$137:$BK$220,MATCH(B$463,'ei names mapping'!$A$137:$A$220,0),MATCH(G529,'ei names mapping'!$B$136:$BK$136,0))</f>
        <v>7.0874510448727374E-9</v>
      </c>
      <c r="C529" s="12"/>
      <c r="D529" s="12" t="str">
        <f>INDEX('ei names mapping'!$B$104:$BK$133,MATCH(B$229,'ei names mapping'!$A$4:$A$33,0),MATCH(G529,'ei names mapping'!$B$3:$BK$3,0))</f>
        <v>kilogram</v>
      </c>
      <c r="E529" s="12" t="str">
        <f>INDEX('ei names mapping'!$B$225:$BK$255,MATCH(B$229,'ei names mapping'!$A$4:$A$33,0),MATCH(G529,'ei names mapping'!$B$3:$BK$3,0))</f>
        <v>air</v>
      </c>
      <c r="F529" s="12" t="s">
        <v>173</v>
      </c>
      <c r="G529" s="12" t="s">
        <v>627</v>
      </c>
      <c r="H529" s="12"/>
    </row>
    <row r="530" spans="1:8" s="21" customFormat="1" x14ac:dyDescent="0.3">
      <c r="A530" s="12" t="str">
        <f>INDEX('ei names mapping'!$B$4:$BK$33,MATCH(B$229,'ei names mapping'!$A$4:$A$33,0),MATCH(G530,'ei names mapping'!$B$3:$BK$3,0))</f>
        <v>Cadmium</v>
      </c>
      <c r="B530" s="15">
        <f>INDEX('vehicles specifications'!$B$3:$CK$86,MATCH(B$463,'vehicles specifications'!$A$3:$A$86,0),MATCH(G530,'vehicles specifications'!$B$2:$CK$2,0))*INDEX('ei names mapping'!$B$137:$BK$220,MATCH(B$463,'ei names mapping'!$A$137:$A$220,0),MATCH(G530,'ei names mapping'!$B$136:$BK$136,0))</f>
        <v>8.7982150901868465E-9</v>
      </c>
      <c r="C530" s="12"/>
      <c r="D530" s="12" t="str">
        <f>INDEX('ei names mapping'!$B$104:$BK$133,MATCH(B$229,'ei names mapping'!$A$4:$A$33,0),MATCH(G530,'ei names mapping'!$B$3:$BK$3,0))</f>
        <v>kilogram</v>
      </c>
      <c r="E530" s="12" t="str">
        <f>INDEX('ei names mapping'!$B$225:$BK$255,MATCH(B$229,'ei names mapping'!$A$4:$A$33,0),MATCH(G530,'ei names mapping'!$B$3:$BK$3,0))</f>
        <v>air</v>
      </c>
      <c r="F530" s="12" t="s">
        <v>173</v>
      </c>
      <c r="G530" s="12" t="s">
        <v>628</v>
      </c>
      <c r="H530" s="12"/>
    </row>
    <row r="531" spans="1:8" x14ac:dyDescent="0.3">
      <c r="A531" s="12" t="str">
        <f>INDEX('ei names mapping'!$B$4:$BK$33,MATCH(B460,'ei names mapping'!$A$4:$A$33,0),MATCH(G531,'ei names mapping'!$B$3:$BK$3,0))</f>
        <v>treatment of road wear emissions, passenger car</v>
      </c>
      <c r="B531" s="16">
        <f>INDEX('vehicles specifications'!$B$3:$CK$86,MATCH(B463,'vehicles specifications'!$A$3:$A$86,0),MATCH(G531,'vehicles specifications'!$B$2:$CK$2,0))*INDEX('ei names mapping'!$B$137:$BK$220,MATCH(B463,'ei names mapping'!$A$137:$A$220,0),MATCH(G531,'ei names mapping'!$B$136:$BK$136,0))</f>
        <v>-6.0000000000000002E-6</v>
      </c>
      <c r="C531" s="12" t="str">
        <f>INDEX('ei names mapping'!$B$38:$BK$67,MATCH(B460,'ei names mapping'!$A$4:$A$33,0),MATCH(G531,'ei names mapping'!$B$3:$BK$3,0))</f>
        <v>RER</v>
      </c>
      <c r="D531" s="12" t="str">
        <f>INDEX('ei names mapping'!$B$104:$BK$133,MATCH(B460,'ei names mapping'!$A$4:$A$33,0),MATCH(G531,'ei names mapping'!$B$3:$BK$3,0))</f>
        <v>kilogram</v>
      </c>
      <c r="E531" s="12"/>
      <c r="F531" s="12" t="s">
        <v>91</v>
      </c>
      <c r="G531" t="s">
        <v>29</v>
      </c>
      <c r="H531" s="12" t="str">
        <f>INDEX('ei names mapping'!$B$71:$BK$100,MATCH(B460,'ei names mapping'!$A$4:$A$33,0),MATCH(G531,'ei names mapping'!$B$3:$BK$3,0))</f>
        <v>road wear emissions, passenger car</v>
      </c>
    </row>
    <row r="532" spans="1:8" x14ac:dyDescent="0.3">
      <c r="A532" s="12" t="str">
        <f>INDEX('ei names mapping'!$B$4:$BK$33,MATCH(B460,'ei names mapping'!$A$4:$A$33,0),MATCH(G532,'ei names mapping'!$B$3:$BK$3,0))</f>
        <v>treatment of tyre wear emissions, passenger car</v>
      </c>
      <c r="B532" s="16">
        <f>INDEX('vehicles specifications'!$B$3:$CK$86,MATCH(B463,'vehicles specifications'!$A$3:$A$86,0),MATCH(G532,'vehicles specifications'!$B$2:$CK$2,0))*INDEX('ei names mapping'!$B$137:$BK$220,MATCH(B463,'ei names mapping'!$A$137:$A$220,0),MATCH(G532,'ei names mapping'!$B$136:$BK$136,0))</f>
        <v>-5.8379999999999998E-6</v>
      </c>
      <c r="C532" s="12" t="str">
        <f>INDEX('ei names mapping'!$B$38:$BK$67,MATCH(B460,'ei names mapping'!$A$4:$A$33,0),MATCH(G532,'ei names mapping'!$B$3:$BK$3,0))</f>
        <v>RER</v>
      </c>
      <c r="D532" s="12" t="str">
        <f>INDEX('ei names mapping'!$B$104:$BK$133,MATCH(B460,'ei names mapping'!$A$4:$A$33,0),MATCH(G532,'ei names mapping'!$B$3:$BK$3,0))</f>
        <v>kilogram</v>
      </c>
      <c r="E532" s="12"/>
      <c r="F532" s="12" t="s">
        <v>91</v>
      </c>
      <c r="G532" t="s">
        <v>30</v>
      </c>
      <c r="H532" s="12" t="str">
        <f>INDEX('ei names mapping'!$B$71:$BK$100,MATCH(B460,'ei names mapping'!$A$4:$A$33,0),MATCH(G532,'ei names mapping'!$B$3:$BK$3,0))</f>
        <v>tyre wear emissions, passenger car</v>
      </c>
    </row>
    <row r="533" spans="1:8" x14ac:dyDescent="0.3">
      <c r="A533" s="12" t="str">
        <f>INDEX('ei names mapping'!$B$4:$BK$33,MATCH(B460,'ei names mapping'!$A$4:$A$33,0),MATCH(G533,'ei names mapping'!$B$3:$BK$3,0))</f>
        <v>treatment of brake wear emissions, passenger car</v>
      </c>
      <c r="B533" s="16">
        <f>INDEX('vehicles specifications'!$B$3:$CK$86,MATCH(B463,'vehicles specifications'!$A$3:$A$86,0),MATCH(G533,'vehicles specifications'!$B$2:$CK$2,0))*INDEX('ei names mapping'!$B$137:$BK$220,MATCH(B463,'ei names mapping'!$A$137:$A$220,0),MATCH(G533,'ei names mapping'!$B$136:$BK$136,0))</f>
        <v>-3.6740000000000003E-6</v>
      </c>
      <c r="C533" s="12" t="str">
        <f>INDEX('ei names mapping'!$B$38:$BK$67,MATCH(B460,'ei names mapping'!$A$4:$A$33,0),MATCH(G533,'ei names mapping'!$B$3:$BK$3,0))</f>
        <v>RER</v>
      </c>
      <c r="D533" s="12" t="str">
        <f>INDEX('ei names mapping'!$B$104:$BK$133,MATCH(B460,'ei names mapping'!$A$4:$A$33,0),MATCH(G533,'ei names mapping'!$B$3:$BK$3,0))</f>
        <v>kilogram</v>
      </c>
      <c r="E533" s="12"/>
      <c r="F533" s="12" t="s">
        <v>91</v>
      </c>
      <c r="G533" t="s">
        <v>31</v>
      </c>
      <c r="H533" s="12" t="str">
        <f>INDEX('ei names mapping'!$B$71:$BK$100,MATCH(B460,'ei names mapping'!$A$4:$A$33,0),MATCH(G533,'ei names mapping'!$B$3:$BK$3,0))</f>
        <v>brake wear emissions, passenger car</v>
      </c>
    </row>
    <row r="535" spans="1:8" ht="15.6" x14ac:dyDescent="0.3">
      <c r="A535" s="11" t="s">
        <v>72</v>
      </c>
      <c r="B535" s="9" t="str">
        <f>"transport, "&amp;B537&amp;", "&amp;B539</f>
        <v>transport, Moped, gasoline, &lt;4kW, EURO-5, 2040</v>
      </c>
    </row>
    <row r="536" spans="1:8" x14ac:dyDescent="0.3">
      <c r="A536" t="s">
        <v>73</v>
      </c>
      <c r="B536" t="s">
        <v>37</v>
      </c>
    </row>
    <row r="537" spans="1:8" x14ac:dyDescent="0.3">
      <c r="A537" t="s">
        <v>87</v>
      </c>
      <c r="B537" t="s">
        <v>647</v>
      </c>
    </row>
    <row r="538" spans="1:8" x14ac:dyDescent="0.3">
      <c r="A538" t="s">
        <v>88</v>
      </c>
      <c r="B538" s="12"/>
    </row>
    <row r="539" spans="1:8" x14ac:dyDescent="0.3">
      <c r="A539" t="s">
        <v>89</v>
      </c>
      <c r="B539" s="12">
        <v>2040</v>
      </c>
    </row>
    <row r="540" spans="1:8" x14ac:dyDescent="0.3">
      <c r="A540" t="s">
        <v>131</v>
      </c>
      <c r="B540" s="12" t="str">
        <f>B537&amp;" - "&amp;B539&amp;" - "&amp;B536</f>
        <v>Moped, gasoline, &lt;4kW, EURO-5 - 2040 - CH</v>
      </c>
    </row>
    <row r="541" spans="1:8" x14ac:dyDescent="0.3">
      <c r="A541" t="s">
        <v>74</v>
      </c>
      <c r="B541" s="12" t="str">
        <f>"transport, "&amp;B537</f>
        <v>transport, Moped, gasoline, &lt;4kW, EURO-5</v>
      </c>
    </row>
    <row r="542" spans="1:8" x14ac:dyDescent="0.3">
      <c r="A542" t="s">
        <v>75</v>
      </c>
      <c r="B542" t="s">
        <v>76</v>
      </c>
    </row>
    <row r="543" spans="1:8" x14ac:dyDescent="0.3">
      <c r="A543" t="s">
        <v>77</v>
      </c>
      <c r="B543" t="s">
        <v>172</v>
      </c>
    </row>
    <row r="544" spans="1:8" x14ac:dyDescent="0.3">
      <c r="A544" t="s">
        <v>79</v>
      </c>
      <c r="B544" t="s">
        <v>90</v>
      </c>
    </row>
    <row r="545" spans="1:2" x14ac:dyDescent="0.3">
      <c r="A545" t="s">
        <v>132</v>
      </c>
      <c r="B545">
        <f>INDEX('vehicles specifications'!$B$3:$CK$86,MATCH(B540,'vehicles specifications'!$A$3:$A$86,0),MATCH("Lifetime [km]",'vehicles specifications'!$B$2:$CK$2,0))</f>
        <v>33400</v>
      </c>
    </row>
    <row r="546" spans="1:2" x14ac:dyDescent="0.3">
      <c r="A546" t="s">
        <v>133</v>
      </c>
      <c r="B546">
        <f>INDEX('vehicles specifications'!$B$3:$CK$86,MATCH(B540,'vehicles specifications'!$A$3:$A$86,0),MATCH("Passengers [unit]",'vehicles specifications'!$B$2:$CK$2,0))</f>
        <v>1</v>
      </c>
    </row>
    <row r="547" spans="1:2" x14ac:dyDescent="0.3">
      <c r="A547" t="s">
        <v>134</v>
      </c>
      <c r="B547">
        <f>INDEX('vehicles specifications'!$B$3:$CK$86,MATCH(B540,'vehicles specifications'!$A$3:$A$86,0),MATCH("Servicing [unit]",'vehicles specifications'!$B$2:$CK$2,0))</f>
        <v>1</v>
      </c>
    </row>
    <row r="548" spans="1:2" x14ac:dyDescent="0.3">
      <c r="A548" t="s">
        <v>135</v>
      </c>
      <c r="B548">
        <f>INDEX('vehicles specifications'!$B$3:$CK$86,MATCH(B540,'vehicles specifications'!$A$3:$A$86,0),MATCH("Energy battery replacement [unit]",'vehicles specifications'!$B$2:$CK$2,0))</f>
        <v>0</v>
      </c>
    </row>
    <row r="549" spans="1:2" x14ac:dyDescent="0.3">
      <c r="A549" t="s">
        <v>136</v>
      </c>
      <c r="B549">
        <f>INDEX('vehicles specifications'!$B$3:$CK$86,MATCH(B540,'vehicles specifications'!$A$3:$A$86,0),MATCH("Annual kilometers [km]",'vehicles specifications'!$B$2:$CK$2,0))</f>
        <v>2553</v>
      </c>
    </row>
    <row r="550" spans="1:2" x14ac:dyDescent="0.3">
      <c r="A550" t="s">
        <v>137</v>
      </c>
      <c r="B550" s="2">
        <f>INDEX('vehicles specifications'!$B$3:$CK$86,MATCH(B540,'vehicles specifications'!$A$3:$A$86,0),MATCH("Curb mass [kg]",'vehicles specifications'!$B$2:$CK$2,0))</f>
        <v>60.856874999999995</v>
      </c>
    </row>
    <row r="551" spans="1:2" x14ac:dyDescent="0.3">
      <c r="A551" t="s">
        <v>138</v>
      </c>
      <c r="B551">
        <f>INDEX('vehicles specifications'!$B$3:$CK$86,MATCH(B540,'vehicles specifications'!$A$3:$A$86,0),MATCH("Power [kW]",'vehicles specifications'!$B$2:$CK$2,0))</f>
        <v>2.5</v>
      </c>
    </row>
    <row r="552" spans="1:2" x14ac:dyDescent="0.3">
      <c r="A552" t="s">
        <v>139</v>
      </c>
      <c r="B552">
        <f>INDEX('vehicles specifications'!$B$3:$CK$86,MATCH(B540,'vehicles specifications'!$A$3:$A$86,0),MATCH("Energy battery mass [kg]",'vehicles specifications'!$B$2:$CK$2,0))</f>
        <v>0</v>
      </c>
    </row>
    <row r="553" spans="1:2" x14ac:dyDescent="0.3">
      <c r="A553" t="s">
        <v>140</v>
      </c>
      <c r="B553">
        <f>INDEX('vehicles specifications'!$B$3:$CK$86,MATCH(B540,'vehicles specifications'!$A$3:$A$86,0),MATCH("Electric energy available [kWh]",'vehicles specifications'!$B$2:$CK$2,0))</f>
        <v>0</v>
      </c>
    </row>
    <row r="554" spans="1:2" x14ac:dyDescent="0.3">
      <c r="A554" t="s">
        <v>143</v>
      </c>
      <c r="B554" s="2">
        <f>INDEX('vehicles specifications'!$B$3:$CK$86,MATCH(B540,'vehicles specifications'!$A$3:$A$86,0),MATCH("Oxydation energy stored [kWh]",'vehicles specifications'!$B$2:$CK$2,0))</f>
        <v>61.833333333333329</v>
      </c>
    </row>
    <row r="555" spans="1:2" x14ac:dyDescent="0.3">
      <c r="A555" t="s">
        <v>145</v>
      </c>
      <c r="B555">
        <f>INDEX('vehicles specifications'!$B$3:$CK$86,MATCH(B540,'vehicles specifications'!$A$3:$A$86,0),MATCH("Fuel mass [kg]",'vehicles specifications'!$B$2:$CK$2,0))</f>
        <v>5.25</v>
      </c>
    </row>
    <row r="556" spans="1:2" x14ac:dyDescent="0.3">
      <c r="A556" t="s">
        <v>141</v>
      </c>
      <c r="B556" s="2">
        <f>INDEX('vehicles specifications'!$B$3:$CK$86,MATCH(B540,'vehicles specifications'!$A$3:$A$86,0),MATCH("Range [km]",'vehicles specifications'!$B$2:$CK$2,0))</f>
        <v>276.0063957827229</v>
      </c>
    </row>
    <row r="557" spans="1:2" x14ac:dyDescent="0.3">
      <c r="A557" t="s">
        <v>142</v>
      </c>
      <c r="B557" t="str">
        <f>INDEX('vehicles specifications'!$B$3:$CK$86,MATCH(B540,'vehicles specifications'!$A$3:$A$86,0),MATCH("Emission standard",'vehicles specifications'!$B$2:$CK$2,0))</f>
        <v>EURO-5</v>
      </c>
    </row>
    <row r="558" spans="1:2" x14ac:dyDescent="0.3">
      <c r="A558" t="s">
        <v>144</v>
      </c>
      <c r="B558" s="6">
        <f>INDEX('vehicles specifications'!$B$3:$CK$86,MATCH(B540,'vehicles specifications'!$A$3:$A$86,0),MATCH("Lightweighting rate [%]",'vehicles specifications'!$B$2:$CK$2,0))</f>
        <v>0.05</v>
      </c>
    </row>
    <row r="559" spans="1:2" x14ac:dyDescent="0.3">
      <c r="A559" t="s">
        <v>84</v>
      </c>
      <c r="B559" s="21"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Battery capacity: "&amp;ROUND(B553,1)&amp;" kWh. Battery mass: "&amp;ROUND(B552,1)&amp; " kg. Battery replacement throughout lifetime: "&amp;ROUND(B548,1)&amp;". Fuel tank capacity: "&amp;ROUND(B554,1)&amp;" kWh. Fuel mass: "&amp;ROUND(B555,1)&amp;" kg. Documentation: "&amp;Readmefirst!$B$2&amp;", "&amp;Readmefirst!$B$3&amp;". "&amp;B544</f>
        <v>Power: 2.5 kW. Lifetime: 33400 km. Annual kilometers: 2553 km. Number of passengers: 1. Curb mass: 60.9 kg. Lightweighting of glider: 5%. Emission standard: EURO-5. Service visits throughout lifetime: 1. Range: 276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560" spans="1:2" ht="15.6" x14ac:dyDescent="0.3">
      <c r="A560" s="11" t="s">
        <v>80</v>
      </c>
    </row>
    <row r="561" spans="1:8" x14ac:dyDescent="0.3">
      <c r="A561" t="s">
        <v>81</v>
      </c>
      <c r="B561" t="s">
        <v>82</v>
      </c>
      <c r="C561" t="s">
        <v>73</v>
      </c>
      <c r="D561" t="s">
        <v>77</v>
      </c>
      <c r="E561" t="s">
        <v>83</v>
      </c>
      <c r="F561" t="s">
        <v>75</v>
      </c>
      <c r="G561" t="s">
        <v>84</v>
      </c>
      <c r="H561" t="s">
        <v>74</v>
      </c>
    </row>
    <row r="562" spans="1:8" x14ac:dyDescent="0.3">
      <c r="A562" s="12" t="str">
        <f>B535</f>
        <v>transport, Moped, gasoline, &lt;4kW, EURO-5, 2040</v>
      </c>
      <c r="B562" s="12">
        <v>1</v>
      </c>
      <c r="C562" s="12" t="str">
        <f>B536</f>
        <v>CH</v>
      </c>
      <c r="D562" s="12" t="s">
        <v>172</v>
      </c>
      <c r="E562" s="12"/>
      <c r="F562" s="12" t="s">
        <v>85</v>
      </c>
      <c r="G562" s="12" t="s">
        <v>86</v>
      </c>
      <c r="H562" s="12" t="str">
        <f>B541</f>
        <v>transport, Moped, gasoline, &lt;4kW, EURO-5</v>
      </c>
    </row>
    <row r="563" spans="1:8" x14ac:dyDescent="0.3">
      <c r="A563" s="12" t="str">
        <f>RIGHT(A562,LEN(A562)-11)</f>
        <v>Moped, gasoline, &lt;4kW, EURO-5, 2040</v>
      </c>
      <c r="B563" s="12">
        <f>1/B545</f>
        <v>2.9940119760479042E-5</v>
      </c>
      <c r="C563" s="12" t="str">
        <f>B536</f>
        <v>CH</v>
      </c>
      <c r="D563" s="12" t="s">
        <v>77</v>
      </c>
      <c r="E563" s="12"/>
      <c r="F563" s="12" t="s">
        <v>91</v>
      </c>
      <c r="G563" s="12"/>
      <c r="H563" s="12" t="str">
        <f>RIGHT(H562,LEN(H562)-11)</f>
        <v>Moped, gasoline, &lt;4kW, EURO-5</v>
      </c>
    </row>
    <row r="564" spans="1:8" s="21" customFormat="1" x14ac:dyDescent="0.3">
      <c r="A564" s="12" t="str">
        <f>INDEX('ei names mapping'!$B$4:$R$33,MATCH(B537,'ei names mapping'!$A$4:$A$33,0),MATCH(G564,'ei names mapping'!$B$3:$R$3,0))</f>
        <v>road construction</v>
      </c>
      <c r="B564" s="16">
        <f>INDEX('vehicles specifications'!$B$3:$CK$86,MATCH(B540,'vehicles specifications'!$A$3:$A$86,0),MATCH(G564,'vehicles specifications'!$B$2:$CK$2,0))*INDEX('ei names mapping'!$B$137:$BK$220,MATCH(B540,'ei names mapping'!$A$137:$A$220,0),MATCH(G564,'ei names mapping'!$B$136:$BK$136,0))</f>
        <v>7.1344141875000002E-5</v>
      </c>
      <c r="C564" s="12" t="str">
        <f>INDEX('ei names mapping'!$B$38:$R$67,MATCH(B537,'ei names mapping'!$A$4:$A$33,0),MATCH(G564,'ei names mapping'!$B$3:$R$3,0))</f>
        <v>CH</v>
      </c>
      <c r="D564" s="12" t="str">
        <f>INDEX('ei names mapping'!$B$104:$BK$133,MATCH(B537,'ei names mapping'!$A$4:$A$33,0),MATCH(G564,'ei names mapping'!$B$3:$BK$3,0))</f>
        <v>meter-year</v>
      </c>
      <c r="E564" s="12"/>
      <c r="F564" s="12" t="s">
        <v>91</v>
      </c>
      <c r="G564" s="21" t="s">
        <v>108</v>
      </c>
      <c r="H564" s="12" t="str">
        <f>INDEX('ei names mapping'!$B$71:$BK$100,MATCH(B537,'ei names mapping'!$A$4:$A$33,0),MATCH(G564,'ei names mapping'!$B$3:$BK$3,0))</f>
        <v>road</v>
      </c>
    </row>
    <row r="565" spans="1:8" x14ac:dyDescent="0.3">
      <c r="A565" s="12" t="str">
        <f>INDEX('ei names mapping'!$B$4:$R$33,MATCH(B537,'ei names mapping'!$A$4:$A$33,0),MATCH(G565,'ei names mapping'!$B$3:$R$3,0))</f>
        <v>road maintenance</v>
      </c>
      <c r="B565" s="16">
        <f>INDEX('vehicles specifications'!$B$3:$CK$86,MATCH(B540,'vehicles specifications'!$A$3:$A$86,0),MATCH(G565,'vehicles specifications'!$B$2:$CK$2,0))*INDEX('ei names mapping'!$B$137:$BK$220,MATCH(B540,'ei names mapping'!$A$137:$A$220,0),MATCH(G565,'ei names mapping'!$B$136:$BK$136,0))</f>
        <v>1.2899999999999999E-3</v>
      </c>
      <c r="C565" s="12" t="str">
        <f>INDEX('ei names mapping'!$B$38:$R$67,MATCH(B537,'ei names mapping'!$A$4:$A$33,0),MATCH(G565,'ei names mapping'!$B$3:$R$3,0))</f>
        <v>CH</v>
      </c>
      <c r="D565" s="12" t="str">
        <f>INDEX('ei names mapping'!$B$104:$BK$133,MATCH(B537,'ei names mapping'!$A$4:$A$33,0),MATCH(G565,'ei names mapping'!$B$3:$BK$3,0))</f>
        <v>meter-year</v>
      </c>
      <c r="E565" s="12"/>
      <c r="F565" s="12" t="s">
        <v>91</v>
      </c>
      <c r="G565" t="s">
        <v>117</v>
      </c>
      <c r="H565" s="12" t="str">
        <f>INDEX('ei names mapping'!$B$71:$BK$100,MATCH(B537,'ei names mapping'!$A$4:$A$33,0),MATCH(G565,'ei names mapping'!$B$3:$BK$3,0))</f>
        <v>road maintenance</v>
      </c>
    </row>
    <row r="566" spans="1:8" x14ac:dyDescent="0.3">
      <c r="A566" s="12" t="str">
        <f>INDEX('ei names mapping'!$B$4:$R$33,MATCH(B537,'ei names mapping'!$A$4:$A$33,0),MATCH(G566,'ei names mapping'!$B$3:$R$3,0))</f>
        <v>maintenance, motor scooter</v>
      </c>
      <c r="B566" s="16">
        <f>INDEX('vehicles specifications'!$B$3:$CK$86,MATCH(B540,'vehicles specifications'!$A$3:$A$86,0),MATCH(G566,'vehicles specifications'!$B$2:$CK$2,0))*INDEX('ei names mapping'!$B$137:$BK$220,MATCH(B540,'ei names mapping'!$A$137:$A$220,0),MATCH(G566,'ei names mapping'!$B$136:$BK$136,0))</f>
        <v>2.9940119760479042E-5</v>
      </c>
      <c r="C566" s="12" t="str">
        <f>INDEX('ei names mapping'!$B$38:$BK$67,MATCH(B537,'ei names mapping'!$A$4:$A$33,0),MATCH(G566,'ei names mapping'!$B$3:$BK$3,0))</f>
        <v>CH</v>
      </c>
      <c r="D566" s="12" t="str">
        <f>INDEX('ei names mapping'!$B$104:$BK$133,MATCH(B537,'ei names mapping'!$A$4:$A$33,0),MATCH(G566,'ei names mapping'!$B$3:$BK$3,0))</f>
        <v>unit</v>
      </c>
      <c r="F566" s="12" t="s">
        <v>91</v>
      </c>
      <c r="G566" s="12" t="s">
        <v>123</v>
      </c>
      <c r="H566" s="12" t="str">
        <f>INDEX('ei names mapping'!$B$71:$BK$100,MATCH(B537,'ei names mapping'!$A$4:$A$33,0),MATCH(G566,'ei names mapping'!$B$3:$BK$3,0))</f>
        <v>maintenance, motor scooter</v>
      </c>
    </row>
    <row r="567" spans="1:8" x14ac:dyDescent="0.3">
      <c r="A567" s="12" t="str">
        <f>INDEX('ei names mapping'!$B$4:$R$33,MATCH(B537,'ei names mapping'!$A$4:$A$33,0),MATCH(G567,'ei names mapping'!$B$3:$R$3,0))</f>
        <v>petrol blending for two-stroke engines</v>
      </c>
      <c r="B567" s="16">
        <f>INDEX('vehicles specifications'!$B$3:$CK$86,MATCH(B540,'vehicles specifications'!$A$3:$A$86,0),MATCH(G567,'vehicles specifications'!$B$2:$CK$2,0))*INDEX('ei names mapping'!$B$137:$BK$220,MATCH(B540,'ei names mapping'!$A$137:$A$220,0),MATCH(G567,'ei names mapping'!$B$136:$BK$136,0))</f>
        <v>1.902129834749515E-2</v>
      </c>
      <c r="C567" s="12" t="str">
        <f>INDEX('ei names mapping'!$B$38:$BK$67,MATCH(B537,'ei names mapping'!$A$4:$A$33,0),MATCH(G567,'ei names mapping'!$B$3:$BK$3,0))</f>
        <v>CH</v>
      </c>
      <c r="D567" s="12" t="str">
        <f>INDEX('ei names mapping'!$B$104:$BK$133,MATCH(B537,'ei names mapping'!$A$4:$A$33,0),MATCH(G567,'ei names mapping'!$B$3:$BK$3,0))</f>
        <v>kilogram</v>
      </c>
      <c r="F567" s="12" t="s">
        <v>91</v>
      </c>
      <c r="G567" s="12" t="s">
        <v>27</v>
      </c>
      <c r="H567" s="12" t="str">
        <f>INDEX('ei names mapping'!$B$71:$BK$100,MATCH(B537,'ei names mapping'!$A$4:$A$33,0),MATCH(G567,'ei names mapping'!$B$3:$BK$3,0))</f>
        <v>petrol, two-stroke blend</v>
      </c>
    </row>
    <row r="568" spans="1:8" x14ac:dyDescent="0.3">
      <c r="A568" s="12" t="str">
        <f>INDEX('ei names mapping'!$B$4:$BK$33,MATCH(B537,'ei names mapping'!$A$4:$A$33,0),MATCH(G568,'ei names mapping'!$B$3:$BK$3,0))</f>
        <v>Carbon dioxide, fossil</v>
      </c>
      <c r="B568" s="16">
        <f>INDEX('vehicles specifications'!$B$3:$CK$86,MATCH(B540,'vehicles specifications'!$A$3:$A$86,0),MATCH(G568,'vehicles specifications'!$B$2:$CK$2,0))*INDEX('ei names mapping'!$B$137:$BK$220,MATCH(B540,'ei names mapping'!$A$137:$A$220,0),MATCH(G568,'ei names mapping'!$B$136:$BK$136,0))</f>
        <v>6.048772874503458E-2</v>
      </c>
      <c r="C568" s="12"/>
      <c r="D568" s="12" t="str">
        <f>INDEX('ei names mapping'!$B$104:$BK$133,MATCH(B537,'ei names mapping'!$A$4:$A$33,0),MATCH(G568,'ei names mapping'!$B$3:$BK$3,0))</f>
        <v>kilogram</v>
      </c>
      <c r="E568" s="12" t="str">
        <f>INDEX('ei names mapping'!$B$225:$BK$255,MATCH(B537,'ei names mapping'!$A$4:$A$33,0),MATCH(G568,'ei names mapping'!$B$3:$BK$3,0))</f>
        <v>air</v>
      </c>
      <c r="F568" s="12" t="s">
        <v>173</v>
      </c>
      <c r="G568" t="s">
        <v>67</v>
      </c>
      <c r="H568" s="12"/>
    </row>
    <row r="569" spans="1:8" x14ac:dyDescent="0.3">
      <c r="A569" s="12" t="str">
        <f>INDEX('ei names mapping'!$B$4:$BK$33,MATCH(B537,'ei names mapping'!$A$4:$A$33,0),MATCH(G569,'ei names mapping'!$B$3:$BK$3,0))</f>
        <v>Sulfur dioxide</v>
      </c>
      <c r="B569" s="15">
        <f>INDEX('vehicles specifications'!$B$3:$CK$86,MATCH(B540,'vehicles specifications'!$A$3:$A$86,0),MATCH(G569,'vehicles specifications'!$B$2:$CK$2,0))*INDEX('ei names mapping'!$B$137:$BK$220,MATCH(B540,'ei names mapping'!$A$137:$A$220,0),MATCH(G569,'ei names mapping'!$B$136:$BK$136,0))</f>
        <v>3.0434077355992238E-7</v>
      </c>
      <c r="C569" s="12"/>
      <c r="D569" s="12" t="str">
        <f>INDEX('ei names mapping'!$B$104:$BK$133,MATCH(B537,'ei names mapping'!$A$4:$A$33,0),MATCH(G569,'ei names mapping'!$B$3:$BK$3,0))</f>
        <v>kilogram</v>
      </c>
      <c r="E569" s="12" t="str">
        <f>INDEX('ei names mapping'!$B$225:$BK$255,MATCH(B537,'ei names mapping'!$A$4:$A$33,0),MATCH(G569,'ei names mapping'!$B$3:$BK$3,0))</f>
        <v>air</v>
      </c>
      <c r="F569" s="12" t="s">
        <v>173</v>
      </c>
      <c r="G569" t="s">
        <v>68</v>
      </c>
      <c r="H569" s="12"/>
    </row>
    <row r="570" spans="1:8" x14ac:dyDescent="0.3">
      <c r="A570" s="12" t="str">
        <f>INDEX('ei names mapping'!$B$4:$BK$33,MATCH(B537,'ei names mapping'!$A$4:$A$33,0),MATCH(G570,'ei names mapping'!$B$3:$BK$3,0))</f>
        <v>Benzene</v>
      </c>
      <c r="B570" s="15">
        <f>INDEX('vehicles specifications'!$B$3:$CK$86,MATCH(B540,'vehicles specifications'!$A$3:$A$86,0),MATCH(G570,'vehicles specifications'!$B$2:$CK$2,0))*INDEX('ei names mapping'!$B$137:$BK$220,MATCH(B540,'ei names mapping'!$A$137:$A$220,0),MATCH(G570,'ei names mapping'!$B$136:$BK$136,0))</f>
        <v>4.9037139839474579E-5</v>
      </c>
      <c r="C570" s="12"/>
      <c r="D570" s="12" t="str">
        <f>INDEX('ei names mapping'!$B$104:$BK$133,MATCH(B537,'ei names mapping'!$A$4:$A$33,0),MATCH(G570,'ei names mapping'!$B$3:$BK$3,0))</f>
        <v>kilogram</v>
      </c>
      <c r="E570" s="12" t="str">
        <f>INDEX('ei names mapping'!$B$225:$BK$255,MATCH(B537,'ei names mapping'!$A$4:$A$33,0),MATCH(G570,'ei names mapping'!$B$3:$BK$3,0))</f>
        <v>air</v>
      </c>
      <c r="F570" s="12" t="s">
        <v>173</v>
      </c>
      <c r="G570" t="s">
        <v>56</v>
      </c>
      <c r="H570" s="12"/>
    </row>
    <row r="571" spans="1:8" x14ac:dyDescent="0.3">
      <c r="A571" s="12" t="str">
        <f>INDEX('ei names mapping'!$B$4:$BK$33,MATCH(B537,'ei names mapping'!$A$4:$A$33,0),MATCH(G571,'ei names mapping'!$B$3:$BK$3,0))</f>
        <v>Methane, fossil</v>
      </c>
      <c r="B571" s="15">
        <f>INDEX('vehicles specifications'!$B$3:$CK$86,MATCH(B540,'vehicles specifications'!$A$3:$A$86,0),MATCH(G571,'vehicles specifications'!$B$2:$CK$2,0))*INDEX('ei names mapping'!$B$137:$BK$220,MATCH(B540,'ei names mapping'!$A$137:$A$220,0),MATCH(G571,'ei names mapping'!$B$136:$BK$136,0))</f>
        <v>2.2234893596900134E-5</v>
      </c>
      <c r="C571" s="12"/>
      <c r="D571" s="12" t="str">
        <f>INDEX('ei names mapping'!$B$104:$BK$133,MATCH(B537,'ei names mapping'!$A$4:$A$33,0),MATCH(G571,'ei names mapping'!$B$3:$BK$3,0))</f>
        <v>kilogram</v>
      </c>
      <c r="E571" s="12" t="str">
        <f>INDEX('ei names mapping'!$B$225:$BK$255,MATCH(B537,'ei names mapping'!$A$4:$A$33,0),MATCH(G571,'ei names mapping'!$B$3:$BK$3,0))</f>
        <v>air</v>
      </c>
      <c r="F571" s="12" t="s">
        <v>173</v>
      </c>
      <c r="G571" t="s">
        <v>57</v>
      </c>
      <c r="H571" s="12"/>
    </row>
    <row r="572" spans="1:8" x14ac:dyDescent="0.3">
      <c r="A572" s="12" t="str">
        <f>INDEX('ei names mapping'!$B$4:$BK$33,MATCH(B537,'ei names mapping'!$A$4:$A$33,0),MATCH(G572,'ei names mapping'!$B$3:$BK$3,0))</f>
        <v>Carbon monoxide, fossil</v>
      </c>
      <c r="B572" s="15">
        <f>INDEX('vehicles specifications'!$B$3:$CK$86,MATCH(B540,'vehicles specifications'!$A$3:$A$86,0),MATCH(G572,'vehicles specifications'!$B$2:$CK$2,0))*INDEX('ei names mapping'!$B$137:$BK$220,MATCH(B540,'ei names mapping'!$A$137:$A$220,0),MATCH(G572,'ei names mapping'!$B$136:$BK$136,0))</f>
        <v>2.3511140203956193E-3</v>
      </c>
      <c r="C572" s="12"/>
      <c r="D572" s="12" t="str">
        <f>INDEX('ei names mapping'!$B$104:$BK$133,MATCH(B537,'ei names mapping'!$A$4:$A$33,0),MATCH(G572,'ei names mapping'!$B$3:$BK$3,0))</f>
        <v>kilogram</v>
      </c>
      <c r="E572" s="12" t="str">
        <f>INDEX('ei names mapping'!$B$225:$BK$255,MATCH(B537,'ei names mapping'!$A$4:$A$33,0),MATCH(G572,'ei names mapping'!$B$3:$BK$3,0))</f>
        <v>air</v>
      </c>
      <c r="F572" s="12" t="s">
        <v>173</v>
      </c>
      <c r="G572" t="s">
        <v>58</v>
      </c>
      <c r="H572" s="12"/>
    </row>
    <row r="573" spans="1:8" x14ac:dyDescent="0.3">
      <c r="A573" s="12" t="str">
        <f>INDEX('ei names mapping'!$B$4:$BK$33,MATCH(B537,'ei names mapping'!$A$4:$A$33,0),MATCH(G573,'ei names mapping'!$B$3:$BK$3,0))</f>
        <v>Dinitrogen monoxide</v>
      </c>
      <c r="B573" s="15">
        <f>INDEX('vehicles specifications'!$B$3:$CK$86,MATCH(B540,'vehicles specifications'!$A$3:$A$86,0),MATCH(G573,'vehicles specifications'!$B$2:$CK$2,0))*INDEX('ei names mapping'!$B$137:$BK$220,MATCH(B540,'ei names mapping'!$A$137:$A$220,0),MATCH(G573,'ei names mapping'!$B$136:$BK$136,0))</f>
        <v>1.1281021611821482E-6</v>
      </c>
      <c r="C573" s="12"/>
      <c r="D573" s="12" t="str">
        <f>INDEX('ei names mapping'!$B$104:$BK$133,MATCH(B537,'ei names mapping'!$A$4:$A$33,0),MATCH(G573,'ei names mapping'!$B$3:$BK$3,0))</f>
        <v>kilogram</v>
      </c>
      <c r="E573" s="12" t="str">
        <f>INDEX('ei names mapping'!$B$225:$BK$255,MATCH(B537,'ei names mapping'!$A$4:$A$33,0),MATCH(G573,'ei names mapping'!$B$3:$BK$3,0))</f>
        <v>air</v>
      </c>
      <c r="F573" s="12" t="s">
        <v>173</v>
      </c>
      <c r="G573" t="s">
        <v>59</v>
      </c>
      <c r="H573" s="12"/>
    </row>
    <row r="574" spans="1:8" x14ac:dyDescent="0.3">
      <c r="A574" s="12" t="str">
        <f>INDEX('ei names mapping'!$B$4:$BK$33,MATCH(B537,'ei names mapping'!$A$4:$A$33,0),MATCH(G574,'ei names mapping'!$B$3:$BK$3,0))</f>
        <v>Ammonia</v>
      </c>
      <c r="B574" s="15">
        <f>INDEX('vehicles specifications'!$B$3:$CK$86,MATCH(B540,'vehicles specifications'!$A$3:$A$86,0),MATCH(G574,'vehicles specifications'!$B$2:$CK$2,0))*INDEX('ei names mapping'!$B$137:$BK$220,MATCH(B540,'ei names mapping'!$A$137:$A$220,0),MATCH(G574,'ei names mapping'!$B$136:$BK$136,0))</f>
        <v>1.1281021611821482E-6</v>
      </c>
      <c r="C574" s="12"/>
      <c r="D574" s="12" t="str">
        <f>INDEX('ei names mapping'!$B$104:$BK$133,MATCH(B537,'ei names mapping'!$A$4:$A$33,0),MATCH(G574,'ei names mapping'!$B$3:$BK$3,0))</f>
        <v>kilogram</v>
      </c>
      <c r="E574" s="12" t="str">
        <f>INDEX('ei names mapping'!$B$225:$BK$255,MATCH(B537,'ei names mapping'!$A$4:$A$33,0),MATCH(G574,'ei names mapping'!$B$3:$BK$3,0))</f>
        <v>air</v>
      </c>
      <c r="F574" s="12" t="s">
        <v>173</v>
      </c>
      <c r="G574" t="s">
        <v>60</v>
      </c>
      <c r="H574" s="12"/>
    </row>
    <row r="575" spans="1:8" x14ac:dyDescent="0.3">
      <c r="A575" s="12" t="str">
        <f>INDEX('ei names mapping'!$B$4:$BK$33,MATCH(B537,'ei names mapping'!$A$4:$A$33,0),MATCH(G575,'ei names mapping'!$B$3:$BK$3,0))</f>
        <v>Nitrogen oxides</v>
      </c>
      <c r="B575" s="15">
        <f>INDEX('vehicles specifications'!$B$3:$CK$86,MATCH(B540,'vehicles specifications'!$A$3:$A$86,0),MATCH(G575,'vehicles specifications'!$B$2:$CK$2,0))*INDEX('ei names mapping'!$B$137:$BK$220,MATCH(B540,'ei names mapping'!$A$137:$A$220,0),MATCH(G575,'ei names mapping'!$B$136:$BK$136,0))</f>
        <v>8.4597180733547286E-5</v>
      </c>
      <c r="C575" s="12"/>
      <c r="D575" s="12" t="str">
        <f>INDEX('ei names mapping'!$B$104:$BK$133,MATCH(B537,'ei names mapping'!$A$4:$A$33,0),MATCH(G575,'ei names mapping'!$B$3:$BK$3,0))</f>
        <v>kilogram</v>
      </c>
      <c r="E575" s="12" t="str">
        <f>INDEX('ei names mapping'!$B$225:$BK$255,MATCH(B537,'ei names mapping'!$A$4:$A$33,0),MATCH(G575,'ei names mapping'!$B$3:$BK$3,0))</f>
        <v>air</v>
      </c>
      <c r="F575" s="12" t="s">
        <v>173</v>
      </c>
      <c r="G575" s="12" t="s">
        <v>61</v>
      </c>
      <c r="H575" s="12"/>
    </row>
    <row r="576" spans="1:8" x14ac:dyDescent="0.3">
      <c r="A576" s="12" t="str">
        <f>INDEX('ei names mapping'!$B$4:$BK$33,MATCH(B537,'ei names mapping'!$A$4:$A$33,0),MATCH(G576,'ei names mapping'!$B$3:$BK$3,0))</f>
        <v>Particulates, &lt; 2.5 um</v>
      </c>
      <c r="B576" s="15">
        <f>INDEX('vehicles specifications'!$B$3:$CK$86,MATCH(B$540,'vehicles specifications'!$A$3:$A$86,0),MATCH(G576,'vehicles specifications'!$B$2:$CK$2,0))*INDEX('ei names mapping'!$B$137:$BK$220,MATCH(B$540,'ei names mapping'!$A$137:$A$220,0),MATCH(G576,'ei names mapping'!$B$136:$BK$136,0))</f>
        <v>6.4786907116690766E-6</v>
      </c>
      <c r="C576" s="12"/>
      <c r="D576" s="12" t="str">
        <f>INDEX('ei names mapping'!$B$104:$BK$133,MATCH(B537,'ei names mapping'!$A$4:$A$33,0),MATCH(G576,'ei names mapping'!$B$3:$BK$3,0))</f>
        <v>kilogram</v>
      </c>
      <c r="E576" s="12" t="str">
        <f>INDEX('ei names mapping'!$B$225:$BK$255,MATCH(B537,'ei names mapping'!$A$4:$A$33,0),MATCH(G576,'ei names mapping'!$B$3:$BK$3,0))</f>
        <v>air</v>
      </c>
      <c r="F576" s="12" t="s">
        <v>173</v>
      </c>
      <c r="G576" s="12" t="s">
        <v>63</v>
      </c>
      <c r="H576" s="12"/>
    </row>
    <row r="577" spans="1:8" s="21" customFormat="1" x14ac:dyDescent="0.3">
      <c r="A577" s="12" t="str">
        <f>INDEX('ei names mapping'!$B$4:$BK$33,MATCH(B$229,'ei names mapping'!$A$4:$A$33,0),MATCH(G577,'ei names mapping'!$B$3:$BK$3,0))</f>
        <v>NMVOC, non-methane volatile organic compounds, unspecified origin</v>
      </c>
      <c r="B577" s="15">
        <f>INDEX('vehicles specifications'!$B$3:$CK$86,MATCH(B$540,'vehicles specifications'!$A$3:$A$86,0),MATCH(G577,'vehicles specifications'!$B$2:$CK$2,0))*INDEX('ei names mapping'!$B$137:$BK$220,MATCH(B$540,'ei names mapping'!$A$137:$A$220,0),MATCH(G577,'ei names mapping'!$B$136:$BK$136,0))</f>
        <v>3.9544388704774156E-4</v>
      </c>
      <c r="C577" s="12"/>
      <c r="D577" s="12" t="str">
        <f>INDEX('ei names mapping'!$B$104:$BK$133,MATCH(B$229,'ei names mapping'!$A$4:$A$33,0),MATCH(G577,'ei names mapping'!$B$3:$BK$3,0))</f>
        <v>kilogram</v>
      </c>
      <c r="E577" s="12" t="str">
        <f>INDEX('ei names mapping'!$B$225:$BK$255,MATCH(B$229,'ei names mapping'!$A$4:$A$33,0),MATCH(G577,'ei names mapping'!$B$3:$BK$3,0))</f>
        <v>air</v>
      </c>
      <c r="F577" s="12" t="s">
        <v>173</v>
      </c>
      <c r="G577" s="12" t="s">
        <v>659</v>
      </c>
      <c r="H577" s="12"/>
    </row>
    <row r="578" spans="1:8" s="21" customFormat="1" x14ac:dyDescent="0.3">
      <c r="A578" s="12" t="str">
        <f>INDEX('ei names mapping'!$B$4:$BK$33,MATCH(B$229,'ei names mapping'!$A$4:$A$33,0),MATCH(G578,'ei names mapping'!$B$3:$BK$3,0))</f>
        <v>Ethane</v>
      </c>
      <c r="B578" s="15">
        <f>INDEX('vehicles specifications'!$B$3:$CK$86,MATCH(B$540,'vehicles specifications'!$A$3:$A$86,0),MATCH(G578,'vehicles specifications'!$B$2:$CK$2,0))*INDEX('ei names mapping'!$B$137:$BK$220,MATCH(B$540,'ei names mapping'!$A$137:$A$220,0),MATCH(G578,'ei names mapping'!$B$136:$BK$136,0))</f>
        <v>2.7883863830289469E-5</v>
      </c>
      <c r="C578" s="12"/>
      <c r="D578" s="12" t="str">
        <f>INDEX('ei names mapping'!$B$104:$BK$133,MATCH(B$229,'ei names mapping'!$A$4:$A$33,0),MATCH(G578,'ei names mapping'!$B$3:$BK$3,0))</f>
        <v>kilogram</v>
      </c>
      <c r="E578" s="12" t="str">
        <f>INDEX('ei names mapping'!$B$225:$BK$255,MATCH(B$229,'ei names mapping'!$A$4:$A$33,0),MATCH(G578,'ei names mapping'!$B$3:$BK$3,0))</f>
        <v>air</v>
      </c>
      <c r="F578" s="12" t="s">
        <v>173</v>
      </c>
      <c r="G578" s="12" t="s">
        <v>603</v>
      </c>
      <c r="H578" s="12"/>
    </row>
    <row r="579" spans="1:8" s="21" customFormat="1" x14ac:dyDescent="0.3">
      <c r="A579" s="12" t="str">
        <f>INDEX('ei names mapping'!$B$4:$BK$33,MATCH(B$229,'ei names mapping'!$A$4:$A$33,0),MATCH(G579,'ei names mapping'!$B$3:$BK$3,0))</f>
        <v>Propane</v>
      </c>
      <c r="B579" s="15">
        <f>INDEX('vehicles specifications'!$B$3:$CK$86,MATCH(B$540,'vehicles specifications'!$A$3:$A$86,0),MATCH(G579,'vehicles specifications'!$B$2:$CK$2,0))*INDEX('ei names mapping'!$B$137:$BK$220,MATCH(B$540,'ei names mapping'!$A$137:$A$220,0),MATCH(G579,'ei names mapping'!$B$136:$BK$136,0))</f>
        <v>5.6816650437893903E-6</v>
      </c>
      <c r="C579" s="12"/>
      <c r="D579" s="12" t="str">
        <f>INDEX('ei names mapping'!$B$104:$BK$133,MATCH(B$229,'ei names mapping'!$A$4:$A$33,0),MATCH(G579,'ei names mapping'!$B$3:$BK$3,0))</f>
        <v>kilogram</v>
      </c>
      <c r="E579" s="12" t="str">
        <f>INDEX('ei names mapping'!$B$225:$BK$255,MATCH(B$229,'ei names mapping'!$A$4:$A$33,0),MATCH(G579,'ei names mapping'!$B$3:$BK$3,0))</f>
        <v>air</v>
      </c>
      <c r="F579" s="12" t="s">
        <v>173</v>
      </c>
      <c r="G579" s="12" t="s">
        <v>604</v>
      </c>
      <c r="H579" s="12"/>
    </row>
    <row r="580" spans="1:8" s="21" customFormat="1" x14ac:dyDescent="0.3">
      <c r="A580" s="12" t="str">
        <f>INDEX('ei names mapping'!$B$4:$BK$33,MATCH(B$229,'ei names mapping'!$A$4:$A$33,0),MATCH(G580,'ei names mapping'!$B$3:$BK$3,0))</f>
        <v>Butane</v>
      </c>
      <c r="B580" s="15">
        <f>INDEX('vehicles specifications'!$B$3:$CK$86,MATCH(B$540,'vehicles specifications'!$A$3:$A$86,0),MATCH(G580,'vehicles specifications'!$B$2:$CK$2,0))*INDEX('ei names mapping'!$B$137:$BK$220,MATCH(B$540,'ei names mapping'!$A$137:$A$220,0),MATCH(G580,'ei names mapping'!$B$136:$BK$136,0))</f>
        <v>4.5802961276086779E-5</v>
      </c>
      <c r="C580" s="12"/>
      <c r="D580" s="12" t="str">
        <f>INDEX('ei names mapping'!$B$104:$BK$133,MATCH(B$229,'ei names mapping'!$A$4:$A$33,0),MATCH(G580,'ei names mapping'!$B$3:$BK$3,0))</f>
        <v>kilogram</v>
      </c>
      <c r="E580" s="12" t="str">
        <f>INDEX('ei names mapping'!$B$225:$BK$255,MATCH(B$229,'ei names mapping'!$A$4:$A$33,0),MATCH(G580,'ei names mapping'!$B$3:$BK$3,0))</f>
        <v>air</v>
      </c>
      <c r="F580" s="12" t="s">
        <v>173</v>
      </c>
      <c r="G580" s="12" t="s">
        <v>605</v>
      </c>
      <c r="H580" s="12"/>
    </row>
    <row r="581" spans="1:8" s="21" customFormat="1" x14ac:dyDescent="0.3">
      <c r="A581" s="12" t="str">
        <f>INDEX('ei names mapping'!$B$4:$BK$33,MATCH(B$229,'ei names mapping'!$A$4:$A$33,0),MATCH(G581,'ei names mapping'!$B$3:$BK$3,0))</f>
        <v>Pentane</v>
      </c>
      <c r="B581" s="15">
        <f>INDEX('vehicles specifications'!$B$3:$CK$86,MATCH(B$540,'vehicles specifications'!$A$3:$A$86,0),MATCH(G581,'vehicles specifications'!$B$2:$CK$2,0))*INDEX('ei names mapping'!$B$137:$BK$220,MATCH(B$540,'ei names mapping'!$A$137:$A$220,0),MATCH(G581,'ei names mapping'!$B$136:$BK$136,0))</f>
        <v>1.8793199760226445E-5</v>
      </c>
      <c r="C581" s="12"/>
      <c r="D581" s="12" t="str">
        <f>INDEX('ei names mapping'!$B$104:$BK$133,MATCH(B$229,'ei names mapping'!$A$4:$A$33,0),MATCH(G581,'ei names mapping'!$B$3:$BK$3,0))</f>
        <v>kilogram</v>
      </c>
      <c r="E581" s="12" t="str">
        <f>INDEX('ei names mapping'!$B$225:$BK$255,MATCH(B$229,'ei names mapping'!$A$4:$A$33,0),MATCH(G581,'ei names mapping'!$B$3:$BK$3,0))</f>
        <v>air</v>
      </c>
      <c r="F581" s="12" t="s">
        <v>173</v>
      </c>
      <c r="G581" s="12" t="s">
        <v>606</v>
      </c>
      <c r="H581" s="12"/>
    </row>
    <row r="582" spans="1:8" s="21" customFormat="1" x14ac:dyDescent="0.3">
      <c r="A582" s="12" t="str">
        <f>INDEX('ei names mapping'!$B$4:$BK$33,MATCH(B$229,'ei names mapping'!$A$4:$A$33,0),MATCH(G582,'ei names mapping'!$B$3:$BK$3,0))</f>
        <v>Hexane</v>
      </c>
      <c r="B582" s="15">
        <f>INDEX('vehicles specifications'!$B$3:$CK$86,MATCH(B$540,'vehicles specifications'!$A$3:$A$86,0),MATCH(G582,'vehicles specifications'!$B$2:$CK$2,0))*INDEX('ei names mapping'!$B$137:$BK$220,MATCH(B$540,'ei names mapping'!$A$137:$A$220,0),MATCH(G582,'ei names mapping'!$B$136:$BK$136,0))</f>
        <v>1.4073047262309106E-5</v>
      </c>
      <c r="C582" s="12"/>
      <c r="D582" s="12" t="str">
        <f>INDEX('ei names mapping'!$B$104:$BK$133,MATCH(B$229,'ei names mapping'!$A$4:$A$33,0),MATCH(G582,'ei names mapping'!$B$3:$BK$3,0))</f>
        <v>kilogram</v>
      </c>
      <c r="E582" s="12" t="str">
        <f>INDEX('ei names mapping'!$B$225:$BK$255,MATCH(B$229,'ei names mapping'!$A$4:$A$33,0),MATCH(G582,'ei names mapping'!$B$3:$BK$3,0))</f>
        <v>air</v>
      </c>
      <c r="F582" s="12" t="s">
        <v>173</v>
      </c>
      <c r="G582" s="12" t="s">
        <v>607</v>
      </c>
      <c r="H582" s="12"/>
    </row>
    <row r="583" spans="1:8" s="21" customFormat="1" x14ac:dyDescent="0.3">
      <c r="A583" s="12" t="str">
        <f>INDEX('ei names mapping'!$B$4:$BK$33,MATCH(B$229,'ei names mapping'!$A$4:$A$33,0),MATCH(G583,'ei names mapping'!$B$3:$BK$3,0))</f>
        <v>Cyclohexane</v>
      </c>
      <c r="B583" s="15">
        <f>INDEX('vehicles specifications'!$B$3:$CK$86,MATCH(B$540,'vehicles specifications'!$A$3:$A$86,0),MATCH(G583,'vehicles specifications'!$B$2:$CK$2,0))*INDEX('ei names mapping'!$B$137:$BK$220,MATCH(B$540,'ei names mapping'!$A$137:$A$220,0),MATCH(G583,'ei names mapping'!$B$136:$BK$136,0))</f>
        <v>9.9647663844921616E-6</v>
      </c>
      <c r="C583" s="12"/>
      <c r="D583" s="12" t="str">
        <f>INDEX('ei names mapping'!$B$104:$BK$133,MATCH(B$229,'ei names mapping'!$A$4:$A$33,0),MATCH(G583,'ei names mapping'!$B$3:$BK$3,0))</f>
        <v>kilogram</v>
      </c>
      <c r="E583" s="12" t="str">
        <f>INDEX('ei names mapping'!$B$225:$BK$255,MATCH(B$229,'ei names mapping'!$A$4:$A$33,0),MATCH(G583,'ei names mapping'!$B$3:$BK$3,0))</f>
        <v>air</v>
      </c>
      <c r="F583" s="12" t="s">
        <v>173</v>
      </c>
      <c r="G583" s="12" t="s">
        <v>608</v>
      </c>
      <c r="H583" s="12"/>
    </row>
    <row r="584" spans="1:8" s="21" customFormat="1" x14ac:dyDescent="0.3">
      <c r="A584" s="12" t="str">
        <f>INDEX('ei names mapping'!$B$4:$BK$33,MATCH(B$229,'ei names mapping'!$A$4:$A$33,0),MATCH(G584,'ei names mapping'!$B$3:$BK$3,0))</f>
        <v>Heptane</v>
      </c>
      <c r="B584" s="15">
        <f>INDEX('vehicles specifications'!$B$3:$CK$86,MATCH(B$540,'vehicles specifications'!$A$3:$A$86,0),MATCH(G584,'vehicles specifications'!$B$2:$CK$2,0))*INDEX('ei names mapping'!$B$137:$BK$220,MATCH(B$540,'ei names mapping'!$A$137:$A$220,0),MATCH(G584,'ei names mapping'!$B$136:$BK$136,0))</f>
        <v>6.4683571267756131E-6</v>
      </c>
      <c r="C584" s="12"/>
      <c r="D584" s="12" t="str">
        <f>INDEX('ei names mapping'!$B$104:$BK$133,MATCH(B$229,'ei names mapping'!$A$4:$A$33,0),MATCH(G584,'ei names mapping'!$B$3:$BK$3,0))</f>
        <v>kilogram</v>
      </c>
      <c r="E584" s="12" t="str">
        <f>INDEX('ei names mapping'!$B$225:$BK$255,MATCH(B$229,'ei names mapping'!$A$4:$A$33,0),MATCH(G584,'ei names mapping'!$B$3:$BK$3,0))</f>
        <v>air</v>
      </c>
      <c r="F584" s="12" t="s">
        <v>173</v>
      </c>
      <c r="G584" s="12" t="s">
        <v>609</v>
      </c>
      <c r="H584" s="12"/>
    </row>
    <row r="585" spans="1:8" s="21" customFormat="1" x14ac:dyDescent="0.3">
      <c r="A585" s="12" t="str">
        <f>INDEX('ei names mapping'!$B$4:$BK$33,MATCH(B$229,'ei names mapping'!$A$4:$A$33,0),MATCH(G585,'ei names mapping'!$B$3:$BK$3,0))</f>
        <v>Ethene</v>
      </c>
      <c r="B585" s="15">
        <f>INDEX('vehicles specifications'!$B$3:$CK$86,MATCH(B$540,'vehicles specifications'!$A$3:$A$86,0),MATCH(G585,'vehicles specifications'!$B$2:$CK$2,0))*INDEX('ei names mapping'!$B$137:$BK$220,MATCH(B$540,'ei names mapping'!$A$137:$A$220,0),MATCH(G585,'ei names mapping'!$B$136:$BK$136,0))</f>
        <v>6.3809468953327002E-5</v>
      </c>
      <c r="C585" s="12"/>
      <c r="D585" s="12" t="str">
        <f>INDEX('ei names mapping'!$B$104:$BK$133,MATCH(B$229,'ei names mapping'!$A$4:$A$33,0),MATCH(G585,'ei names mapping'!$B$3:$BK$3,0))</f>
        <v>kilogram</v>
      </c>
      <c r="E585" s="12" t="str">
        <f>INDEX('ei names mapping'!$B$225:$BK$255,MATCH(B$229,'ei names mapping'!$A$4:$A$33,0),MATCH(G585,'ei names mapping'!$B$3:$BK$3,0))</f>
        <v>air</v>
      </c>
      <c r="F585" s="12" t="s">
        <v>173</v>
      </c>
      <c r="G585" s="12" t="s">
        <v>610</v>
      </c>
      <c r="H585" s="12"/>
    </row>
    <row r="586" spans="1:8" s="21" customFormat="1" x14ac:dyDescent="0.3">
      <c r="A586" s="12" t="str">
        <f>INDEX('ei names mapping'!$B$4:$BK$33,MATCH(B$229,'ei names mapping'!$A$4:$A$33,0),MATCH(G586,'ei names mapping'!$B$3:$BK$3,0))</f>
        <v>Propene</v>
      </c>
      <c r="B586" s="15">
        <f>INDEX('vehicles specifications'!$B$3:$CK$86,MATCH(B$540,'vehicles specifications'!$A$3:$A$86,0),MATCH(G586,'vehicles specifications'!$B$2:$CK$2,0))*INDEX('ei names mapping'!$B$137:$BK$220,MATCH(B$540,'ei names mapping'!$A$137:$A$220,0),MATCH(G586,'ei names mapping'!$B$136:$BK$136,0))</f>
        <v>3.3390708411193032E-5</v>
      </c>
      <c r="C586" s="12"/>
      <c r="D586" s="12" t="str">
        <f>INDEX('ei names mapping'!$B$104:$BK$133,MATCH(B$229,'ei names mapping'!$A$4:$A$33,0),MATCH(G586,'ei names mapping'!$B$3:$BK$3,0))</f>
        <v>kilogram</v>
      </c>
      <c r="E586" s="12" t="str">
        <f>INDEX('ei names mapping'!$B$225:$BK$255,MATCH(B$229,'ei names mapping'!$A$4:$A$33,0),MATCH(G586,'ei names mapping'!$B$3:$BK$3,0))</f>
        <v>air</v>
      </c>
      <c r="F586" s="12" t="s">
        <v>173</v>
      </c>
      <c r="G586" s="12" t="s">
        <v>611</v>
      </c>
      <c r="H586" s="12"/>
    </row>
    <row r="587" spans="1:8" s="21" customFormat="1" x14ac:dyDescent="0.3">
      <c r="A587" s="12" t="str">
        <f>INDEX('ei names mapping'!$B$4:$BK$33,MATCH(B$229,'ei names mapping'!$A$4:$A$33,0),MATCH(G587,'ei names mapping'!$B$3:$BK$3,0))</f>
        <v>1-Pentene</v>
      </c>
      <c r="B587" s="15">
        <f>INDEX('vehicles specifications'!$B$3:$CK$86,MATCH(B$540,'vehicles specifications'!$A$3:$A$86,0),MATCH(G587,'vehicles specifications'!$B$2:$CK$2,0))*INDEX('ei names mapping'!$B$137:$BK$220,MATCH(B$540,'ei names mapping'!$A$137:$A$220,0),MATCH(G587,'ei names mapping'!$B$136:$BK$136,0))</f>
        <v>9.6151254587205081E-7</v>
      </c>
      <c r="C587" s="12"/>
      <c r="D587" s="12" t="str">
        <f>INDEX('ei names mapping'!$B$104:$BK$133,MATCH(B$229,'ei names mapping'!$A$4:$A$33,0),MATCH(G587,'ei names mapping'!$B$3:$BK$3,0))</f>
        <v>kilogram</v>
      </c>
      <c r="E587" s="12" t="str">
        <f>INDEX('ei names mapping'!$B$225:$BK$255,MATCH(B$229,'ei names mapping'!$A$4:$A$33,0),MATCH(G587,'ei names mapping'!$B$3:$BK$3,0))</f>
        <v>air</v>
      </c>
      <c r="F587" s="12" t="s">
        <v>173</v>
      </c>
      <c r="G587" s="12" t="s">
        <v>612</v>
      </c>
      <c r="H587" s="12"/>
    </row>
    <row r="588" spans="1:8" s="21" customFormat="1" x14ac:dyDescent="0.3">
      <c r="A588" s="12" t="str">
        <f>INDEX('ei names mapping'!$B$4:$BK$33,MATCH(B$229,'ei names mapping'!$A$4:$A$33,0),MATCH(G588,'ei names mapping'!$B$3:$BK$3,0))</f>
        <v>Toluene</v>
      </c>
      <c r="B588" s="15">
        <f>INDEX('vehicles specifications'!$B$3:$CK$86,MATCH(B$540,'vehicles specifications'!$A$3:$A$86,0),MATCH(G588,'vehicles specifications'!$B$2:$CK$2,0))*INDEX('ei names mapping'!$B$137:$BK$220,MATCH(B$540,'ei names mapping'!$A$137:$A$220,0),MATCH(G588,'ei names mapping'!$B$136:$BK$136,0))</f>
        <v>9.5976434124319234E-5</v>
      </c>
      <c r="C588" s="12"/>
      <c r="D588" s="12" t="str">
        <f>INDEX('ei names mapping'!$B$104:$BK$133,MATCH(B$229,'ei names mapping'!$A$4:$A$33,0),MATCH(G588,'ei names mapping'!$B$3:$BK$3,0))</f>
        <v>kilogram</v>
      </c>
      <c r="E588" s="12" t="str">
        <f>INDEX('ei names mapping'!$B$225:$BK$255,MATCH(B$229,'ei names mapping'!$A$4:$A$33,0),MATCH(G588,'ei names mapping'!$B$3:$BK$3,0))</f>
        <v>air</v>
      </c>
      <c r="F588" s="12" t="s">
        <v>173</v>
      </c>
      <c r="G588" s="12" t="s">
        <v>613</v>
      </c>
      <c r="H588" s="12"/>
    </row>
    <row r="589" spans="1:8" s="21" customFormat="1" x14ac:dyDescent="0.3">
      <c r="A589" s="12" t="str">
        <f>INDEX('ei names mapping'!$B$4:$BK$33,MATCH(B$229,'ei names mapping'!$A$4:$A$33,0),MATCH(G589,'ei names mapping'!$B$3:$BK$3,0))</f>
        <v>m-Xylene</v>
      </c>
      <c r="B589" s="15">
        <f>INDEX('vehicles specifications'!$B$3:$CK$86,MATCH(B$540,'vehicles specifications'!$A$3:$A$86,0),MATCH(G589,'vehicles specifications'!$B$2:$CK$2,0))*INDEX('ei names mapping'!$B$137:$BK$220,MATCH(B$540,'ei names mapping'!$A$137:$A$220,0),MATCH(G589,'ei names mapping'!$B$136:$BK$136,0))</f>
        <v>4.7463755673502142E-5</v>
      </c>
      <c r="C589" s="12"/>
      <c r="D589" s="12" t="str">
        <f>INDEX('ei names mapping'!$B$104:$BK$133,MATCH(B$229,'ei names mapping'!$A$4:$A$33,0),MATCH(G589,'ei names mapping'!$B$3:$BK$3,0))</f>
        <v>kilogram</v>
      </c>
      <c r="E589" s="12" t="str">
        <f>INDEX('ei names mapping'!$B$225:$BK$255,MATCH(B$229,'ei names mapping'!$A$4:$A$33,0),MATCH(G589,'ei names mapping'!$B$3:$BK$3,0))</f>
        <v>air</v>
      </c>
      <c r="F589" s="12" t="s">
        <v>173</v>
      </c>
      <c r="G589" s="12" t="s">
        <v>614</v>
      </c>
      <c r="H589" s="12"/>
    </row>
    <row r="590" spans="1:8" s="21" customFormat="1" x14ac:dyDescent="0.3">
      <c r="A590" s="12" t="str">
        <f>INDEX('ei names mapping'!$B$4:$BK$33,MATCH(B$229,'ei names mapping'!$A$4:$A$33,0),MATCH(G590,'ei names mapping'!$B$3:$BK$3,0))</f>
        <v>o-Xylene</v>
      </c>
      <c r="B590" s="15">
        <f>INDEX('vehicles specifications'!$B$3:$CK$86,MATCH(B$540,'vehicles specifications'!$A$3:$A$86,0),MATCH(G590,'vehicles specifications'!$B$2:$CK$2,0))*INDEX('ei names mapping'!$B$137:$BK$220,MATCH(B$540,'ei names mapping'!$A$137:$A$220,0),MATCH(G590,'ei names mapping'!$B$136:$BK$136,0))</f>
        <v>1.9754712306098495E-5</v>
      </c>
      <c r="C590" s="12"/>
      <c r="D590" s="12" t="str">
        <f>INDEX('ei names mapping'!$B$104:$BK$133,MATCH(B$229,'ei names mapping'!$A$4:$A$33,0),MATCH(G590,'ei names mapping'!$B$3:$BK$3,0))</f>
        <v>kilogram</v>
      </c>
      <c r="E590" s="12" t="str">
        <f>INDEX('ei names mapping'!$B$225:$BK$255,MATCH(B$229,'ei names mapping'!$A$4:$A$33,0),MATCH(G590,'ei names mapping'!$B$3:$BK$3,0))</f>
        <v>air</v>
      </c>
      <c r="F590" s="12" t="s">
        <v>173</v>
      </c>
      <c r="G590" s="12" t="s">
        <v>615</v>
      </c>
      <c r="H590" s="12"/>
    </row>
    <row r="591" spans="1:8" s="21" customFormat="1" x14ac:dyDescent="0.3">
      <c r="A591" s="12" t="str">
        <f>INDEX('ei names mapping'!$B$4:$BK$33,MATCH(B$229,'ei names mapping'!$A$4:$A$33,0),MATCH(G591,'ei names mapping'!$B$3:$BK$3,0))</f>
        <v>Formaldehyde</v>
      </c>
      <c r="B591" s="15">
        <f>INDEX('vehicles specifications'!$B$3:$CK$86,MATCH(B$540,'vehicles specifications'!$A$3:$A$86,0),MATCH(G591,'vehicles specifications'!$B$2:$CK$2,0))*INDEX('ei names mapping'!$B$137:$BK$220,MATCH(B$540,'ei names mapping'!$A$137:$A$220,0),MATCH(G591,'ei names mapping'!$B$136:$BK$136,0))</f>
        <v>1.485973934529533E-5</v>
      </c>
      <c r="C591" s="12"/>
      <c r="D591" s="12" t="str">
        <f>INDEX('ei names mapping'!$B$104:$BK$133,MATCH(B$229,'ei names mapping'!$A$4:$A$33,0),MATCH(G591,'ei names mapping'!$B$3:$BK$3,0))</f>
        <v>kilogram</v>
      </c>
      <c r="E591" s="12" t="str">
        <f>INDEX('ei names mapping'!$B$225:$BK$255,MATCH(B$229,'ei names mapping'!$A$4:$A$33,0),MATCH(G591,'ei names mapping'!$B$3:$BK$3,0))</f>
        <v>air</v>
      </c>
      <c r="F591" s="12" t="s">
        <v>173</v>
      </c>
      <c r="G591" s="12" t="s">
        <v>616</v>
      </c>
      <c r="H591" s="12"/>
    </row>
    <row r="592" spans="1:8" s="21" customFormat="1" x14ac:dyDescent="0.3">
      <c r="A592" s="12" t="str">
        <f>INDEX('ei names mapping'!$B$4:$BK$33,MATCH(B$229,'ei names mapping'!$A$4:$A$33,0),MATCH(G592,'ei names mapping'!$B$3:$BK$3,0))</f>
        <v>Acetaldehyde</v>
      </c>
      <c r="B592" s="15">
        <f>INDEX('vehicles specifications'!$B$3:$CK$86,MATCH(B$540,'vehicles specifications'!$A$3:$A$86,0),MATCH(G592,'vehicles specifications'!$B$2:$CK$2,0))*INDEX('ei names mapping'!$B$137:$BK$220,MATCH(B$540,'ei names mapping'!$A$137:$A$220,0),MATCH(G592,'ei names mapping'!$B$136:$BK$136,0))</f>
        <v>6.5557673582185264E-6</v>
      </c>
      <c r="C592" s="12"/>
      <c r="D592" s="12" t="str">
        <f>INDEX('ei names mapping'!$B$104:$BK$133,MATCH(B$229,'ei names mapping'!$A$4:$A$33,0),MATCH(G592,'ei names mapping'!$B$3:$BK$3,0))</f>
        <v>kilogram</v>
      </c>
      <c r="E592" s="12" t="str">
        <f>INDEX('ei names mapping'!$B$225:$BK$255,MATCH(B$229,'ei names mapping'!$A$4:$A$33,0),MATCH(G592,'ei names mapping'!$B$3:$BK$3,0))</f>
        <v>air</v>
      </c>
      <c r="F592" s="12" t="s">
        <v>173</v>
      </c>
      <c r="G592" s="12" t="s">
        <v>617</v>
      </c>
      <c r="H592" s="12"/>
    </row>
    <row r="593" spans="1:8" s="21" customFormat="1" x14ac:dyDescent="0.3">
      <c r="A593" s="12" t="str">
        <f>INDEX('ei names mapping'!$B$4:$BK$33,MATCH(B$229,'ei names mapping'!$A$4:$A$33,0),MATCH(G593,'ei names mapping'!$B$3:$BK$3,0))</f>
        <v>Benzaldehyde</v>
      </c>
      <c r="B593" s="15">
        <f>INDEX('vehicles specifications'!$B$3:$CK$86,MATCH(B$540,'vehicles specifications'!$A$3:$A$86,0),MATCH(G593,'vehicles specifications'!$B$2:$CK$2,0))*INDEX('ei names mapping'!$B$137:$BK$220,MATCH(B$540,'ei names mapping'!$A$137:$A$220,0),MATCH(G593,'ei names mapping'!$B$136:$BK$136,0))</f>
        <v>1.9230250917441016E-6</v>
      </c>
      <c r="C593" s="12"/>
      <c r="D593" s="12" t="str">
        <f>INDEX('ei names mapping'!$B$104:$BK$133,MATCH(B$229,'ei names mapping'!$A$4:$A$33,0),MATCH(G593,'ei names mapping'!$B$3:$BK$3,0))</f>
        <v>kilogram</v>
      </c>
      <c r="E593" s="12" t="str">
        <f>INDEX('ei names mapping'!$B$225:$BK$255,MATCH(B$229,'ei names mapping'!$A$4:$A$33,0),MATCH(G593,'ei names mapping'!$B$3:$BK$3,0))</f>
        <v>air</v>
      </c>
      <c r="F593" s="12" t="s">
        <v>173</v>
      </c>
      <c r="G593" s="12" t="s">
        <v>618</v>
      </c>
      <c r="H593" s="12"/>
    </row>
    <row r="594" spans="1:8" s="21" customFormat="1" x14ac:dyDescent="0.3">
      <c r="A594" s="12" t="str">
        <f>INDEX('ei names mapping'!$B$4:$BK$33,MATCH(B$229,'ei names mapping'!$A$4:$A$33,0),MATCH(G594,'ei names mapping'!$B$3:$BK$3,0))</f>
        <v>Acetone</v>
      </c>
      <c r="B594" s="15">
        <f>INDEX('vehicles specifications'!$B$3:$CK$86,MATCH(B$540,'vehicles specifications'!$A$3:$A$86,0),MATCH(G594,'vehicles specifications'!$B$2:$CK$2,0))*INDEX('ei names mapping'!$B$137:$BK$220,MATCH(B$540,'ei names mapping'!$A$137:$A$220,0),MATCH(G594,'ei names mapping'!$B$136:$BK$136,0))</f>
        <v>5.3320241180177364E-6</v>
      </c>
      <c r="C594" s="12"/>
      <c r="D594" s="12" t="str">
        <f>INDEX('ei names mapping'!$B$104:$BK$133,MATCH(B$229,'ei names mapping'!$A$4:$A$33,0),MATCH(G594,'ei names mapping'!$B$3:$BK$3,0))</f>
        <v>kilogram</v>
      </c>
      <c r="E594" s="12" t="str">
        <f>INDEX('ei names mapping'!$B$225:$BK$255,MATCH(B$229,'ei names mapping'!$A$4:$A$33,0),MATCH(G594,'ei names mapping'!$B$3:$BK$3,0))</f>
        <v>air</v>
      </c>
      <c r="F594" s="12" t="s">
        <v>173</v>
      </c>
      <c r="G594" s="12" t="s">
        <v>619</v>
      </c>
      <c r="H594" s="12"/>
    </row>
    <row r="595" spans="1:8" s="21" customFormat="1" x14ac:dyDescent="0.3">
      <c r="A595" s="12" t="str">
        <f>INDEX('ei names mapping'!$B$4:$BK$33,MATCH(B$229,'ei names mapping'!$A$4:$A$33,0),MATCH(G595,'ei names mapping'!$B$3:$BK$3,0))</f>
        <v>Methyl ethyl ketone</v>
      </c>
      <c r="B595" s="15">
        <f>INDEX('vehicles specifications'!$B$3:$CK$86,MATCH(B$540,'vehicles specifications'!$A$3:$A$86,0),MATCH(G595,'vehicles specifications'!$B$2:$CK$2,0))*INDEX('ei names mapping'!$B$137:$BK$220,MATCH(B$540,'ei names mapping'!$A$137:$A$220,0),MATCH(G595,'ei names mapping'!$B$136:$BK$136,0))</f>
        <v>0</v>
      </c>
      <c r="C595" s="12"/>
      <c r="D595" s="12" t="str">
        <f>INDEX('ei names mapping'!$B$104:$BK$133,MATCH(B$229,'ei names mapping'!$A$4:$A$33,0),MATCH(G595,'ei names mapping'!$B$3:$BK$3,0))</f>
        <v>kilogram</v>
      </c>
      <c r="E595" s="12" t="str">
        <f>INDEX('ei names mapping'!$B$225:$BK$255,MATCH(B$229,'ei names mapping'!$A$4:$A$33,0),MATCH(G595,'ei names mapping'!$B$3:$BK$3,0))</f>
        <v>air</v>
      </c>
      <c r="F595" s="12" t="s">
        <v>173</v>
      </c>
      <c r="G595" s="12" t="s">
        <v>622</v>
      </c>
      <c r="H595" s="12"/>
    </row>
    <row r="596" spans="1:8" s="21" customFormat="1" x14ac:dyDescent="0.3">
      <c r="A596" s="12" t="str">
        <f>INDEX('ei names mapping'!$B$4:$BK$33,MATCH(B$229,'ei names mapping'!$A$4:$A$33,0),MATCH(G596,'ei names mapping'!$B$3:$BK$3,0))</f>
        <v>Acrolein</v>
      </c>
      <c r="B596" s="15">
        <f>INDEX('vehicles specifications'!$B$3:$CK$86,MATCH(B$540,'vehicles specifications'!$A$3:$A$86,0),MATCH(G596,'vehicles specifications'!$B$2:$CK$2,0))*INDEX('ei names mapping'!$B$137:$BK$220,MATCH(B$540,'ei names mapping'!$A$137:$A$220,0),MATCH(G596,'ei names mapping'!$B$136:$BK$136,0))</f>
        <v>1.6607943974153603E-6</v>
      </c>
      <c r="C596" s="12"/>
      <c r="D596" s="12" t="str">
        <f>INDEX('ei names mapping'!$B$104:$BK$133,MATCH(B$229,'ei names mapping'!$A$4:$A$33,0),MATCH(G596,'ei names mapping'!$B$3:$BK$3,0))</f>
        <v>kilogram</v>
      </c>
      <c r="E596" s="12" t="str">
        <f>INDEX('ei names mapping'!$B$225:$BK$255,MATCH(B$229,'ei names mapping'!$A$4:$A$33,0),MATCH(G596,'ei names mapping'!$B$3:$BK$3,0))</f>
        <v>air</v>
      </c>
      <c r="F596" s="12" t="s">
        <v>173</v>
      </c>
      <c r="G596" s="12" t="s">
        <v>620</v>
      </c>
      <c r="H596" s="12"/>
    </row>
    <row r="597" spans="1:8" s="21" customFormat="1" x14ac:dyDescent="0.3">
      <c r="A597" s="12" t="str">
        <f>INDEX('ei names mapping'!$B$4:$BK$33,MATCH(B$229,'ei names mapping'!$A$4:$A$33,0),MATCH(G597,'ei names mapping'!$B$3:$BK$3,0))</f>
        <v>Styrene</v>
      </c>
      <c r="B597" s="15">
        <f>INDEX('vehicles specifications'!$B$3:$CK$86,MATCH(B$540,'vehicles specifications'!$A$3:$A$86,0),MATCH(G597,'vehicles specifications'!$B$2:$CK$2,0))*INDEX('ei names mapping'!$B$137:$BK$220,MATCH(B$540,'ei names mapping'!$A$137:$A$220,0),MATCH(G597,'ei names mapping'!$B$136:$BK$136,0))</f>
        <v>8.8284333757342832E-6</v>
      </c>
      <c r="C597" s="12"/>
      <c r="D597" s="12" t="str">
        <f>INDEX('ei names mapping'!$B$104:$BK$133,MATCH(B$229,'ei names mapping'!$A$4:$A$33,0),MATCH(G597,'ei names mapping'!$B$3:$BK$3,0))</f>
        <v>kilogram</v>
      </c>
      <c r="E597" s="12" t="str">
        <f>INDEX('ei names mapping'!$B$225:$BK$255,MATCH(B$229,'ei names mapping'!$A$4:$A$33,0),MATCH(G597,'ei names mapping'!$B$3:$BK$3,0))</f>
        <v>air</v>
      </c>
      <c r="F597" s="12" t="s">
        <v>173</v>
      </c>
      <c r="G597" s="12" t="s">
        <v>621</v>
      </c>
      <c r="H597" s="12"/>
    </row>
    <row r="598" spans="1:8" s="21" customFormat="1" x14ac:dyDescent="0.3">
      <c r="A598" s="12" t="str">
        <f>INDEX('ei names mapping'!$B$4:$BK$33,MATCH(B$229,'ei names mapping'!$A$4:$A$33,0),MATCH(G598,'ei names mapping'!$B$3:$BK$3,0))</f>
        <v>PAH, polycyclic aromatic hydrocarbons</v>
      </c>
      <c r="B598" s="15">
        <f>INDEX('vehicles specifications'!$B$3:$CK$86,MATCH(B$540,'vehicles specifications'!$A$3:$A$86,0),MATCH(G598,'vehicles specifications'!$B$2:$CK$2,0))*INDEX('ei names mapping'!$B$137:$BK$220,MATCH(B$540,'ei names mapping'!$A$137:$A$220,0),MATCH(G598,'ei names mapping'!$B$136:$BK$136,0))</f>
        <v>2.8066306137696041E-8</v>
      </c>
      <c r="C598" s="12"/>
      <c r="D598" s="12" t="str">
        <f>INDEX('ei names mapping'!$B$104:$BK$133,MATCH(B$229,'ei names mapping'!$A$4:$A$33,0),MATCH(G598,'ei names mapping'!$B$3:$BK$3,0))</f>
        <v>kilogram</v>
      </c>
      <c r="E598" s="12" t="str">
        <f>INDEX('ei names mapping'!$B$225:$BK$255,MATCH(B$229,'ei names mapping'!$A$4:$A$33,0),MATCH(G598,'ei names mapping'!$B$3:$BK$3,0))</f>
        <v>air</v>
      </c>
      <c r="F598" s="12" t="s">
        <v>173</v>
      </c>
      <c r="G598" s="12" t="s">
        <v>623</v>
      </c>
      <c r="H598" s="12"/>
    </row>
    <row r="599" spans="1:8" s="21" customFormat="1" x14ac:dyDescent="0.3">
      <c r="A599" s="12" t="str">
        <f>INDEX('ei names mapping'!$B$4:$BK$33,MATCH(B$229,'ei names mapping'!$A$4:$A$33,0),MATCH(G599,'ei names mapping'!$B$3:$BK$3,0))</f>
        <v>Arsenic</v>
      </c>
      <c r="B599" s="15">
        <f>INDEX('vehicles specifications'!$B$3:$CK$86,MATCH(B$540,'vehicles specifications'!$A$3:$A$86,0),MATCH(G599,'vehicles specifications'!$B$2:$CK$2,0))*INDEX('ei names mapping'!$B$137:$BK$220,MATCH(B$540,'ei names mapping'!$A$137:$A$220,0),MATCH(G599,'ei names mapping'!$B$136:$BK$136,0))</f>
        <v>2.4195091498013828E-10</v>
      </c>
      <c r="C599" s="12"/>
      <c r="D599" s="12" t="str">
        <f>INDEX('ei names mapping'!$B$104:$BK$133,MATCH(B$229,'ei names mapping'!$A$4:$A$33,0),MATCH(G599,'ei names mapping'!$B$3:$BK$3,0))</f>
        <v>kilogram</v>
      </c>
      <c r="E599" s="12" t="str">
        <f>INDEX('ei names mapping'!$B$225:$BK$255,MATCH(B$229,'ei names mapping'!$A$4:$A$33,0),MATCH(G599,'ei names mapping'!$B$3:$BK$3,0))</f>
        <v>air</v>
      </c>
      <c r="F599" s="12" t="s">
        <v>173</v>
      </c>
      <c r="G599" s="12" t="s">
        <v>624</v>
      </c>
      <c r="H599" s="12"/>
    </row>
    <row r="600" spans="1:8" s="21" customFormat="1" x14ac:dyDescent="0.3">
      <c r="A600" s="12" t="str">
        <f>INDEX('ei names mapping'!$B$4:$BK$33,MATCH(B$229,'ei names mapping'!$A$4:$A$33,0),MATCH(G600,'ei names mapping'!$B$3:$BK$3,0))</f>
        <v>Selenium</v>
      </c>
      <c r="B600" s="15">
        <f>INDEX('vehicles specifications'!$B$3:$CK$86,MATCH(B$540,'vehicles specifications'!$A$3:$A$86,0),MATCH(G600,'vehicles specifications'!$B$2:$CK$2,0))*INDEX('ei names mapping'!$B$137:$BK$220,MATCH(B$540,'ei names mapping'!$A$137:$A$220,0),MATCH(G600,'ei names mapping'!$B$136:$BK$136,0))</f>
        <v>1.6130060998675886E-10</v>
      </c>
      <c r="C600" s="12"/>
      <c r="D600" s="12" t="str">
        <f>INDEX('ei names mapping'!$B$104:$BK$133,MATCH(B$229,'ei names mapping'!$A$4:$A$33,0),MATCH(G600,'ei names mapping'!$B$3:$BK$3,0))</f>
        <v>kilogram</v>
      </c>
      <c r="E600" s="12" t="str">
        <f>INDEX('ei names mapping'!$B$225:$BK$255,MATCH(B$229,'ei names mapping'!$A$4:$A$33,0),MATCH(G600,'ei names mapping'!$B$3:$BK$3,0))</f>
        <v>air</v>
      </c>
      <c r="F600" s="12" t="s">
        <v>173</v>
      </c>
      <c r="G600" s="12" t="s">
        <v>625</v>
      </c>
      <c r="H600" s="12"/>
    </row>
    <row r="601" spans="1:8" s="21" customFormat="1" x14ac:dyDescent="0.3">
      <c r="A601" s="12" t="str">
        <f>INDEX('ei names mapping'!$B$4:$BK$33,MATCH(B$229,'ei names mapping'!$A$4:$A$33,0),MATCH(G601,'ei names mapping'!$B$3:$BK$3,0))</f>
        <v>Zinc</v>
      </c>
      <c r="B601" s="15">
        <f>INDEX('vehicles specifications'!$B$3:$CK$86,MATCH(B$540,'vehicles specifications'!$A$3:$A$86,0),MATCH(G601,'vehicles specifications'!$B$2:$CK$2,0))*INDEX('ei names mapping'!$B$137:$BK$220,MATCH(B$540,'ei names mapping'!$A$137:$A$220,0),MATCH(G601,'ei names mapping'!$B$136:$BK$136,0))</f>
        <v>1.7420465878569957E-6</v>
      </c>
      <c r="C601" s="12"/>
      <c r="D601" s="12" t="str">
        <f>INDEX('ei names mapping'!$B$104:$BK$133,MATCH(B$229,'ei names mapping'!$A$4:$A$33,0),MATCH(G601,'ei names mapping'!$B$3:$BK$3,0))</f>
        <v>kilogram</v>
      </c>
      <c r="E601" s="12" t="str">
        <f>INDEX('ei names mapping'!$B$225:$BK$255,MATCH(B$229,'ei names mapping'!$A$4:$A$33,0),MATCH(G601,'ei names mapping'!$B$3:$BK$3,0))</f>
        <v>air</v>
      </c>
      <c r="F601" s="12" t="s">
        <v>173</v>
      </c>
      <c r="G601" s="12" t="s">
        <v>626</v>
      </c>
      <c r="H601" s="12"/>
    </row>
    <row r="602" spans="1:8" s="21" customFormat="1" x14ac:dyDescent="0.3">
      <c r="A602" s="12" t="str">
        <f>INDEX('ei names mapping'!$B$4:$BK$33,MATCH(B$229,'ei names mapping'!$A$4:$A$33,0),MATCH(G602,'ei names mapping'!$B$3:$BK$3,0))</f>
        <v>Copper</v>
      </c>
      <c r="B602" s="15">
        <f>INDEX('vehicles specifications'!$B$3:$CK$86,MATCH(B$540,'vehicles specifications'!$A$3:$A$86,0),MATCH(G602,'vehicles specifications'!$B$2:$CK$2,0))*INDEX('ei names mapping'!$B$137:$BK$220,MATCH(B$540,'ei names mapping'!$A$137:$A$220,0),MATCH(G602,'ei names mapping'!$B$136:$BK$136,0))</f>
        <v>3.3873128097219361E-8</v>
      </c>
      <c r="C602" s="12"/>
      <c r="D602" s="12" t="str">
        <f>INDEX('ei names mapping'!$B$104:$BK$133,MATCH(B$229,'ei names mapping'!$A$4:$A$33,0),MATCH(G602,'ei names mapping'!$B$3:$BK$3,0))</f>
        <v>kilogram</v>
      </c>
      <c r="E602" s="12" t="str">
        <f>INDEX('ei names mapping'!$B$225:$BK$255,MATCH(B$229,'ei names mapping'!$A$4:$A$33,0),MATCH(G602,'ei names mapping'!$B$3:$BK$3,0))</f>
        <v>air</v>
      </c>
      <c r="F602" s="12" t="s">
        <v>173</v>
      </c>
      <c r="G602" s="12" t="s">
        <v>581</v>
      </c>
      <c r="H602" s="12"/>
    </row>
    <row r="603" spans="1:8" s="21" customFormat="1" x14ac:dyDescent="0.3">
      <c r="A603" s="12" t="str">
        <f>INDEX('ei names mapping'!$B$4:$BK$33,MATCH(B$229,'ei names mapping'!$A$4:$A$33,0),MATCH(G603,'ei names mapping'!$B$3:$BK$3,0))</f>
        <v>Nickel</v>
      </c>
      <c r="B603" s="15">
        <f>INDEX('vehicles specifications'!$B$3:$CK$86,MATCH(B$540,'vehicles specifications'!$A$3:$A$86,0),MATCH(G603,'vehicles specifications'!$B$2:$CK$2,0))*INDEX('ei names mapping'!$B$137:$BK$220,MATCH(B$540,'ei names mapping'!$A$137:$A$220,0),MATCH(G603,'ei names mapping'!$B$136:$BK$136,0))</f>
        <v>1.0484539649139326E-8</v>
      </c>
      <c r="C603" s="12"/>
      <c r="D603" s="12" t="str">
        <f>INDEX('ei names mapping'!$B$104:$BK$133,MATCH(B$229,'ei names mapping'!$A$4:$A$33,0),MATCH(G603,'ei names mapping'!$B$3:$BK$3,0))</f>
        <v>kilogram</v>
      </c>
      <c r="E603" s="12" t="str">
        <f>INDEX('ei names mapping'!$B$225:$BK$255,MATCH(B$229,'ei names mapping'!$A$4:$A$33,0),MATCH(G603,'ei names mapping'!$B$3:$BK$3,0))</f>
        <v>air</v>
      </c>
      <c r="F603" s="12" t="s">
        <v>173</v>
      </c>
      <c r="G603" s="12" t="s">
        <v>583</v>
      </c>
      <c r="H603" s="12"/>
    </row>
    <row r="604" spans="1:8" s="21" customFormat="1" x14ac:dyDescent="0.3">
      <c r="A604" s="12" t="str">
        <f>INDEX('ei names mapping'!$B$4:$BK$33,MATCH(B$229,'ei names mapping'!$A$4:$A$33,0),MATCH(G604,'ei names mapping'!$B$3:$BK$3,0))</f>
        <v>Chromium</v>
      </c>
      <c r="B604" s="15">
        <f>INDEX('vehicles specifications'!$B$3:$CK$86,MATCH(B$540,'vehicles specifications'!$A$3:$A$86,0),MATCH(G604,'vehicles specifications'!$B$2:$CK$2,0))*INDEX('ei names mapping'!$B$137:$BK$220,MATCH(B$540,'ei names mapping'!$A$137:$A$220,0),MATCH(G604,'ei names mapping'!$B$136:$BK$136,0))</f>
        <v>1.2904048798940712E-8</v>
      </c>
      <c r="C604" s="12"/>
      <c r="D604" s="12" t="str">
        <f>INDEX('ei names mapping'!$B$104:$BK$133,MATCH(B$229,'ei names mapping'!$A$4:$A$33,0),MATCH(G604,'ei names mapping'!$B$3:$BK$3,0))</f>
        <v>kilogram</v>
      </c>
      <c r="E604" s="12" t="str">
        <f>INDEX('ei names mapping'!$B$225:$BK$255,MATCH(B$229,'ei names mapping'!$A$4:$A$33,0),MATCH(G604,'ei names mapping'!$B$3:$BK$3,0))</f>
        <v>air</v>
      </c>
      <c r="F604" s="12" t="s">
        <v>173</v>
      </c>
      <c r="G604" s="12" t="s">
        <v>582</v>
      </c>
      <c r="H604" s="12"/>
    </row>
    <row r="605" spans="1:8" s="21" customFormat="1" x14ac:dyDescent="0.3">
      <c r="A605" s="12" t="str">
        <f>INDEX('ei names mapping'!$B$4:$BK$33,MATCH(B$229,'ei names mapping'!$A$4:$A$33,0),MATCH(G605,'ei names mapping'!$B$3:$BK$3,0))</f>
        <v>Chromium VI</v>
      </c>
      <c r="B605" s="15">
        <f>INDEX('vehicles specifications'!$B$3:$CK$86,MATCH(B$540,'vehicles specifications'!$A$3:$A$86,0),MATCH(G605,'vehicles specifications'!$B$2:$CK$2,0))*INDEX('ei names mapping'!$B$137:$BK$220,MATCH(B$540,'ei names mapping'!$A$137:$A$220,0),MATCH(G605,'ei names mapping'!$B$136:$BK$136,0))</f>
        <v>2.5808097597881416E-11</v>
      </c>
      <c r="C605" s="12"/>
      <c r="D605" s="12" t="str">
        <f>INDEX('ei names mapping'!$B$104:$BK$133,MATCH(B$229,'ei names mapping'!$A$4:$A$33,0),MATCH(G605,'ei names mapping'!$B$3:$BK$3,0))</f>
        <v>kilogram</v>
      </c>
      <c r="E605" s="12" t="str">
        <f>INDEX('ei names mapping'!$B$225:$BK$255,MATCH(B$229,'ei names mapping'!$A$4:$A$33,0),MATCH(G605,'ei names mapping'!$B$3:$BK$3,0))</f>
        <v>air</v>
      </c>
      <c r="F605" s="12" t="s">
        <v>173</v>
      </c>
      <c r="G605" s="12" t="s">
        <v>629</v>
      </c>
      <c r="H605" s="12"/>
    </row>
    <row r="606" spans="1:8" s="21" customFormat="1" x14ac:dyDescent="0.3">
      <c r="A606" s="12" t="str">
        <f>INDEX('ei names mapping'!$B$4:$BK$33,MATCH(B$229,'ei names mapping'!$A$4:$A$33,0),MATCH(G606,'ei names mapping'!$B$3:$BK$3,0))</f>
        <v>Mercury</v>
      </c>
      <c r="B606" s="15">
        <f>INDEX('vehicles specifications'!$B$3:$CK$86,MATCH(B$540,'vehicles specifications'!$A$3:$A$86,0),MATCH(G606,'vehicles specifications'!$B$2:$CK$2,0))*INDEX('ei names mapping'!$B$137:$BK$220,MATCH(B$540,'ei names mapping'!$A$137:$A$220,0),MATCH(G606,'ei names mapping'!$B$136:$BK$136,0))</f>
        <v>7.0165765344240103E-9</v>
      </c>
      <c r="C606" s="12"/>
      <c r="D606" s="12" t="str">
        <f>INDEX('ei names mapping'!$B$104:$BK$133,MATCH(B$229,'ei names mapping'!$A$4:$A$33,0),MATCH(G606,'ei names mapping'!$B$3:$BK$3,0))</f>
        <v>kilogram</v>
      </c>
      <c r="E606" s="12" t="str">
        <f>INDEX('ei names mapping'!$B$225:$BK$255,MATCH(B$229,'ei names mapping'!$A$4:$A$33,0),MATCH(G606,'ei names mapping'!$B$3:$BK$3,0))</f>
        <v>air</v>
      </c>
      <c r="F606" s="12" t="s">
        <v>173</v>
      </c>
      <c r="G606" s="12" t="s">
        <v>627</v>
      </c>
      <c r="H606" s="12"/>
    </row>
    <row r="607" spans="1:8" s="21" customFormat="1" x14ac:dyDescent="0.3">
      <c r="A607" s="12" t="str">
        <f>INDEX('ei names mapping'!$B$4:$BK$33,MATCH(B$229,'ei names mapping'!$A$4:$A$33,0),MATCH(G607,'ei names mapping'!$B$3:$BK$3,0))</f>
        <v>Cadmium</v>
      </c>
      <c r="B607" s="15">
        <f>INDEX('vehicles specifications'!$B$3:$CK$86,MATCH(B$540,'vehicles specifications'!$A$3:$A$86,0),MATCH(G607,'vehicles specifications'!$B$2:$CK$2,0))*INDEX('ei names mapping'!$B$137:$BK$220,MATCH(B$540,'ei names mapping'!$A$137:$A$220,0),MATCH(G607,'ei names mapping'!$B$136:$BK$136,0))</f>
        <v>8.7102329392849792E-9</v>
      </c>
      <c r="C607" s="12"/>
      <c r="D607" s="12" t="str">
        <f>INDEX('ei names mapping'!$B$104:$BK$133,MATCH(B$229,'ei names mapping'!$A$4:$A$33,0),MATCH(G607,'ei names mapping'!$B$3:$BK$3,0))</f>
        <v>kilogram</v>
      </c>
      <c r="E607" s="12" t="str">
        <f>INDEX('ei names mapping'!$B$225:$BK$255,MATCH(B$229,'ei names mapping'!$A$4:$A$33,0),MATCH(G607,'ei names mapping'!$B$3:$BK$3,0))</f>
        <v>air</v>
      </c>
      <c r="F607" s="12" t="s">
        <v>173</v>
      </c>
      <c r="G607" s="12" t="s">
        <v>628</v>
      </c>
      <c r="H607" s="12"/>
    </row>
    <row r="608" spans="1:8" x14ac:dyDescent="0.3">
      <c r="A608" s="12" t="str">
        <f>INDEX('ei names mapping'!$B$4:$BK$33,MATCH(B537,'ei names mapping'!$A$4:$A$33,0),MATCH(G608,'ei names mapping'!$B$3:$BK$3,0))</f>
        <v>treatment of road wear emissions, passenger car</v>
      </c>
      <c r="B608" s="16">
        <f>INDEX('vehicles specifications'!$B$3:$CK$86,MATCH(B540,'vehicles specifications'!$A$3:$A$86,0),MATCH(G608,'vehicles specifications'!$B$2:$CK$2,0))*INDEX('ei names mapping'!$B$137:$BK$220,MATCH(B540,'ei names mapping'!$A$137:$A$220,0),MATCH(G608,'ei names mapping'!$B$136:$BK$136,0))</f>
        <v>-6.0000000000000002E-6</v>
      </c>
      <c r="C608" s="12" t="str">
        <f>INDEX('ei names mapping'!$B$38:$BK$67,MATCH(B537,'ei names mapping'!$A$4:$A$33,0),MATCH(G608,'ei names mapping'!$B$3:$BK$3,0))</f>
        <v>RER</v>
      </c>
      <c r="D608" s="12" t="str">
        <f>INDEX('ei names mapping'!$B$104:$BK$133,MATCH(B537,'ei names mapping'!$A$4:$A$33,0),MATCH(G608,'ei names mapping'!$B$3:$BK$3,0))</f>
        <v>kilogram</v>
      </c>
      <c r="E608" s="12"/>
      <c r="F608" s="12" t="s">
        <v>91</v>
      </c>
      <c r="G608" t="s">
        <v>29</v>
      </c>
      <c r="H608" s="12" t="str">
        <f>INDEX('ei names mapping'!$B$71:$BK$100,MATCH(B537,'ei names mapping'!$A$4:$A$33,0),MATCH(G608,'ei names mapping'!$B$3:$BK$3,0))</f>
        <v>road wear emissions, passenger car</v>
      </c>
    </row>
    <row r="609" spans="1:8" x14ac:dyDescent="0.3">
      <c r="A609" s="12" t="str">
        <f>INDEX('ei names mapping'!$B$4:$BK$33,MATCH(B537,'ei names mapping'!$A$4:$A$33,0),MATCH(G609,'ei names mapping'!$B$3:$BK$3,0))</f>
        <v>treatment of tyre wear emissions, passenger car</v>
      </c>
      <c r="B609" s="16">
        <f>INDEX('vehicles specifications'!$B$3:$CK$86,MATCH(B540,'vehicles specifications'!$A$3:$A$86,0),MATCH(G609,'vehicles specifications'!$B$2:$CK$2,0))*INDEX('ei names mapping'!$B$137:$BK$220,MATCH(B540,'ei names mapping'!$A$137:$A$220,0),MATCH(G609,'ei names mapping'!$B$136:$BK$136,0))</f>
        <v>-5.8379999999999998E-6</v>
      </c>
      <c r="C609" s="12" t="str">
        <f>INDEX('ei names mapping'!$B$38:$BK$67,MATCH(B537,'ei names mapping'!$A$4:$A$33,0),MATCH(G609,'ei names mapping'!$B$3:$BK$3,0))</f>
        <v>RER</v>
      </c>
      <c r="D609" s="12" t="str">
        <f>INDEX('ei names mapping'!$B$104:$BK$133,MATCH(B537,'ei names mapping'!$A$4:$A$33,0),MATCH(G609,'ei names mapping'!$B$3:$BK$3,0))</f>
        <v>kilogram</v>
      </c>
      <c r="E609" s="12"/>
      <c r="F609" s="12" t="s">
        <v>91</v>
      </c>
      <c r="G609" t="s">
        <v>30</v>
      </c>
      <c r="H609" s="12" t="str">
        <f>INDEX('ei names mapping'!$B$71:$BK$100,MATCH(B537,'ei names mapping'!$A$4:$A$33,0),MATCH(G609,'ei names mapping'!$B$3:$BK$3,0))</f>
        <v>tyre wear emissions, passenger car</v>
      </c>
    </row>
    <row r="610" spans="1:8" x14ac:dyDescent="0.3">
      <c r="A610" s="12" t="str">
        <f>INDEX('ei names mapping'!$B$4:$BK$33,MATCH(B537,'ei names mapping'!$A$4:$A$33,0),MATCH(G610,'ei names mapping'!$B$3:$BK$3,0))</f>
        <v>treatment of brake wear emissions, passenger car</v>
      </c>
      <c r="B610" s="16">
        <f>INDEX('vehicles specifications'!$B$3:$CK$86,MATCH(B540,'vehicles specifications'!$A$3:$A$86,0),MATCH(G610,'vehicles specifications'!$B$2:$CK$2,0))*INDEX('ei names mapping'!$B$137:$BK$220,MATCH(B540,'ei names mapping'!$A$137:$A$220,0),MATCH(G610,'ei names mapping'!$B$136:$BK$136,0))</f>
        <v>-3.6740000000000003E-6</v>
      </c>
      <c r="C610" s="12" t="str">
        <f>INDEX('ei names mapping'!$B$38:$BK$67,MATCH(B537,'ei names mapping'!$A$4:$A$33,0),MATCH(G610,'ei names mapping'!$B$3:$BK$3,0))</f>
        <v>RER</v>
      </c>
      <c r="D610" s="12" t="str">
        <f>INDEX('ei names mapping'!$B$104:$BK$133,MATCH(B537,'ei names mapping'!$A$4:$A$33,0),MATCH(G610,'ei names mapping'!$B$3:$BK$3,0))</f>
        <v>kilogram</v>
      </c>
      <c r="E610" s="12"/>
      <c r="F610" s="12" t="s">
        <v>91</v>
      </c>
      <c r="G610" t="s">
        <v>31</v>
      </c>
      <c r="H610" s="12" t="str">
        <f>INDEX('ei names mapping'!$B$71:$BK$100,MATCH(B537,'ei names mapping'!$A$4:$A$33,0),MATCH(G610,'ei names mapping'!$B$3:$BK$3,0))</f>
        <v>brake wear emissions, passenger car</v>
      </c>
    </row>
    <row r="612" spans="1:8" ht="15.6" x14ac:dyDescent="0.3">
      <c r="A612" s="11" t="s">
        <v>72</v>
      </c>
      <c r="B612" s="9" t="str">
        <f>"transport, "&amp;B614&amp;", "&amp;B616</f>
        <v>transport, Moped, gasoline, &lt;4kW, EURO-5, 2050</v>
      </c>
    </row>
    <row r="613" spans="1:8" x14ac:dyDescent="0.3">
      <c r="A613" t="s">
        <v>73</v>
      </c>
      <c r="B613" t="s">
        <v>37</v>
      </c>
    </row>
    <row r="614" spans="1:8" x14ac:dyDescent="0.3">
      <c r="A614" t="s">
        <v>87</v>
      </c>
      <c r="B614" t="s">
        <v>647</v>
      </c>
    </row>
    <row r="615" spans="1:8" x14ac:dyDescent="0.3">
      <c r="A615" t="s">
        <v>88</v>
      </c>
      <c r="B615" s="12"/>
    </row>
    <row r="616" spans="1:8" x14ac:dyDescent="0.3">
      <c r="A616" t="s">
        <v>89</v>
      </c>
      <c r="B616" s="12">
        <v>2050</v>
      </c>
    </row>
    <row r="617" spans="1:8" x14ac:dyDescent="0.3">
      <c r="A617" t="s">
        <v>131</v>
      </c>
      <c r="B617" s="12" t="str">
        <f>B614&amp;" - "&amp;B616&amp;" - "&amp;B613</f>
        <v>Moped, gasoline, &lt;4kW, EURO-5 - 2050 - CH</v>
      </c>
    </row>
    <row r="618" spans="1:8" x14ac:dyDescent="0.3">
      <c r="A618" t="s">
        <v>74</v>
      </c>
      <c r="B618" s="12" t="str">
        <f>"transport, "&amp;B614</f>
        <v>transport, Moped, gasoline, &lt;4kW, EURO-5</v>
      </c>
    </row>
    <row r="619" spans="1:8" x14ac:dyDescent="0.3">
      <c r="A619" t="s">
        <v>75</v>
      </c>
      <c r="B619" t="s">
        <v>76</v>
      </c>
    </row>
    <row r="620" spans="1:8" x14ac:dyDescent="0.3">
      <c r="A620" t="s">
        <v>77</v>
      </c>
      <c r="B620" t="s">
        <v>172</v>
      </c>
    </row>
    <row r="621" spans="1:8" x14ac:dyDescent="0.3">
      <c r="A621" t="s">
        <v>79</v>
      </c>
      <c r="B621" t="s">
        <v>90</v>
      </c>
    </row>
    <row r="622" spans="1:8" x14ac:dyDescent="0.3">
      <c r="A622" t="s">
        <v>132</v>
      </c>
      <c r="B622">
        <f>INDEX('vehicles specifications'!$B$3:$CK$86,MATCH(B617,'vehicles specifications'!$A$3:$A$86,0),MATCH("Lifetime [km]",'vehicles specifications'!$B$2:$CK$2,0))</f>
        <v>33400</v>
      </c>
    </row>
    <row r="623" spans="1:8" x14ac:dyDescent="0.3">
      <c r="A623" t="s">
        <v>133</v>
      </c>
      <c r="B623">
        <f>INDEX('vehicles specifications'!$B$3:$CK$86,MATCH(B617,'vehicles specifications'!$A$3:$A$86,0),MATCH("Passengers [unit]",'vehicles specifications'!$B$2:$CK$2,0))</f>
        <v>1</v>
      </c>
    </row>
    <row r="624" spans="1:8" x14ac:dyDescent="0.3">
      <c r="A624" t="s">
        <v>134</v>
      </c>
      <c r="B624">
        <f>INDEX('vehicles specifications'!$B$3:$CK$86,MATCH(B617,'vehicles specifications'!$A$3:$A$86,0),MATCH("Servicing [unit]",'vehicles specifications'!$B$2:$CK$2,0))</f>
        <v>1</v>
      </c>
    </row>
    <row r="625" spans="1:8" x14ac:dyDescent="0.3">
      <c r="A625" t="s">
        <v>135</v>
      </c>
      <c r="B625">
        <f>INDEX('vehicles specifications'!$B$3:$CK$86,MATCH(B617,'vehicles specifications'!$A$3:$A$86,0),MATCH("Energy battery replacement [unit]",'vehicles specifications'!$B$2:$CK$2,0))</f>
        <v>0</v>
      </c>
    </row>
    <row r="626" spans="1:8" x14ac:dyDescent="0.3">
      <c r="A626" t="s">
        <v>136</v>
      </c>
      <c r="B626">
        <f>INDEX('vehicles specifications'!$B$3:$CK$86,MATCH(B617,'vehicles specifications'!$A$3:$A$86,0),MATCH("Annual kilometers [km]",'vehicles specifications'!$B$2:$CK$2,0))</f>
        <v>2553</v>
      </c>
    </row>
    <row r="627" spans="1:8" x14ac:dyDescent="0.3">
      <c r="A627" t="s">
        <v>137</v>
      </c>
      <c r="B627" s="2">
        <f>INDEX('vehicles specifications'!$B$3:$CK$86,MATCH(B617,'vehicles specifications'!$A$3:$A$86,0),MATCH("Curb mass [kg]",'vehicles specifications'!$B$2:$CK$2,0))</f>
        <v>59.971624999999996</v>
      </c>
    </row>
    <row r="628" spans="1:8" x14ac:dyDescent="0.3">
      <c r="A628" t="s">
        <v>138</v>
      </c>
      <c r="B628">
        <f>INDEX('vehicles specifications'!$B$3:$CK$86,MATCH(B617,'vehicles specifications'!$A$3:$A$86,0),MATCH("Power [kW]",'vehicles specifications'!$B$2:$CK$2,0))</f>
        <v>2.5</v>
      </c>
    </row>
    <row r="629" spans="1:8" x14ac:dyDescent="0.3">
      <c r="A629" t="s">
        <v>139</v>
      </c>
      <c r="B629">
        <f>INDEX('vehicles specifications'!$B$3:$CK$86,MATCH(B617,'vehicles specifications'!$A$3:$A$86,0),MATCH("Energy battery mass [kg]",'vehicles specifications'!$B$2:$CK$2,0))</f>
        <v>0</v>
      </c>
    </row>
    <row r="630" spans="1:8" x14ac:dyDescent="0.3">
      <c r="A630" t="s">
        <v>140</v>
      </c>
      <c r="B630">
        <f>INDEX('vehicles specifications'!$B$3:$CK$86,MATCH(B617,'vehicles specifications'!$A$3:$A$86,0),MATCH("Electric energy available [kWh]",'vehicles specifications'!$B$2:$CK$2,0))</f>
        <v>0</v>
      </c>
    </row>
    <row r="631" spans="1:8" x14ac:dyDescent="0.3">
      <c r="A631" t="s">
        <v>143</v>
      </c>
      <c r="B631" s="2">
        <f>INDEX('vehicles specifications'!$B$3:$CK$86,MATCH(B617,'vehicles specifications'!$A$3:$A$86,0),MATCH("Oxydation energy stored [kWh]",'vehicles specifications'!$B$2:$CK$2,0))</f>
        <v>61.833333333333329</v>
      </c>
    </row>
    <row r="632" spans="1:8" x14ac:dyDescent="0.3">
      <c r="A632" t="s">
        <v>145</v>
      </c>
      <c r="B632">
        <f>INDEX('vehicles specifications'!$B$3:$CK$86,MATCH(B617,'vehicles specifications'!$A$3:$A$86,0),MATCH("Fuel mass [kg]",'vehicles specifications'!$B$2:$CK$2,0))</f>
        <v>5.25</v>
      </c>
    </row>
    <row r="633" spans="1:8" x14ac:dyDescent="0.3">
      <c r="A633" t="s">
        <v>141</v>
      </c>
      <c r="B633" s="2">
        <f>INDEX('vehicles specifications'!$B$3:$CK$86,MATCH(B617,'vehicles specifications'!$A$3:$A$86,0),MATCH("Range [km]",'vehicles specifications'!$B$2:$CK$2,0))</f>
        <v>278.79433917446761</v>
      </c>
    </row>
    <row r="634" spans="1:8" x14ac:dyDescent="0.3">
      <c r="A634" t="s">
        <v>142</v>
      </c>
      <c r="B634" t="str">
        <f>INDEX('vehicles specifications'!$B$3:$CK$86,MATCH(B617,'vehicles specifications'!$A$3:$A$86,0),MATCH("Emission standard",'vehicles specifications'!$B$2:$CK$2,0))</f>
        <v>EURO-5</v>
      </c>
    </row>
    <row r="635" spans="1:8" x14ac:dyDescent="0.3">
      <c r="A635" t="s">
        <v>144</v>
      </c>
      <c r="B635" s="6">
        <f>INDEX('vehicles specifications'!$B$3:$CK$86,MATCH(B617,'vehicles specifications'!$A$3:$A$86,0),MATCH("Lightweighting rate [%]",'vehicles specifications'!$B$2:$CK$2,0))</f>
        <v>7.0000000000000007E-2</v>
      </c>
    </row>
    <row r="636" spans="1:8" x14ac:dyDescent="0.3">
      <c r="A636" t="s">
        <v>84</v>
      </c>
      <c r="B636" s="21"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Battery capacity: "&amp;ROUND(B630,1)&amp;" kWh. Battery mass: "&amp;ROUND(B629,1)&amp; " kg. Battery replacement throughout lifetime: "&amp;ROUND(B625,1)&amp;". Fuel tank capacity: "&amp;ROUND(B631,1)&amp;" kWh. Fuel mass: "&amp;ROUND(B632,1)&amp;" kg. Documentation: "&amp;Readmefirst!$B$2&amp;", "&amp;Readmefirst!$B$3&amp;". "&amp;B621</f>
        <v>Power: 2.5 kW. Lifetime: 33400 km. Annual kilometers: 2553 km. Number of passengers: 1. Curb mass: 60 kg. Lightweighting of glider: 7%. Emission standard: EURO-5. Service visits throughout lifetime: 1. Range: 279 km. Battery capacity: 0 kWh. Battery mass: 0 kg. Battery replacement throughout lifetime: 0. Fuel tank capacity: 61.8 kWh. Fuel mass: 5.3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37" spans="1:8" ht="15.6" x14ac:dyDescent="0.3">
      <c r="A637" s="11" t="s">
        <v>80</v>
      </c>
    </row>
    <row r="638" spans="1:8" x14ac:dyDescent="0.3">
      <c r="A638" t="s">
        <v>81</v>
      </c>
      <c r="B638" t="s">
        <v>82</v>
      </c>
      <c r="C638" t="s">
        <v>73</v>
      </c>
      <c r="D638" t="s">
        <v>77</v>
      </c>
      <c r="E638" t="s">
        <v>83</v>
      </c>
      <c r="F638" t="s">
        <v>75</v>
      </c>
      <c r="G638" t="s">
        <v>84</v>
      </c>
      <c r="H638" t="s">
        <v>74</v>
      </c>
    </row>
    <row r="639" spans="1:8" x14ac:dyDescent="0.3">
      <c r="A639" s="12" t="str">
        <f>B612</f>
        <v>transport, Moped, gasoline, &lt;4kW, EURO-5, 2050</v>
      </c>
      <c r="B639" s="12">
        <v>1</v>
      </c>
      <c r="C639" s="12" t="str">
        <f>B613</f>
        <v>CH</v>
      </c>
      <c r="D639" s="12" t="s">
        <v>172</v>
      </c>
      <c r="E639" s="12"/>
      <c r="F639" s="12" t="s">
        <v>85</v>
      </c>
      <c r="G639" s="12" t="s">
        <v>86</v>
      </c>
      <c r="H639" s="12" t="str">
        <f>B618</f>
        <v>transport, Moped, gasoline, &lt;4kW, EURO-5</v>
      </c>
    </row>
    <row r="640" spans="1:8" x14ac:dyDescent="0.3">
      <c r="A640" s="12" t="str">
        <f>RIGHT(A639,LEN(A639)-11)</f>
        <v>Moped, gasoline, &lt;4kW, EURO-5, 2050</v>
      </c>
      <c r="B640" s="12">
        <f>1/B622</f>
        <v>2.9940119760479042E-5</v>
      </c>
      <c r="C640" s="12" t="str">
        <f>B613</f>
        <v>CH</v>
      </c>
      <c r="D640" s="12" t="s">
        <v>77</v>
      </c>
      <c r="E640" s="12"/>
      <c r="F640" s="12" t="s">
        <v>91</v>
      </c>
      <c r="G640" s="12"/>
      <c r="H640" s="12" t="str">
        <f>RIGHT(H639,LEN(H639)-11)</f>
        <v>Moped, gasoline, &lt;4kW, EURO-5</v>
      </c>
    </row>
    <row r="641" spans="1:8" s="21" customFormat="1" x14ac:dyDescent="0.3">
      <c r="A641" s="12" t="str">
        <f>INDEX('ei names mapping'!$B$4:$R$33,MATCH(B614,'ei names mapping'!$A$4:$A$33,0),MATCH(G641,'ei names mapping'!$B$3:$R$3,0))</f>
        <v>road construction</v>
      </c>
      <c r="B641" s="16">
        <f>INDEX('vehicles specifications'!$B$3:$CK$86,MATCH(B617,'vehicles specifications'!$A$3:$A$86,0),MATCH(G641,'vehicles specifications'!$B$2:$CK$2,0))*INDEX('ei names mapping'!$B$137:$BK$220,MATCH(B617,'ei names mapping'!$A$137:$A$220,0),MATCH(G641,'ei names mapping'!$B$136:$BK$136,0))</f>
        <v>7.0868762624999988E-5</v>
      </c>
      <c r="C641" s="12" t="str">
        <f>INDEX('ei names mapping'!$B$38:$R$67,MATCH(B614,'ei names mapping'!$A$4:$A$33,0),MATCH(G641,'ei names mapping'!$B$3:$R$3,0))</f>
        <v>CH</v>
      </c>
      <c r="D641" s="12" t="str">
        <f>INDEX('ei names mapping'!$B$104:$BK$133,MATCH(B614,'ei names mapping'!$A$4:$A$33,0),MATCH(G641,'ei names mapping'!$B$3:$BK$3,0))</f>
        <v>meter-year</v>
      </c>
      <c r="E641" s="12"/>
      <c r="F641" s="12" t="s">
        <v>91</v>
      </c>
      <c r="G641" s="21" t="s">
        <v>108</v>
      </c>
      <c r="H641" s="12" t="str">
        <f>INDEX('ei names mapping'!$B$71:$BK$100,MATCH(B614,'ei names mapping'!$A$4:$A$33,0),MATCH(G641,'ei names mapping'!$B$3:$BK$3,0))</f>
        <v>road</v>
      </c>
    </row>
    <row r="642" spans="1:8" x14ac:dyDescent="0.3">
      <c r="A642" s="12" t="str">
        <f>INDEX('ei names mapping'!$B$4:$R$33,MATCH(B614,'ei names mapping'!$A$4:$A$33,0),MATCH(G642,'ei names mapping'!$B$3:$R$3,0))</f>
        <v>road maintenance</v>
      </c>
      <c r="B642" s="16">
        <f>INDEX('vehicles specifications'!$B$3:$CK$86,MATCH(B617,'vehicles specifications'!$A$3:$A$86,0),MATCH(G642,'vehicles specifications'!$B$2:$CK$2,0))*INDEX('ei names mapping'!$B$137:$BK$220,MATCH(B617,'ei names mapping'!$A$137:$A$220,0),MATCH(G642,'ei names mapping'!$B$136:$BK$136,0))</f>
        <v>1.2899999999999999E-3</v>
      </c>
      <c r="C642" s="12" t="str">
        <f>INDEX('ei names mapping'!$B$38:$R$67,MATCH(B614,'ei names mapping'!$A$4:$A$33,0),MATCH(G642,'ei names mapping'!$B$3:$R$3,0))</f>
        <v>CH</v>
      </c>
      <c r="D642" s="12" t="str">
        <f>INDEX('ei names mapping'!$B$104:$BK$133,MATCH(B614,'ei names mapping'!$A$4:$A$33,0),MATCH(G642,'ei names mapping'!$B$3:$BK$3,0))</f>
        <v>meter-year</v>
      </c>
      <c r="E642" s="12"/>
      <c r="F642" s="12" t="s">
        <v>91</v>
      </c>
      <c r="G642" t="s">
        <v>117</v>
      </c>
      <c r="H642" s="12" t="str">
        <f>INDEX('ei names mapping'!$B$71:$BK$100,MATCH(B614,'ei names mapping'!$A$4:$A$33,0),MATCH(G642,'ei names mapping'!$B$3:$BK$3,0))</f>
        <v>road maintenance</v>
      </c>
    </row>
    <row r="643" spans="1:8" x14ac:dyDescent="0.3">
      <c r="A643" s="12" t="str">
        <f>INDEX('ei names mapping'!$B$4:$R$33,MATCH(B614,'ei names mapping'!$A$4:$A$33,0),MATCH(G643,'ei names mapping'!$B$3:$R$3,0))</f>
        <v>maintenance, motor scooter</v>
      </c>
      <c r="B643" s="16">
        <f>INDEX('vehicles specifications'!$B$3:$CK$86,MATCH(B617,'vehicles specifications'!$A$3:$A$86,0),MATCH(G643,'vehicles specifications'!$B$2:$CK$2,0))*INDEX('ei names mapping'!$B$137:$BK$220,MATCH(B617,'ei names mapping'!$A$137:$A$220,0),MATCH(G643,'ei names mapping'!$B$136:$BK$136,0))</f>
        <v>2.9940119760479042E-5</v>
      </c>
      <c r="C643" s="12" t="str">
        <f>INDEX('ei names mapping'!$B$38:$BK$67,MATCH(B614,'ei names mapping'!$A$4:$A$33,0),MATCH(G643,'ei names mapping'!$B$3:$BK$3,0))</f>
        <v>CH</v>
      </c>
      <c r="D643" s="12" t="str">
        <f>INDEX('ei names mapping'!$B$104:$BK$133,MATCH(B614,'ei names mapping'!$A$4:$A$33,0),MATCH(G643,'ei names mapping'!$B$3:$BK$3,0))</f>
        <v>unit</v>
      </c>
      <c r="F643" s="12" t="s">
        <v>91</v>
      </c>
      <c r="G643" s="12" t="s">
        <v>123</v>
      </c>
      <c r="H643" s="12" t="str">
        <f>INDEX('ei names mapping'!$B$71:$BK$100,MATCH(B614,'ei names mapping'!$A$4:$A$33,0),MATCH(G643,'ei names mapping'!$B$3:$BK$3,0))</f>
        <v>maintenance, motor scooter</v>
      </c>
    </row>
    <row r="644" spans="1:8" x14ac:dyDescent="0.3">
      <c r="A644" s="12" t="str">
        <f>INDEX('ei names mapping'!$B$4:$R$33,MATCH(B614,'ei names mapping'!$A$4:$A$33,0),MATCH(G644,'ei names mapping'!$B$3:$R$3,0))</f>
        <v>petrol blending for two-stroke engines</v>
      </c>
      <c r="B644" s="16">
        <f>INDEX('vehicles specifications'!$B$3:$CK$86,MATCH(B617,'vehicles specifications'!$A$3:$A$86,0),MATCH(G644,'vehicles specifications'!$B$2:$CK$2,0))*INDEX('ei names mapping'!$B$137:$BK$220,MATCH(B617,'ei names mapping'!$A$137:$A$220,0),MATCH(G644,'ei names mapping'!$B$136:$BK$136,0))</f>
        <v>1.8831085364020197E-2</v>
      </c>
      <c r="C644" s="12" t="str">
        <f>INDEX('ei names mapping'!$B$38:$BK$67,MATCH(B614,'ei names mapping'!$A$4:$A$33,0),MATCH(G644,'ei names mapping'!$B$3:$BK$3,0))</f>
        <v>CH</v>
      </c>
      <c r="D644" s="12" t="str">
        <f>INDEX('ei names mapping'!$B$104:$BK$133,MATCH(B614,'ei names mapping'!$A$4:$A$33,0),MATCH(G644,'ei names mapping'!$B$3:$BK$3,0))</f>
        <v>kilogram</v>
      </c>
      <c r="F644" s="12" t="s">
        <v>91</v>
      </c>
      <c r="G644" s="12" t="s">
        <v>27</v>
      </c>
      <c r="H644" s="12" t="str">
        <f>INDEX('ei names mapping'!$B$71:$BK$100,MATCH(B614,'ei names mapping'!$A$4:$A$33,0),MATCH(G644,'ei names mapping'!$B$3:$BK$3,0))</f>
        <v>petrol, two-stroke blend</v>
      </c>
    </row>
    <row r="645" spans="1:8" x14ac:dyDescent="0.3">
      <c r="A645" s="12" t="str">
        <f>INDEX('ei names mapping'!$B$4:$BK$33,MATCH(B614,'ei names mapping'!$A$4:$A$33,0),MATCH(G645,'ei names mapping'!$B$3:$BK$3,0))</f>
        <v>Carbon dioxide, fossil</v>
      </c>
      <c r="B645" s="16">
        <f>INDEX('vehicles specifications'!$B$3:$CK$86,MATCH(B617,'vehicles specifications'!$A$3:$A$86,0),MATCH(G645,'vehicles specifications'!$B$2:$CK$2,0))*INDEX('ei names mapping'!$B$137:$BK$220,MATCH(B617,'ei names mapping'!$A$137:$A$220,0),MATCH(G645,'ei names mapping'!$B$136:$BK$136,0))</f>
        <v>5.9882851457584228E-2</v>
      </c>
      <c r="C645" s="12"/>
      <c r="D645" s="12" t="str">
        <f>INDEX('ei names mapping'!$B$104:$BK$133,MATCH(B614,'ei names mapping'!$A$4:$A$33,0),MATCH(G645,'ei names mapping'!$B$3:$BK$3,0))</f>
        <v>kilogram</v>
      </c>
      <c r="E645" s="12" t="str">
        <f>INDEX('ei names mapping'!$B$225:$BK$255,MATCH(B614,'ei names mapping'!$A$4:$A$33,0),MATCH(G645,'ei names mapping'!$B$3:$BK$3,0))</f>
        <v>air</v>
      </c>
      <c r="F645" s="12" t="s">
        <v>173</v>
      </c>
      <c r="G645" t="s">
        <v>67</v>
      </c>
      <c r="H645" s="12"/>
    </row>
    <row r="646" spans="1:8" x14ac:dyDescent="0.3">
      <c r="A646" s="12" t="str">
        <f>INDEX('ei names mapping'!$B$4:$BK$33,MATCH(B614,'ei names mapping'!$A$4:$A$33,0),MATCH(G646,'ei names mapping'!$B$3:$BK$3,0))</f>
        <v>Sulfur dioxide</v>
      </c>
      <c r="B646" s="15">
        <f>INDEX('vehicles specifications'!$B$3:$CK$86,MATCH(B617,'vehicles specifications'!$A$3:$A$86,0),MATCH(G646,'vehicles specifications'!$B$2:$CK$2,0))*INDEX('ei names mapping'!$B$137:$BK$220,MATCH(B617,'ei names mapping'!$A$137:$A$220,0),MATCH(G646,'ei names mapping'!$B$136:$BK$136,0))</f>
        <v>3.0129736582432315E-7</v>
      </c>
      <c r="C646" s="12"/>
      <c r="D646" s="12" t="str">
        <f>INDEX('ei names mapping'!$B$104:$BK$133,MATCH(B614,'ei names mapping'!$A$4:$A$33,0),MATCH(G646,'ei names mapping'!$B$3:$BK$3,0))</f>
        <v>kilogram</v>
      </c>
      <c r="E646" s="12" t="str">
        <f>INDEX('ei names mapping'!$B$225:$BK$255,MATCH(B614,'ei names mapping'!$A$4:$A$33,0),MATCH(G646,'ei names mapping'!$B$3:$BK$3,0))</f>
        <v>air</v>
      </c>
      <c r="F646" s="12" t="s">
        <v>173</v>
      </c>
      <c r="G646" t="s">
        <v>68</v>
      </c>
      <c r="H646" s="12"/>
    </row>
    <row r="647" spans="1:8" x14ac:dyDescent="0.3">
      <c r="A647" s="12" t="str">
        <f>INDEX('ei names mapping'!$B$4:$BK$33,MATCH(B614,'ei names mapping'!$A$4:$A$33,0),MATCH(G647,'ei names mapping'!$B$3:$BK$3,0))</f>
        <v>Benzene</v>
      </c>
      <c r="B647" s="15">
        <f>INDEX('vehicles specifications'!$B$3:$CK$86,MATCH(B617,'vehicles specifications'!$A$3:$A$86,0),MATCH(G647,'vehicles specifications'!$B$2:$CK$2,0))*INDEX('ei names mapping'!$B$137:$BK$220,MATCH(B617,'ei names mapping'!$A$137:$A$220,0),MATCH(G647,'ei names mapping'!$B$136:$BK$136,0))</f>
        <v>4.854676844107983E-5</v>
      </c>
      <c r="C647" s="12"/>
      <c r="D647" s="12" t="str">
        <f>INDEX('ei names mapping'!$B$104:$BK$133,MATCH(B614,'ei names mapping'!$A$4:$A$33,0),MATCH(G647,'ei names mapping'!$B$3:$BK$3,0))</f>
        <v>kilogram</v>
      </c>
      <c r="E647" s="12" t="str">
        <f>INDEX('ei names mapping'!$B$225:$BK$255,MATCH(B614,'ei names mapping'!$A$4:$A$33,0),MATCH(G647,'ei names mapping'!$B$3:$BK$3,0))</f>
        <v>air</v>
      </c>
      <c r="F647" s="12" t="s">
        <v>173</v>
      </c>
      <c r="G647" t="s">
        <v>56</v>
      </c>
      <c r="H647" s="12"/>
    </row>
    <row r="648" spans="1:8" x14ac:dyDescent="0.3">
      <c r="A648" s="12" t="str">
        <f>INDEX('ei names mapping'!$B$4:$BK$33,MATCH(B614,'ei names mapping'!$A$4:$A$33,0),MATCH(G648,'ei names mapping'!$B$3:$BK$3,0))</f>
        <v>Methane, fossil</v>
      </c>
      <c r="B648" s="15">
        <f>INDEX('vehicles specifications'!$B$3:$CK$86,MATCH(B617,'vehicles specifications'!$A$3:$A$86,0),MATCH(G648,'vehicles specifications'!$B$2:$CK$2,0))*INDEX('ei names mapping'!$B$137:$BK$220,MATCH(B617,'ei names mapping'!$A$137:$A$220,0),MATCH(G648,'ei names mapping'!$B$136:$BK$136,0))</f>
        <v>2.2012544660931132E-5</v>
      </c>
      <c r="C648" s="12"/>
      <c r="D648" s="12" t="str">
        <f>INDEX('ei names mapping'!$B$104:$BK$133,MATCH(B614,'ei names mapping'!$A$4:$A$33,0),MATCH(G648,'ei names mapping'!$B$3:$BK$3,0))</f>
        <v>kilogram</v>
      </c>
      <c r="E648" s="12" t="str">
        <f>INDEX('ei names mapping'!$B$225:$BK$255,MATCH(B614,'ei names mapping'!$A$4:$A$33,0),MATCH(G648,'ei names mapping'!$B$3:$BK$3,0))</f>
        <v>air</v>
      </c>
      <c r="F648" s="12" t="s">
        <v>173</v>
      </c>
      <c r="G648" t="s">
        <v>57</v>
      </c>
      <c r="H648" s="12"/>
    </row>
    <row r="649" spans="1:8" x14ac:dyDescent="0.3">
      <c r="A649" s="12" t="str">
        <f>INDEX('ei names mapping'!$B$4:$BK$33,MATCH(B614,'ei names mapping'!$A$4:$A$33,0),MATCH(G649,'ei names mapping'!$B$3:$BK$3,0))</f>
        <v>Carbon monoxide, fossil</v>
      </c>
      <c r="B649" s="15">
        <f>INDEX('vehicles specifications'!$B$3:$CK$86,MATCH(B617,'vehicles specifications'!$A$3:$A$86,0),MATCH(G649,'vehicles specifications'!$B$2:$CK$2,0))*INDEX('ei names mapping'!$B$137:$BK$220,MATCH(B617,'ei names mapping'!$A$137:$A$220,0),MATCH(G649,'ei names mapping'!$B$136:$BK$136,0))</f>
        <v>2.3276028801916633E-3</v>
      </c>
      <c r="C649" s="12"/>
      <c r="D649" s="12" t="str">
        <f>INDEX('ei names mapping'!$B$104:$BK$133,MATCH(B614,'ei names mapping'!$A$4:$A$33,0),MATCH(G649,'ei names mapping'!$B$3:$BK$3,0))</f>
        <v>kilogram</v>
      </c>
      <c r="E649" s="12" t="str">
        <f>INDEX('ei names mapping'!$B$225:$BK$255,MATCH(B614,'ei names mapping'!$A$4:$A$33,0),MATCH(G649,'ei names mapping'!$B$3:$BK$3,0))</f>
        <v>air</v>
      </c>
      <c r="F649" s="12" t="s">
        <v>173</v>
      </c>
      <c r="G649" t="s">
        <v>58</v>
      </c>
      <c r="H649" s="12"/>
    </row>
    <row r="650" spans="1:8" x14ac:dyDescent="0.3">
      <c r="A650" s="12" t="str">
        <f>INDEX('ei names mapping'!$B$4:$BK$33,MATCH(B614,'ei names mapping'!$A$4:$A$33,0),MATCH(G650,'ei names mapping'!$B$3:$BK$3,0))</f>
        <v>Dinitrogen monoxide</v>
      </c>
      <c r="B650" s="15">
        <f>INDEX('vehicles specifications'!$B$3:$CK$86,MATCH(B617,'vehicles specifications'!$A$3:$A$86,0),MATCH(G650,'vehicles specifications'!$B$2:$CK$2,0))*INDEX('ei names mapping'!$B$137:$BK$220,MATCH(B617,'ei names mapping'!$A$137:$A$220,0),MATCH(G650,'ei names mapping'!$B$136:$BK$136,0))</f>
        <v>1.1168211395703267E-6</v>
      </c>
      <c r="C650" s="12"/>
      <c r="D650" s="12" t="str">
        <f>INDEX('ei names mapping'!$B$104:$BK$133,MATCH(B614,'ei names mapping'!$A$4:$A$33,0),MATCH(G650,'ei names mapping'!$B$3:$BK$3,0))</f>
        <v>kilogram</v>
      </c>
      <c r="E650" s="12" t="str">
        <f>INDEX('ei names mapping'!$B$225:$BK$255,MATCH(B614,'ei names mapping'!$A$4:$A$33,0),MATCH(G650,'ei names mapping'!$B$3:$BK$3,0))</f>
        <v>air</v>
      </c>
      <c r="F650" s="12" t="s">
        <v>173</v>
      </c>
      <c r="G650" t="s">
        <v>59</v>
      </c>
      <c r="H650" s="12"/>
    </row>
    <row r="651" spans="1:8" x14ac:dyDescent="0.3">
      <c r="A651" s="12" t="str">
        <f>INDEX('ei names mapping'!$B$4:$BK$33,MATCH(B614,'ei names mapping'!$A$4:$A$33,0),MATCH(G651,'ei names mapping'!$B$3:$BK$3,0))</f>
        <v>Ammonia</v>
      </c>
      <c r="B651" s="15">
        <f>INDEX('vehicles specifications'!$B$3:$CK$86,MATCH(B617,'vehicles specifications'!$A$3:$A$86,0),MATCH(G651,'vehicles specifications'!$B$2:$CK$2,0))*INDEX('ei names mapping'!$B$137:$BK$220,MATCH(B617,'ei names mapping'!$A$137:$A$220,0),MATCH(G651,'ei names mapping'!$B$136:$BK$136,0))</f>
        <v>1.1168211395703267E-6</v>
      </c>
      <c r="C651" s="12"/>
      <c r="D651" s="12" t="str">
        <f>INDEX('ei names mapping'!$B$104:$BK$133,MATCH(B614,'ei names mapping'!$A$4:$A$33,0),MATCH(G651,'ei names mapping'!$B$3:$BK$3,0))</f>
        <v>kilogram</v>
      </c>
      <c r="E651" s="12" t="str">
        <f>INDEX('ei names mapping'!$B$225:$BK$255,MATCH(B614,'ei names mapping'!$A$4:$A$33,0),MATCH(G651,'ei names mapping'!$B$3:$BK$3,0))</f>
        <v>air</v>
      </c>
      <c r="F651" s="12" t="s">
        <v>173</v>
      </c>
      <c r="G651" t="s">
        <v>60</v>
      </c>
      <c r="H651" s="12"/>
    </row>
    <row r="652" spans="1:8" x14ac:dyDescent="0.3">
      <c r="A652" s="12" t="str">
        <f>INDEX('ei names mapping'!$B$4:$BK$33,MATCH(B614,'ei names mapping'!$A$4:$A$33,0),MATCH(G652,'ei names mapping'!$B$3:$BK$3,0))</f>
        <v>Nitrogen oxides</v>
      </c>
      <c r="B652" s="15">
        <f>INDEX('vehicles specifications'!$B$3:$CK$86,MATCH(B617,'vehicles specifications'!$A$3:$A$86,0),MATCH(G652,'vehicles specifications'!$B$2:$CK$2,0))*INDEX('ei names mapping'!$B$137:$BK$220,MATCH(B617,'ei names mapping'!$A$137:$A$220,0),MATCH(G652,'ei names mapping'!$B$136:$BK$136,0))</f>
        <v>8.3751208926211812E-5</v>
      </c>
      <c r="C652" s="12"/>
      <c r="D652" s="12" t="str">
        <f>INDEX('ei names mapping'!$B$104:$BK$133,MATCH(B614,'ei names mapping'!$A$4:$A$33,0),MATCH(G652,'ei names mapping'!$B$3:$BK$3,0))</f>
        <v>kilogram</v>
      </c>
      <c r="E652" s="12" t="str">
        <f>INDEX('ei names mapping'!$B$225:$BK$255,MATCH(B614,'ei names mapping'!$A$4:$A$33,0),MATCH(G652,'ei names mapping'!$B$3:$BK$3,0))</f>
        <v>air</v>
      </c>
      <c r="F652" s="12" t="s">
        <v>173</v>
      </c>
      <c r="G652" s="12" t="s">
        <v>61</v>
      </c>
      <c r="H652" s="12"/>
    </row>
    <row r="653" spans="1:8" x14ac:dyDescent="0.3">
      <c r="A653" s="12" t="str">
        <f>INDEX('ei names mapping'!$B$4:$BK$33,MATCH(B614,'ei names mapping'!$A$4:$A$33,0),MATCH(G653,'ei names mapping'!$B$3:$BK$3,0))</f>
        <v>Particulates, &lt; 2.5 um</v>
      </c>
      <c r="B653" s="15">
        <f>INDEX('vehicles specifications'!$B$3:$CK$86,MATCH(B$617,'vehicles specifications'!$A$3:$A$86,0),MATCH(G653,'vehicles specifications'!$B$2:$CK$2,0))*INDEX('ei names mapping'!$B$137:$BK$220,MATCH(B$617,'ei names mapping'!$A$137:$A$220,0),MATCH(G653,'ei names mapping'!$B$136:$BK$136,0))</f>
        <v>6.4139038045523853E-6</v>
      </c>
      <c r="C653" s="12"/>
      <c r="D653" s="12" t="str">
        <f>INDEX('ei names mapping'!$B$104:$BK$133,MATCH(B614,'ei names mapping'!$A$4:$A$33,0),MATCH(G653,'ei names mapping'!$B$3:$BK$3,0))</f>
        <v>kilogram</v>
      </c>
      <c r="E653" s="12" t="str">
        <f>INDEX('ei names mapping'!$B$225:$BK$255,MATCH(B614,'ei names mapping'!$A$4:$A$33,0),MATCH(G653,'ei names mapping'!$B$3:$BK$3,0))</f>
        <v>air</v>
      </c>
      <c r="F653" s="12" t="s">
        <v>173</v>
      </c>
      <c r="G653" s="12" t="s">
        <v>63</v>
      </c>
      <c r="H653" s="12"/>
    </row>
    <row r="654" spans="1:8" s="21" customFormat="1" x14ac:dyDescent="0.3">
      <c r="A654" s="12" t="str">
        <f>INDEX('ei names mapping'!$B$4:$BK$33,MATCH(B$229,'ei names mapping'!$A$4:$A$33,0),MATCH(G654,'ei names mapping'!$B$3:$BK$3,0))</f>
        <v>NMVOC, non-methane volatile organic compounds, unspecified origin</v>
      </c>
      <c r="B654" s="15">
        <f>INDEX('vehicles specifications'!$B$3:$CK$86,MATCH(B$617,'vehicles specifications'!$A$3:$A$86,0),MATCH(G654,'vehicles specifications'!$B$2:$CK$2,0))*INDEX('ei names mapping'!$B$137:$BK$220,MATCH(B$617,'ei names mapping'!$A$137:$A$220,0),MATCH(G654,'ei names mapping'!$B$136:$BK$136,0))</f>
        <v>3.9148944817726415E-4</v>
      </c>
      <c r="C654" s="12"/>
      <c r="D654" s="12" t="str">
        <f>INDEX('ei names mapping'!$B$104:$BK$133,MATCH(B$229,'ei names mapping'!$A$4:$A$33,0),MATCH(G654,'ei names mapping'!$B$3:$BK$3,0))</f>
        <v>kilogram</v>
      </c>
      <c r="E654" s="12" t="str">
        <f>INDEX('ei names mapping'!$B$225:$BK$255,MATCH(B$229,'ei names mapping'!$A$4:$A$33,0),MATCH(G654,'ei names mapping'!$B$3:$BK$3,0))</f>
        <v>air</v>
      </c>
      <c r="F654" s="12" t="s">
        <v>173</v>
      </c>
      <c r="G654" s="12" t="s">
        <v>659</v>
      </c>
      <c r="H654" s="12"/>
    </row>
    <row r="655" spans="1:8" s="21" customFormat="1" x14ac:dyDescent="0.3">
      <c r="A655" s="12" t="str">
        <f>INDEX('ei names mapping'!$B$4:$BK$33,MATCH(B$229,'ei names mapping'!$A$4:$A$33,0),MATCH(G655,'ei names mapping'!$B$3:$BK$3,0))</f>
        <v>Ethane</v>
      </c>
      <c r="B655" s="15">
        <f>INDEX('vehicles specifications'!$B$3:$CK$86,MATCH(B$617,'vehicles specifications'!$A$3:$A$86,0),MATCH(G655,'vehicles specifications'!$B$2:$CK$2,0))*INDEX('ei names mapping'!$B$137:$BK$220,MATCH(B$617,'ei names mapping'!$A$137:$A$220,0),MATCH(G655,'ei names mapping'!$B$136:$BK$136,0))</f>
        <v>2.7605025191986573E-5</v>
      </c>
      <c r="C655" s="12"/>
      <c r="D655" s="12" t="str">
        <f>INDEX('ei names mapping'!$B$104:$BK$133,MATCH(B$229,'ei names mapping'!$A$4:$A$33,0),MATCH(G655,'ei names mapping'!$B$3:$BK$3,0))</f>
        <v>kilogram</v>
      </c>
      <c r="E655" s="12" t="str">
        <f>INDEX('ei names mapping'!$B$225:$BK$255,MATCH(B$229,'ei names mapping'!$A$4:$A$33,0),MATCH(G655,'ei names mapping'!$B$3:$BK$3,0))</f>
        <v>air</v>
      </c>
      <c r="F655" s="12" t="s">
        <v>173</v>
      </c>
      <c r="G655" s="12" t="s">
        <v>603</v>
      </c>
      <c r="H655" s="12"/>
    </row>
    <row r="656" spans="1:8" s="21" customFormat="1" x14ac:dyDescent="0.3">
      <c r="A656" s="12" t="str">
        <f>INDEX('ei names mapping'!$B$4:$BK$33,MATCH(B$229,'ei names mapping'!$A$4:$A$33,0),MATCH(G656,'ei names mapping'!$B$3:$BK$3,0))</f>
        <v>Propane</v>
      </c>
      <c r="B656" s="15">
        <f>INDEX('vehicles specifications'!$B$3:$CK$86,MATCH(B$617,'vehicles specifications'!$A$3:$A$86,0),MATCH(G656,'vehicles specifications'!$B$2:$CK$2,0))*INDEX('ei names mapping'!$B$137:$BK$220,MATCH(B$617,'ei names mapping'!$A$137:$A$220,0),MATCH(G656,'ei names mapping'!$B$136:$BK$136,0))</f>
        <v>5.6248483933514962E-6</v>
      </c>
      <c r="C656" s="12"/>
      <c r="D656" s="12" t="str">
        <f>INDEX('ei names mapping'!$B$104:$BK$133,MATCH(B$229,'ei names mapping'!$A$4:$A$33,0),MATCH(G656,'ei names mapping'!$B$3:$BK$3,0))</f>
        <v>kilogram</v>
      </c>
      <c r="E656" s="12" t="str">
        <f>INDEX('ei names mapping'!$B$225:$BK$255,MATCH(B$229,'ei names mapping'!$A$4:$A$33,0),MATCH(G656,'ei names mapping'!$B$3:$BK$3,0))</f>
        <v>air</v>
      </c>
      <c r="F656" s="12" t="s">
        <v>173</v>
      </c>
      <c r="G656" s="12" t="s">
        <v>604</v>
      </c>
      <c r="H656" s="12"/>
    </row>
    <row r="657" spans="1:8" s="21" customFormat="1" x14ac:dyDescent="0.3">
      <c r="A657" s="12" t="str">
        <f>INDEX('ei names mapping'!$B$4:$BK$33,MATCH(B$229,'ei names mapping'!$A$4:$A$33,0),MATCH(G657,'ei names mapping'!$B$3:$BK$3,0))</f>
        <v>Butane</v>
      </c>
      <c r="B657" s="15">
        <f>INDEX('vehicles specifications'!$B$3:$CK$86,MATCH(B$617,'vehicles specifications'!$A$3:$A$86,0),MATCH(G657,'vehicles specifications'!$B$2:$CK$2,0))*INDEX('ei names mapping'!$B$137:$BK$220,MATCH(B$617,'ei names mapping'!$A$137:$A$220,0),MATCH(G657,'ei names mapping'!$B$136:$BK$136,0))</f>
        <v>4.5344931663325912E-5</v>
      </c>
      <c r="C657" s="12"/>
      <c r="D657" s="12" t="str">
        <f>INDEX('ei names mapping'!$B$104:$BK$133,MATCH(B$229,'ei names mapping'!$A$4:$A$33,0),MATCH(G657,'ei names mapping'!$B$3:$BK$3,0))</f>
        <v>kilogram</v>
      </c>
      <c r="E657" s="12" t="str">
        <f>INDEX('ei names mapping'!$B$225:$BK$255,MATCH(B$229,'ei names mapping'!$A$4:$A$33,0),MATCH(G657,'ei names mapping'!$B$3:$BK$3,0))</f>
        <v>air</v>
      </c>
      <c r="F657" s="12" t="s">
        <v>173</v>
      </c>
      <c r="G657" s="12" t="s">
        <v>605</v>
      </c>
      <c r="H657" s="12"/>
    </row>
    <row r="658" spans="1:8" s="21" customFormat="1" x14ac:dyDescent="0.3">
      <c r="A658" s="12" t="str">
        <f>INDEX('ei names mapping'!$B$4:$BK$33,MATCH(B$229,'ei names mapping'!$A$4:$A$33,0),MATCH(G658,'ei names mapping'!$B$3:$BK$3,0))</f>
        <v>Pentane</v>
      </c>
      <c r="B658" s="15">
        <f>INDEX('vehicles specifications'!$B$3:$CK$86,MATCH(B$617,'vehicles specifications'!$A$3:$A$86,0),MATCH(G658,'vehicles specifications'!$B$2:$CK$2,0))*INDEX('ei names mapping'!$B$137:$BK$220,MATCH(B$617,'ei names mapping'!$A$137:$A$220,0),MATCH(G658,'ei names mapping'!$B$136:$BK$136,0))</f>
        <v>1.8605267762624179E-5</v>
      </c>
      <c r="C658" s="12"/>
      <c r="D658" s="12" t="str">
        <f>INDEX('ei names mapping'!$B$104:$BK$133,MATCH(B$229,'ei names mapping'!$A$4:$A$33,0),MATCH(G658,'ei names mapping'!$B$3:$BK$3,0))</f>
        <v>kilogram</v>
      </c>
      <c r="E658" s="12" t="str">
        <f>INDEX('ei names mapping'!$B$225:$BK$255,MATCH(B$229,'ei names mapping'!$A$4:$A$33,0),MATCH(G658,'ei names mapping'!$B$3:$BK$3,0))</f>
        <v>air</v>
      </c>
      <c r="F658" s="12" t="s">
        <v>173</v>
      </c>
      <c r="G658" s="12" t="s">
        <v>606</v>
      </c>
      <c r="H658" s="12"/>
    </row>
    <row r="659" spans="1:8" s="21" customFormat="1" x14ac:dyDescent="0.3">
      <c r="A659" s="12" t="str">
        <f>INDEX('ei names mapping'!$B$4:$BK$33,MATCH(B$229,'ei names mapping'!$A$4:$A$33,0),MATCH(G659,'ei names mapping'!$B$3:$BK$3,0))</f>
        <v>Hexane</v>
      </c>
      <c r="B659" s="15">
        <f>INDEX('vehicles specifications'!$B$3:$CK$86,MATCH(B$617,'vehicles specifications'!$A$3:$A$86,0),MATCH(G659,'vehicles specifications'!$B$2:$CK$2,0))*INDEX('ei names mapping'!$B$137:$BK$220,MATCH(B$617,'ei names mapping'!$A$137:$A$220,0),MATCH(G659,'ei names mapping'!$B$136:$BK$136,0))</f>
        <v>1.3932316789686016E-5</v>
      </c>
      <c r="C659" s="12"/>
      <c r="D659" s="12" t="str">
        <f>INDEX('ei names mapping'!$B$104:$BK$133,MATCH(B$229,'ei names mapping'!$A$4:$A$33,0),MATCH(G659,'ei names mapping'!$B$3:$BK$3,0))</f>
        <v>kilogram</v>
      </c>
      <c r="E659" s="12" t="str">
        <f>INDEX('ei names mapping'!$B$225:$BK$255,MATCH(B$229,'ei names mapping'!$A$4:$A$33,0),MATCH(G659,'ei names mapping'!$B$3:$BK$3,0))</f>
        <v>air</v>
      </c>
      <c r="F659" s="12" t="s">
        <v>173</v>
      </c>
      <c r="G659" s="12" t="s">
        <v>607</v>
      </c>
      <c r="H659" s="12"/>
    </row>
    <row r="660" spans="1:8" s="21" customFormat="1" x14ac:dyDescent="0.3">
      <c r="A660" s="12" t="str">
        <f>INDEX('ei names mapping'!$B$4:$BK$33,MATCH(B$229,'ei names mapping'!$A$4:$A$33,0),MATCH(G660,'ei names mapping'!$B$3:$BK$3,0))</f>
        <v>Cyclohexane</v>
      </c>
      <c r="B660" s="15">
        <f>INDEX('vehicles specifications'!$B$3:$CK$86,MATCH(B$617,'vehicles specifications'!$A$3:$A$86,0),MATCH(G660,'vehicles specifications'!$B$2:$CK$2,0))*INDEX('ei names mapping'!$B$137:$BK$220,MATCH(B$617,'ei names mapping'!$A$137:$A$220,0),MATCH(G660,'ei names mapping'!$B$136:$BK$136,0))</f>
        <v>9.8651187206472398E-6</v>
      </c>
      <c r="C660" s="12"/>
      <c r="D660" s="12" t="str">
        <f>INDEX('ei names mapping'!$B$104:$BK$133,MATCH(B$229,'ei names mapping'!$A$4:$A$33,0),MATCH(G660,'ei names mapping'!$B$3:$BK$3,0))</f>
        <v>kilogram</v>
      </c>
      <c r="E660" s="12" t="str">
        <f>INDEX('ei names mapping'!$B$225:$BK$255,MATCH(B$229,'ei names mapping'!$A$4:$A$33,0),MATCH(G660,'ei names mapping'!$B$3:$BK$3,0))</f>
        <v>air</v>
      </c>
      <c r="F660" s="12" t="s">
        <v>173</v>
      </c>
      <c r="G660" s="12" t="s">
        <v>608</v>
      </c>
      <c r="H660" s="12"/>
    </row>
    <row r="661" spans="1:8" s="21" customFormat="1" x14ac:dyDescent="0.3">
      <c r="A661" s="12" t="str">
        <f>INDEX('ei names mapping'!$B$4:$BK$33,MATCH(B$229,'ei names mapping'!$A$4:$A$33,0),MATCH(G661,'ei names mapping'!$B$3:$BK$3,0))</f>
        <v>Heptane</v>
      </c>
      <c r="B661" s="15">
        <f>INDEX('vehicles specifications'!$B$3:$CK$86,MATCH(B$617,'vehicles specifications'!$A$3:$A$86,0),MATCH(G661,'vehicles specifications'!$B$2:$CK$2,0))*INDEX('ei names mapping'!$B$137:$BK$220,MATCH(B$617,'ei names mapping'!$A$137:$A$220,0),MATCH(G661,'ei names mapping'!$B$136:$BK$136,0))</f>
        <v>6.4036735555078573E-6</v>
      </c>
      <c r="C661" s="12"/>
      <c r="D661" s="12" t="str">
        <f>INDEX('ei names mapping'!$B$104:$BK$133,MATCH(B$229,'ei names mapping'!$A$4:$A$33,0),MATCH(G661,'ei names mapping'!$B$3:$BK$3,0))</f>
        <v>kilogram</v>
      </c>
      <c r="E661" s="12" t="str">
        <f>INDEX('ei names mapping'!$B$225:$BK$255,MATCH(B$229,'ei names mapping'!$A$4:$A$33,0),MATCH(G661,'ei names mapping'!$B$3:$BK$3,0))</f>
        <v>air</v>
      </c>
      <c r="F661" s="12" t="s">
        <v>173</v>
      </c>
      <c r="G661" s="12" t="s">
        <v>609</v>
      </c>
      <c r="H661" s="12"/>
    </row>
    <row r="662" spans="1:8" s="21" customFormat="1" x14ac:dyDescent="0.3">
      <c r="A662" s="12" t="str">
        <f>INDEX('ei names mapping'!$B$4:$BK$33,MATCH(B$229,'ei names mapping'!$A$4:$A$33,0),MATCH(G662,'ei names mapping'!$B$3:$BK$3,0))</f>
        <v>Ethene</v>
      </c>
      <c r="B662" s="15">
        <f>INDEX('vehicles specifications'!$B$3:$CK$86,MATCH(B$617,'vehicles specifications'!$A$3:$A$86,0),MATCH(G662,'vehicles specifications'!$B$2:$CK$2,0))*INDEX('ei names mapping'!$B$137:$BK$220,MATCH(B$617,'ei names mapping'!$A$137:$A$220,0),MATCH(G662,'ei names mapping'!$B$136:$BK$136,0))</f>
        <v>6.3171374263793726E-5</v>
      </c>
      <c r="C662" s="12"/>
      <c r="D662" s="12" t="str">
        <f>INDEX('ei names mapping'!$B$104:$BK$133,MATCH(B$229,'ei names mapping'!$A$4:$A$33,0),MATCH(G662,'ei names mapping'!$B$3:$BK$3,0))</f>
        <v>kilogram</v>
      </c>
      <c r="E662" s="12" t="str">
        <f>INDEX('ei names mapping'!$B$225:$BK$255,MATCH(B$229,'ei names mapping'!$A$4:$A$33,0),MATCH(G662,'ei names mapping'!$B$3:$BK$3,0))</f>
        <v>air</v>
      </c>
      <c r="F662" s="12" t="s">
        <v>173</v>
      </c>
      <c r="G662" s="12" t="s">
        <v>610</v>
      </c>
      <c r="H662" s="12"/>
    </row>
    <row r="663" spans="1:8" s="21" customFormat="1" x14ac:dyDescent="0.3">
      <c r="A663" s="12" t="str">
        <f>INDEX('ei names mapping'!$B$4:$BK$33,MATCH(B$229,'ei names mapping'!$A$4:$A$33,0),MATCH(G663,'ei names mapping'!$B$3:$BK$3,0))</f>
        <v>Propene</v>
      </c>
      <c r="B663" s="15">
        <f>INDEX('vehicles specifications'!$B$3:$CK$86,MATCH(B$617,'vehicles specifications'!$A$3:$A$86,0),MATCH(G663,'vehicles specifications'!$B$2:$CK$2,0))*INDEX('ei names mapping'!$B$137:$BK$220,MATCH(B$617,'ei names mapping'!$A$137:$A$220,0),MATCH(G663,'ei names mapping'!$B$136:$BK$136,0))</f>
        <v>3.3056801327081096E-5</v>
      </c>
      <c r="C663" s="12"/>
      <c r="D663" s="12" t="str">
        <f>INDEX('ei names mapping'!$B$104:$BK$133,MATCH(B$229,'ei names mapping'!$A$4:$A$33,0),MATCH(G663,'ei names mapping'!$B$3:$BK$3,0))</f>
        <v>kilogram</v>
      </c>
      <c r="E663" s="12" t="str">
        <f>INDEX('ei names mapping'!$B$225:$BK$255,MATCH(B$229,'ei names mapping'!$A$4:$A$33,0),MATCH(G663,'ei names mapping'!$B$3:$BK$3,0))</f>
        <v>air</v>
      </c>
      <c r="F663" s="12" t="s">
        <v>173</v>
      </c>
      <c r="G663" s="12" t="s">
        <v>611</v>
      </c>
      <c r="H663" s="12"/>
    </row>
    <row r="664" spans="1:8" s="21" customFormat="1" x14ac:dyDescent="0.3">
      <c r="A664" s="12" t="str">
        <f>INDEX('ei names mapping'!$B$4:$BK$33,MATCH(B$229,'ei names mapping'!$A$4:$A$33,0),MATCH(G664,'ei names mapping'!$B$3:$BK$3,0))</f>
        <v>1-Pentene</v>
      </c>
      <c r="B664" s="15">
        <f>INDEX('vehicles specifications'!$B$3:$CK$86,MATCH(B$617,'vehicles specifications'!$A$3:$A$86,0),MATCH(G664,'vehicles specifications'!$B$2:$CK$2,0))*INDEX('ei names mapping'!$B$137:$BK$220,MATCH(B$617,'ei names mapping'!$A$137:$A$220,0),MATCH(G664,'ei names mapping'!$B$136:$BK$136,0))</f>
        <v>9.5189742041333027E-7</v>
      </c>
      <c r="C664" s="12"/>
      <c r="D664" s="12" t="str">
        <f>INDEX('ei names mapping'!$B$104:$BK$133,MATCH(B$229,'ei names mapping'!$A$4:$A$33,0),MATCH(G664,'ei names mapping'!$B$3:$BK$3,0))</f>
        <v>kilogram</v>
      </c>
      <c r="E664" s="12" t="str">
        <f>INDEX('ei names mapping'!$B$225:$BK$255,MATCH(B$229,'ei names mapping'!$A$4:$A$33,0),MATCH(G664,'ei names mapping'!$B$3:$BK$3,0))</f>
        <v>air</v>
      </c>
      <c r="F664" s="12" t="s">
        <v>173</v>
      </c>
      <c r="G664" s="12" t="s">
        <v>612</v>
      </c>
      <c r="H664" s="12"/>
    </row>
    <row r="665" spans="1:8" s="21" customFormat="1" x14ac:dyDescent="0.3">
      <c r="A665" s="12" t="str">
        <f>INDEX('ei names mapping'!$B$4:$BK$33,MATCH(B$229,'ei names mapping'!$A$4:$A$33,0),MATCH(G665,'ei names mapping'!$B$3:$BK$3,0))</f>
        <v>Toluene</v>
      </c>
      <c r="B665" s="15">
        <f>INDEX('vehicles specifications'!$B$3:$CK$86,MATCH(B$617,'vehicles specifications'!$A$3:$A$86,0),MATCH(G665,'vehicles specifications'!$B$2:$CK$2,0))*INDEX('ei names mapping'!$B$137:$BK$220,MATCH(B$617,'ei names mapping'!$A$137:$A$220,0),MATCH(G665,'ei names mapping'!$B$136:$BK$136,0))</f>
        <v>9.5016669783076047E-5</v>
      </c>
      <c r="C665" s="12"/>
      <c r="D665" s="12" t="str">
        <f>INDEX('ei names mapping'!$B$104:$BK$133,MATCH(B$229,'ei names mapping'!$A$4:$A$33,0),MATCH(G665,'ei names mapping'!$B$3:$BK$3,0))</f>
        <v>kilogram</v>
      </c>
      <c r="E665" s="12" t="str">
        <f>INDEX('ei names mapping'!$B$225:$BK$255,MATCH(B$229,'ei names mapping'!$A$4:$A$33,0),MATCH(G665,'ei names mapping'!$B$3:$BK$3,0))</f>
        <v>air</v>
      </c>
      <c r="F665" s="12" t="s">
        <v>173</v>
      </c>
      <c r="G665" s="12" t="s">
        <v>613</v>
      </c>
      <c r="H665" s="12"/>
    </row>
    <row r="666" spans="1:8" s="21" customFormat="1" x14ac:dyDescent="0.3">
      <c r="A666" s="12" t="str">
        <f>INDEX('ei names mapping'!$B$4:$BK$33,MATCH(B$229,'ei names mapping'!$A$4:$A$33,0),MATCH(G666,'ei names mapping'!$B$3:$BK$3,0))</f>
        <v>m-Xylene</v>
      </c>
      <c r="B666" s="15">
        <f>INDEX('vehicles specifications'!$B$3:$CK$86,MATCH(B$617,'vehicles specifications'!$A$3:$A$86,0),MATCH(G666,'vehicles specifications'!$B$2:$CK$2,0))*INDEX('ei names mapping'!$B$137:$BK$220,MATCH(B$617,'ei names mapping'!$A$137:$A$220,0),MATCH(G666,'ei names mapping'!$B$136:$BK$136,0))</f>
        <v>4.698911811676712E-5</v>
      </c>
      <c r="C666" s="12"/>
      <c r="D666" s="12" t="str">
        <f>INDEX('ei names mapping'!$B$104:$BK$133,MATCH(B$229,'ei names mapping'!$A$4:$A$33,0),MATCH(G666,'ei names mapping'!$B$3:$BK$3,0))</f>
        <v>kilogram</v>
      </c>
      <c r="E666" s="12" t="str">
        <f>INDEX('ei names mapping'!$B$225:$BK$255,MATCH(B$229,'ei names mapping'!$A$4:$A$33,0),MATCH(G666,'ei names mapping'!$B$3:$BK$3,0))</f>
        <v>air</v>
      </c>
      <c r="F666" s="12" t="s">
        <v>173</v>
      </c>
      <c r="G666" s="12" t="s">
        <v>614</v>
      </c>
      <c r="H666" s="12"/>
    </row>
    <row r="667" spans="1:8" s="21" customFormat="1" x14ac:dyDescent="0.3">
      <c r="A667" s="12" t="str">
        <f>INDEX('ei names mapping'!$B$4:$BK$33,MATCH(B$229,'ei names mapping'!$A$4:$A$33,0),MATCH(G667,'ei names mapping'!$B$3:$BK$3,0))</f>
        <v>o-Xylene</v>
      </c>
      <c r="B667" s="15">
        <f>INDEX('vehicles specifications'!$B$3:$CK$86,MATCH(B$617,'vehicles specifications'!$A$3:$A$86,0),MATCH(G667,'vehicles specifications'!$B$2:$CK$2,0))*INDEX('ei names mapping'!$B$137:$BK$220,MATCH(B$617,'ei names mapping'!$A$137:$A$220,0),MATCH(G667,'ei names mapping'!$B$136:$BK$136,0))</f>
        <v>1.9557165183037508E-5</v>
      </c>
      <c r="C667" s="12"/>
      <c r="D667" s="12" t="str">
        <f>INDEX('ei names mapping'!$B$104:$BK$133,MATCH(B$229,'ei names mapping'!$A$4:$A$33,0),MATCH(G667,'ei names mapping'!$B$3:$BK$3,0))</f>
        <v>kilogram</v>
      </c>
      <c r="E667" s="12" t="str">
        <f>INDEX('ei names mapping'!$B$225:$BK$255,MATCH(B$229,'ei names mapping'!$A$4:$A$33,0),MATCH(G667,'ei names mapping'!$B$3:$BK$3,0))</f>
        <v>air</v>
      </c>
      <c r="F667" s="12" t="s">
        <v>173</v>
      </c>
      <c r="G667" s="12" t="s">
        <v>615</v>
      </c>
      <c r="H667" s="12"/>
    </row>
    <row r="668" spans="1:8" s="21" customFormat="1" x14ac:dyDescent="0.3">
      <c r="A668" s="12" t="str">
        <f>INDEX('ei names mapping'!$B$4:$BK$33,MATCH(B$229,'ei names mapping'!$A$4:$A$33,0),MATCH(G668,'ei names mapping'!$B$3:$BK$3,0))</f>
        <v>Formaldehyde</v>
      </c>
      <c r="B668" s="15">
        <f>INDEX('vehicles specifications'!$B$3:$CK$86,MATCH(B$617,'vehicles specifications'!$A$3:$A$86,0),MATCH(G668,'vehicles specifications'!$B$2:$CK$2,0))*INDEX('ei names mapping'!$B$137:$BK$220,MATCH(B$617,'ei names mapping'!$A$137:$A$220,0),MATCH(G668,'ei names mapping'!$B$136:$BK$136,0))</f>
        <v>1.4711141951842378E-5</v>
      </c>
      <c r="C668" s="12"/>
      <c r="D668" s="12" t="str">
        <f>INDEX('ei names mapping'!$B$104:$BK$133,MATCH(B$229,'ei names mapping'!$A$4:$A$33,0),MATCH(G668,'ei names mapping'!$B$3:$BK$3,0))</f>
        <v>kilogram</v>
      </c>
      <c r="E668" s="12" t="str">
        <f>INDEX('ei names mapping'!$B$225:$BK$255,MATCH(B$229,'ei names mapping'!$A$4:$A$33,0),MATCH(G668,'ei names mapping'!$B$3:$BK$3,0))</f>
        <v>air</v>
      </c>
      <c r="F668" s="12" t="s">
        <v>173</v>
      </c>
      <c r="G668" s="12" t="s">
        <v>616</v>
      </c>
      <c r="H668" s="12"/>
    </row>
    <row r="669" spans="1:8" s="21" customFormat="1" x14ac:dyDescent="0.3">
      <c r="A669" s="12" t="str">
        <f>INDEX('ei names mapping'!$B$4:$BK$33,MATCH(B$229,'ei names mapping'!$A$4:$A$33,0),MATCH(G669,'ei names mapping'!$B$3:$BK$3,0))</f>
        <v>Acetaldehyde</v>
      </c>
      <c r="B669" s="15">
        <f>INDEX('vehicles specifications'!$B$3:$CK$86,MATCH(B$617,'vehicles specifications'!$A$3:$A$86,0),MATCH(G669,'vehicles specifications'!$B$2:$CK$2,0))*INDEX('ei names mapping'!$B$137:$BK$220,MATCH(B$617,'ei names mapping'!$A$137:$A$220,0),MATCH(G669,'ei names mapping'!$B$136:$BK$136,0))</f>
        <v>6.4902096846363412E-6</v>
      </c>
      <c r="C669" s="12"/>
      <c r="D669" s="12" t="str">
        <f>INDEX('ei names mapping'!$B$104:$BK$133,MATCH(B$229,'ei names mapping'!$A$4:$A$33,0),MATCH(G669,'ei names mapping'!$B$3:$BK$3,0))</f>
        <v>kilogram</v>
      </c>
      <c r="E669" s="12" t="str">
        <f>INDEX('ei names mapping'!$B$225:$BK$255,MATCH(B$229,'ei names mapping'!$A$4:$A$33,0),MATCH(G669,'ei names mapping'!$B$3:$BK$3,0))</f>
        <v>air</v>
      </c>
      <c r="F669" s="12" t="s">
        <v>173</v>
      </c>
      <c r="G669" s="12" t="s">
        <v>617</v>
      </c>
      <c r="H669" s="12"/>
    </row>
    <row r="670" spans="1:8" s="21" customFormat="1" x14ac:dyDescent="0.3">
      <c r="A670" s="12" t="str">
        <f>INDEX('ei names mapping'!$B$4:$BK$33,MATCH(B$229,'ei names mapping'!$A$4:$A$33,0),MATCH(G670,'ei names mapping'!$B$3:$BK$3,0))</f>
        <v>Benzaldehyde</v>
      </c>
      <c r="B670" s="15">
        <f>INDEX('vehicles specifications'!$B$3:$CK$86,MATCH(B$617,'vehicles specifications'!$A$3:$A$86,0),MATCH(G670,'vehicles specifications'!$B$2:$CK$2,0))*INDEX('ei names mapping'!$B$137:$BK$220,MATCH(B$617,'ei names mapping'!$A$137:$A$220,0),MATCH(G670,'ei names mapping'!$B$136:$BK$136,0))</f>
        <v>1.9037948408266605E-6</v>
      </c>
      <c r="C670" s="12"/>
      <c r="D670" s="12" t="str">
        <f>INDEX('ei names mapping'!$B$104:$BK$133,MATCH(B$229,'ei names mapping'!$A$4:$A$33,0),MATCH(G670,'ei names mapping'!$B$3:$BK$3,0))</f>
        <v>kilogram</v>
      </c>
      <c r="E670" s="12" t="str">
        <f>INDEX('ei names mapping'!$B$225:$BK$255,MATCH(B$229,'ei names mapping'!$A$4:$A$33,0),MATCH(G670,'ei names mapping'!$B$3:$BK$3,0))</f>
        <v>air</v>
      </c>
      <c r="F670" s="12" t="s">
        <v>173</v>
      </c>
      <c r="G670" s="12" t="s">
        <v>618</v>
      </c>
      <c r="H670" s="12"/>
    </row>
    <row r="671" spans="1:8" s="21" customFormat="1" x14ac:dyDescent="0.3">
      <c r="A671" s="12" t="str">
        <f>INDEX('ei names mapping'!$B$4:$BK$33,MATCH(B$229,'ei names mapping'!$A$4:$A$33,0),MATCH(G671,'ei names mapping'!$B$3:$BK$3,0))</f>
        <v>Acetone</v>
      </c>
      <c r="B671" s="15">
        <f>INDEX('vehicles specifications'!$B$3:$CK$86,MATCH(B$617,'vehicles specifications'!$A$3:$A$86,0),MATCH(G671,'vehicles specifications'!$B$2:$CK$2,0))*INDEX('ei names mapping'!$B$137:$BK$220,MATCH(B$617,'ei names mapping'!$A$137:$A$220,0),MATCH(G671,'ei names mapping'!$B$136:$BK$136,0))</f>
        <v>5.2787038768375589E-6</v>
      </c>
      <c r="C671" s="12"/>
      <c r="D671" s="12" t="str">
        <f>INDEX('ei names mapping'!$B$104:$BK$133,MATCH(B$229,'ei names mapping'!$A$4:$A$33,0),MATCH(G671,'ei names mapping'!$B$3:$BK$3,0))</f>
        <v>kilogram</v>
      </c>
      <c r="E671" s="12" t="str">
        <f>INDEX('ei names mapping'!$B$225:$BK$255,MATCH(B$229,'ei names mapping'!$A$4:$A$33,0),MATCH(G671,'ei names mapping'!$B$3:$BK$3,0))</f>
        <v>air</v>
      </c>
      <c r="F671" s="12" t="s">
        <v>173</v>
      </c>
      <c r="G671" s="12" t="s">
        <v>619</v>
      </c>
      <c r="H671" s="12"/>
    </row>
    <row r="672" spans="1:8" s="21" customFormat="1" x14ac:dyDescent="0.3">
      <c r="A672" s="12" t="str">
        <f>INDEX('ei names mapping'!$B$4:$BK$33,MATCH(B$229,'ei names mapping'!$A$4:$A$33,0),MATCH(G672,'ei names mapping'!$B$3:$BK$3,0))</f>
        <v>Methyl ethyl ketone</v>
      </c>
      <c r="B672" s="15">
        <f>INDEX('vehicles specifications'!$B$3:$CK$86,MATCH(B$617,'vehicles specifications'!$A$3:$A$86,0),MATCH(G672,'vehicles specifications'!$B$2:$CK$2,0))*INDEX('ei names mapping'!$B$137:$BK$220,MATCH(B$617,'ei names mapping'!$A$137:$A$220,0),MATCH(G672,'ei names mapping'!$B$136:$BK$136,0))</f>
        <v>0</v>
      </c>
      <c r="C672" s="12"/>
      <c r="D672" s="12" t="str">
        <f>INDEX('ei names mapping'!$B$104:$BK$133,MATCH(B$229,'ei names mapping'!$A$4:$A$33,0),MATCH(G672,'ei names mapping'!$B$3:$BK$3,0))</f>
        <v>kilogram</v>
      </c>
      <c r="E672" s="12" t="str">
        <f>INDEX('ei names mapping'!$B$225:$BK$255,MATCH(B$229,'ei names mapping'!$A$4:$A$33,0),MATCH(G672,'ei names mapping'!$B$3:$BK$3,0))</f>
        <v>air</v>
      </c>
      <c r="F672" s="12" t="s">
        <v>173</v>
      </c>
      <c r="G672" s="12" t="s">
        <v>622</v>
      </c>
      <c r="H672" s="12"/>
    </row>
    <row r="673" spans="1:8" s="21" customFormat="1" x14ac:dyDescent="0.3">
      <c r="A673" s="12" t="str">
        <f>INDEX('ei names mapping'!$B$4:$BK$33,MATCH(B$229,'ei names mapping'!$A$4:$A$33,0),MATCH(G673,'ei names mapping'!$B$3:$BK$3,0))</f>
        <v>Acrolein</v>
      </c>
      <c r="B673" s="15">
        <f>INDEX('vehicles specifications'!$B$3:$CK$86,MATCH(B$617,'vehicles specifications'!$A$3:$A$86,0),MATCH(G673,'vehicles specifications'!$B$2:$CK$2,0))*INDEX('ei names mapping'!$B$137:$BK$220,MATCH(B$617,'ei names mapping'!$A$137:$A$220,0),MATCH(G673,'ei names mapping'!$B$136:$BK$136,0))</f>
        <v>1.6441864534412067E-6</v>
      </c>
      <c r="C673" s="12"/>
      <c r="D673" s="12" t="str">
        <f>INDEX('ei names mapping'!$B$104:$BK$133,MATCH(B$229,'ei names mapping'!$A$4:$A$33,0),MATCH(G673,'ei names mapping'!$B$3:$BK$3,0))</f>
        <v>kilogram</v>
      </c>
      <c r="E673" s="12" t="str">
        <f>INDEX('ei names mapping'!$B$225:$BK$255,MATCH(B$229,'ei names mapping'!$A$4:$A$33,0),MATCH(G673,'ei names mapping'!$B$3:$BK$3,0))</f>
        <v>air</v>
      </c>
      <c r="F673" s="12" t="s">
        <v>173</v>
      </c>
      <c r="G673" s="12" t="s">
        <v>620</v>
      </c>
      <c r="H673" s="12"/>
    </row>
    <row r="674" spans="1:8" s="21" customFormat="1" x14ac:dyDescent="0.3">
      <c r="A674" s="12" t="str">
        <f>INDEX('ei names mapping'!$B$4:$BK$33,MATCH(B$229,'ei names mapping'!$A$4:$A$33,0),MATCH(G674,'ei names mapping'!$B$3:$BK$3,0))</f>
        <v>Styrene</v>
      </c>
      <c r="B674" s="15">
        <f>INDEX('vehicles specifications'!$B$3:$CK$86,MATCH(B$617,'vehicles specifications'!$A$3:$A$86,0),MATCH(G674,'vehicles specifications'!$B$2:$CK$2,0))*INDEX('ei names mapping'!$B$137:$BK$220,MATCH(B$617,'ei names mapping'!$A$137:$A$220,0),MATCH(G674,'ei names mapping'!$B$136:$BK$136,0))</f>
        <v>8.7401490419769389E-6</v>
      </c>
      <c r="C674" s="12"/>
      <c r="D674" s="12" t="str">
        <f>INDEX('ei names mapping'!$B$104:$BK$133,MATCH(B$229,'ei names mapping'!$A$4:$A$33,0),MATCH(G674,'ei names mapping'!$B$3:$BK$3,0))</f>
        <v>kilogram</v>
      </c>
      <c r="E674" s="12" t="str">
        <f>INDEX('ei names mapping'!$B$225:$BK$255,MATCH(B$229,'ei names mapping'!$A$4:$A$33,0),MATCH(G674,'ei names mapping'!$B$3:$BK$3,0))</f>
        <v>air</v>
      </c>
      <c r="F674" s="12" t="s">
        <v>173</v>
      </c>
      <c r="G674" s="12" t="s">
        <v>621</v>
      </c>
      <c r="H674" s="12"/>
    </row>
    <row r="675" spans="1:8" s="21" customFormat="1" x14ac:dyDescent="0.3">
      <c r="A675" s="12" t="str">
        <f>INDEX('ei names mapping'!$B$4:$BK$33,MATCH(B$229,'ei names mapping'!$A$4:$A$33,0),MATCH(G675,'ei names mapping'!$B$3:$BK$3,0))</f>
        <v>PAH, polycyclic aromatic hydrocarbons</v>
      </c>
      <c r="B675" s="15">
        <f>INDEX('vehicles specifications'!$B$3:$CK$86,MATCH(B$617,'vehicles specifications'!$A$3:$A$86,0),MATCH(G675,'vehicles specifications'!$B$2:$CK$2,0))*INDEX('ei names mapping'!$B$137:$BK$220,MATCH(B$617,'ei names mapping'!$A$137:$A$220,0),MATCH(G675,'ei names mapping'!$B$136:$BK$136,0))</f>
        <v>2.7785643076319082E-8</v>
      </c>
      <c r="C675" s="12"/>
      <c r="D675" s="12" t="str">
        <f>INDEX('ei names mapping'!$B$104:$BK$133,MATCH(B$229,'ei names mapping'!$A$4:$A$33,0),MATCH(G675,'ei names mapping'!$B$3:$BK$3,0))</f>
        <v>kilogram</v>
      </c>
      <c r="E675" s="12" t="str">
        <f>INDEX('ei names mapping'!$B$225:$BK$255,MATCH(B$229,'ei names mapping'!$A$4:$A$33,0),MATCH(G675,'ei names mapping'!$B$3:$BK$3,0))</f>
        <v>air</v>
      </c>
      <c r="F675" s="12" t="s">
        <v>173</v>
      </c>
      <c r="G675" s="12" t="s">
        <v>623</v>
      </c>
      <c r="H675" s="12"/>
    </row>
    <row r="676" spans="1:8" s="21" customFormat="1" x14ac:dyDescent="0.3">
      <c r="A676" s="12" t="str">
        <f>INDEX('ei names mapping'!$B$4:$BK$33,MATCH(B$229,'ei names mapping'!$A$4:$A$33,0),MATCH(G676,'ei names mapping'!$B$3:$BK$3,0))</f>
        <v>Arsenic</v>
      </c>
      <c r="B676" s="15">
        <f>INDEX('vehicles specifications'!$B$3:$CK$86,MATCH(B$617,'vehicles specifications'!$A$3:$A$86,0),MATCH(G676,'vehicles specifications'!$B$2:$CK$2,0))*INDEX('ei names mapping'!$B$137:$BK$220,MATCH(B$617,'ei names mapping'!$A$137:$A$220,0),MATCH(G676,'ei names mapping'!$B$136:$BK$136,0))</f>
        <v>2.3953140583033693E-10</v>
      </c>
      <c r="C676" s="12"/>
      <c r="D676" s="12" t="str">
        <f>INDEX('ei names mapping'!$B$104:$BK$133,MATCH(B$229,'ei names mapping'!$A$4:$A$33,0),MATCH(G676,'ei names mapping'!$B$3:$BK$3,0))</f>
        <v>kilogram</v>
      </c>
      <c r="E676" s="12" t="str">
        <f>INDEX('ei names mapping'!$B$225:$BK$255,MATCH(B$229,'ei names mapping'!$A$4:$A$33,0),MATCH(G676,'ei names mapping'!$B$3:$BK$3,0))</f>
        <v>air</v>
      </c>
      <c r="F676" s="12" t="s">
        <v>173</v>
      </c>
      <c r="G676" s="12" t="s">
        <v>624</v>
      </c>
      <c r="H676" s="12"/>
    </row>
    <row r="677" spans="1:8" s="21" customFormat="1" x14ac:dyDescent="0.3">
      <c r="A677" s="12" t="str">
        <f>INDEX('ei names mapping'!$B$4:$BK$33,MATCH(B$229,'ei names mapping'!$A$4:$A$33,0),MATCH(G677,'ei names mapping'!$B$3:$BK$3,0))</f>
        <v>Selenium</v>
      </c>
      <c r="B677" s="15">
        <f>INDEX('vehicles specifications'!$B$3:$CK$86,MATCH(B$617,'vehicles specifications'!$A$3:$A$86,0),MATCH(G677,'vehicles specifications'!$B$2:$CK$2,0))*INDEX('ei names mapping'!$B$137:$BK$220,MATCH(B$617,'ei names mapping'!$A$137:$A$220,0),MATCH(G677,'ei names mapping'!$B$136:$BK$136,0))</f>
        <v>1.5968760388689128E-10</v>
      </c>
      <c r="C677" s="12"/>
      <c r="D677" s="12" t="str">
        <f>INDEX('ei names mapping'!$B$104:$BK$133,MATCH(B$229,'ei names mapping'!$A$4:$A$33,0),MATCH(G677,'ei names mapping'!$B$3:$BK$3,0))</f>
        <v>kilogram</v>
      </c>
      <c r="E677" s="12" t="str">
        <f>INDEX('ei names mapping'!$B$225:$BK$255,MATCH(B$229,'ei names mapping'!$A$4:$A$33,0),MATCH(G677,'ei names mapping'!$B$3:$BK$3,0))</f>
        <v>air</v>
      </c>
      <c r="F677" s="12" t="s">
        <v>173</v>
      </c>
      <c r="G677" s="12" t="s">
        <v>625</v>
      </c>
      <c r="H677" s="12"/>
    </row>
    <row r="678" spans="1:8" s="21" customFormat="1" x14ac:dyDescent="0.3">
      <c r="A678" s="12" t="str">
        <f>INDEX('ei names mapping'!$B$4:$BK$33,MATCH(B$229,'ei names mapping'!$A$4:$A$33,0),MATCH(G678,'ei names mapping'!$B$3:$BK$3,0))</f>
        <v>Zinc</v>
      </c>
      <c r="B678" s="15">
        <f>INDEX('vehicles specifications'!$B$3:$CK$86,MATCH(B$617,'vehicles specifications'!$A$3:$A$86,0),MATCH(G678,'vehicles specifications'!$B$2:$CK$2,0))*INDEX('ei names mapping'!$B$137:$BK$220,MATCH(B$617,'ei names mapping'!$A$137:$A$220,0),MATCH(G678,'ei names mapping'!$B$136:$BK$136,0))</f>
        <v>1.7246261219784257E-6</v>
      </c>
      <c r="C678" s="12"/>
      <c r="D678" s="12" t="str">
        <f>INDEX('ei names mapping'!$B$104:$BK$133,MATCH(B$229,'ei names mapping'!$A$4:$A$33,0),MATCH(G678,'ei names mapping'!$B$3:$BK$3,0))</f>
        <v>kilogram</v>
      </c>
      <c r="E678" s="12" t="str">
        <f>INDEX('ei names mapping'!$B$225:$BK$255,MATCH(B$229,'ei names mapping'!$A$4:$A$33,0),MATCH(G678,'ei names mapping'!$B$3:$BK$3,0))</f>
        <v>air</v>
      </c>
      <c r="F678" s="12" t="s">
        <v>173</v>
      </c>
      <c r="G678" s="12" t="s">
        <v>626</v>
      </c>
      <c r="H678" s="12"/>
    </row>
    <row r="679" spans="1:8" s="21" customFormat="1" x14ac:dyDescent="0.3">
      <c r="A679" s="12" t="str">
        <f>INDEX('ei names mapping'!$B$4:$BK$33,MATCH(B$229,'ei names mapping'!$A$4:$A$33,0),MATCH(G679,'ei names mapping'!$B$3:$BK$3,0))</f>
        <v>Copper</v>
      </c>
      <c r="B679" s="15">
        <f>INDEX('vehicles specifications'!$B$3:$CK$86,MATCH(B$617,'vehicles specifications'!$A$3:$A$86,0),MATCH(G679,'vehicles specifications'!$B$2:$CK$2,0))*INDEX('ei names mapping'!$B$137:$BK$220,MATCH(B$617,'ei names mapping'!$A$137:$A$220,0),MATCH(G679,'ei names mapping'!$B$136:$BK$136,0))</f>
        <v>3.3534396816247166E-8</v>
      </c>
      <c r="C679" s="12"/>
      <c r="D679" s="12" t="str">
        <f>INDEX('ei names mapping'!$B$104:$BK$133,MATCH(B$229,'ei names mapping'!$A$4:$A$33,0),MATCH(G679,'ei names mapping'!$B$3:$BK$3,0))</f>
        <v>kilogram</v>
      </c>
      <c r="E679" s="12" t="str">
        <f>INDEX('ei names mapping'!$B$225:$BK$255,MATCH(B$229,'ei names mapping'!$A$4:$A$33,0),MATCH(G679,'ei names mapping'!$B$3:$BK$3,0))</f>
        <v>air</v>
      </c>
      <c r="F679" s="12" t="s">
        <v>173</v>
      </c>
      <c r="G679" s="12" t="s">
        <v>581</v>
      </c>
      <c r="H679" s="12"/>
    </row>
    <row r="680" spans="1:8" s="21" customFormat="1" x14ac:dyDescent="0.3">
      <c r="A680" s="12" t="str">
        <f>INDEX('ei names mapping'!$B$4:$BK$33,MATCH(B$229,'ei names mapping'!$A$4:$A$33,0),MATCH(G680,'ei names mapping'!$B$3:$BK$3,0))</f>
        <v>Nickel</v>
      </c>
      <c r="B680" s="15">
        <f>INDEX('vehicles specifications'!$B$3:$CK$86,MATCH(B$617,'vehicles specifications'!$A$3:$A$86,0),MATCH(G680,'vehicles specifications'!$B$2:$CK$2,0))*INDEX('ei names mapping'!$B$137:$BK$220,MATCH(B$617,'ei names mapping'!$A$137:$A$220,0),MATCH(G680,'ei names mapping'!$B$136:$BK$136,0))</f>
        <v>1.0379694252647933E-8</v>
      </c>
      <c r="C680" s="12"/>
      <c r="D680" s="12" t="str">
        <f>INDEX('ei names mapping'!$B$104:$BK$133,MATCH(B$229,'ei names mapping'!$A$4:$A$33,0),MATCH(G680,'ei names mapping'!$B$3:$BK$3,0))</f>
        <v>kilogram</v>
      </c>
      <c r="E680" s="12" t="str">
        <f>INDEX('ei names mapping'!$B$225:$BK$255,MATCH(B$229,'ei names mapping'!$A$4:$A$33,0),MATCH(G680,'ei names mapping'!$B$3:$BK$3,0))</f>
        <v>air</v>
      </c>
      <c r="F680" s="12" t="s">
        <v>173</v>
      </c>
      <c r="G680" s="12" t="s">
        <v>583</v>
      </c>
      <c r="H680" s="12"/>
    </row>
    <row r="681" spans="1:8" s="21" customFormat="1" x14ac:dyDescent="0.3">
      <c r="A681" s="12" t="str">
        <f>INDEX('ei names mapping'!$B$4:$BK$33,MATCH(B$229,'ei names mapping'!$A$4:$A$33,0),MATCH(G681,'ei names mapping'!$B$3:$BK$3,0))</f>
        <v>Chromium</v>
      </c>
      <c r="B681" s="15">
        <f>INDEX('vehicles specifications'!$B$3:$CK$86,MATCH(B$617,'vehicles specifications'!$A$3:$A$86,0),MATCH(G681,'vehicles specifications'!$B$2:$CK$2,0))*INDEX('ei names mapping'!$B$137:$BK$220,MATCH(B$617,'ei names mapping'!$A$137:$A$220,0),MATCH(G681,'ei names mapping'!$B$136:$BK$136,0))</f>
        <v>1.2775008310951305E-8</v>
      </c>
      <c r="C681" s="12"/>
      <c r="D681" s="12" t="str">
        <f>INDEX('ei names mapping'!$B$104:$BK$133,MATCH(B$229,'ei names mapping'!$A$4:$A$33,0),MATCH(G681,'ei names mapping'!$B$3:$BK$3,0))</f>
        <v>kilogram</v>
      </c>
      <c r="E681" s="12" t="str">
        <f>INDEX('ei names mapping'!$B$225:$BK$255,MATCH(B$229,'ei names mapping'!$A$4:$A$33,0),MATCH(G681,'ei names mapping'!$B$3:$BK$3,0))</f>
        <v>air</v>
      </c>
      <c r="F681" s="12" t="s">
        <v>173</v>
      </c>
      <c r="G681" s="12" t="s">
        <v>582</v>
      </c>
      <c r="H681" s="12"/>
    </row>
    <row r="682" spans="1:8" s="21" customFormat="1" x14ac:dyDescent="0.3">
      <c r="A682" s="12" t="str">
        <f>INDEX('ei names mapping'!$B$4:$BK$33,MATCH(B$229,'ei names mapping'!$A$4:$A$33,0),MATCH(G682,'ei names mapping'!$B$3:$BK$3,0))</f>
        <v>Chromium VI</v>
      </c>
      <c r="B682" s="15">
        <f>INDEX('vehicles specifications'!$B$3:$CK$86,MATCH(B$617,'vehicles specifications'!$A$3:$A$86,0),MATCH(G682,'vehicles specifications'!$B$2:$CK$2,0))*INDEX('ei names mapping'!$B$137:$BK$220,MATCH(B$617,'ei names mapping'!$A$137:$A$220,0),MATCH(G682,'ei names mapping'!$B$136:$BK$136,0))</f>
        <v>2.5550016621902604E-11</v>
      </c>
      <c r="C682" s="12"/>
      <c r="D682" s="12" t="str">
        <f>INDEX('ei names mapping'!$B$104:$BK$133,MATCH(B$229,'ei names mapping'!$A$4:$A$33,0),MATCH(G682,'ei names mapping'!$B$3:$BK$3,0))</f>
        <v>kilogram</v>
      </c>
      <c r="E682" s="12" t="str">
        <f>INDEX('ei names mapping'!$B$225:$BK$255,MATCH(B$229,'ei names mapping'!$A$4:$A$33,0),MATCH(G682,'ei names mapping'!$B$3:$BK$3,0))</f>
        <v>air</v>
      </c>
      <c r="F682" s="12" t="s">
        <v>173</v>
      </c>
      <c r="G682" s="12" t="s">
        <v>629</v>
      </c>
      <c r="H682" s="12"/>
    </row>
    <row r="683" spans="1:8" s="21" customFormat="1" x14ac:dyDescent="0.3">
      <c r="A683" s="12" t="str">
        <f>INDEX('ei names mapping'!$B$4:$BK$33,MATCH(B$229,'ei names mapping'!$A$4:$A$33,0),MATCH(G683,'ei names mapping'!$B$3:$BK$3,0))</f>
        <v>Mercury</v>
      </c>
      <c r="B683" s="15">
        <f>INDEX('vehicles specifications'!$B$3:$CK$86,MATCH(B$617,'vehicles specifications'!$A$3:$A$86,0),MATCH(G683,'vehicles specifications'!$B$2:$CK$2,0))*INDEX('ei names mapping'!$B$137:$BK$220,MATCH(B$617,'ei names mapping'!$A$137:$A$220,0),MATCH(G683,'ei names mapping'!$B$136:$BK$136,0))</f>
        <v>6.9464107690797704E-9</v>
      </c>
      <c r="C683" s="12"/>
      <c r="D683" s="12" t="str">
        <f>INDEX('ei names mapping'!$B$104:$BK$133,MATCH(B$229,'ei names mapping'!$A$4:$A$33,0),MATCH(G683,'ei names mapping'!$B$3:$BK$3,0))</f>
        <v>kilogram</v>
      </c>
      <c r="E683" s="12" t="str">
        <f>INDEX('ei names mapping'!$B$225:$BK$255,MATCH(B$229,'ei names mapping'!$A$4:$A$33,0),MATCH(G683,'ei names mapping'!$B$3:$BK$3,0))</f>
        <v>air</v>
      </c>
      <c r="F683" s="12" t="s">
        <v>173</v>
      </c>
      <c r="G683" s="12" t="s">
        <v>627</v>
      </c>
      <c r="H683" s="12"/>
    </row>
    <row r="684" spans="1:8" s="21" customFormat="1" x14ac:dyDescent="0.3">
      <c r="A684" s="12" t="str">
        <f>INDEX('ei names mapping'!$B$4:$BK$33,MATCH(B$229,'ei names mapping'!$A$4:$A$33,0),MATCH(G684,'ei names mapping'!$B$3:$BK$3,0))</f>
        <v>Cadmium</v>
      </c>
      <c r="B684" s="15">
        <f>INDEX('vehicles specifications'!$B$3:$CK$86,MATCH(B$617,'vehicles specifications'!$A$3:$A$86,0),MATCH(G684,'vehicles specifications'!$B$2:$CK$2,0))*INDEX('ei names mapping'!$B$137:$BK$220,MATCH(B$617,'ei names mapping'!$A$137:$A$220,0),MATCH(G684,'ei names mapping'!$B$136:$BK$136,0))</f>
        <v>8.6231306098921297E-9</v>
      </c>
      <c r="C684" s="12"/>
      <c r="D684" s="12" t="str">
        <f>INDEX('ei names mapping'!$B$104:$BK$133,MATCH(B$229,'ei names mapping'!$A$4:$A$33,0),MATCH(G684,'ei names mapping'!$B$3:$BK$3,0))</f>
        <v>kilogram</v>
      </c>
      <c r="E684" s="12" t="str">
        <f>INDEX('ei names mapping'!$B$225:$BK$255,MATCH(B$229,'ei names mapping'!$A$4:$A$33,0),MATCH(G684,'ei names mapping'!$B$3:$BK$3,0))</f>
        <v>air</v>
      </c>
      <c r="F684" s="12" t="s">
        <v>173</v>
      </c>
      <c r="G684" s="12" t="s">
        <v>628</v>
      </c>
      <c r="H684" s="12"/>
    </row>
    <row r="685" spans="1:8" x14ac:dyDescent="0.3">
      <c r="A685" s="12" t="str">
        <f>INDEX('ei names mapping'!$B$4:$BK$33,MATCH(B614,'ei names mapping'!$A$4:$A$33,0),MATCH(G685,'ei names mapping'!$B$3:$BK$3,0))</f>
        <v>treatment of road wear emissions, passenger car</v>
      </c>
      <c r="B685" s="16">
        <f>INDEX('vehicles specifications'!$B$3:$CK$86,MATCH(B617,'vehicles specifications'!$A$3:$A$86,0),MATCH(G685,'vehicles specifications'!$B$2:$CK$2,0))*INDEX('ei names mapping'!$B$137:$BK$220,MATCH(B617,'ei names mapping'!$A$137:$A$220,0),MATCH(G685,'ei names mapping'!$B$136:$BK$136,0))</f>
        <v>-6.0000000000000002E-6</v>
      </c>
      <c r="C685" s="12" t="str">
        <f>INDEX('ei names mapping'!$B$38:$BK$67,MATCH(B614,'ei names mapping'!$A$4:$A$33,0),MATCH(G685,'ei names mapping'!$B$3:$BK$3,0))</f>
        <v>RER</v>
      </c>
      <c r="D685" s="12" t="str">
        <f>INDEX('ei names mapping'!$B$104:$BK$133,MATCH(B614,'ei names mapping'!$A$4:$A$33,0),MATCH(G685,'ei names mapping'!$B$3:$BK$3,0))</f>
        <v>kilogram</v>
      </c>
      <c r="E685" s="12"/>
      <c r="F685" s="12" t="s">
        <v>91</v>
      </c>
      <c r="G685" t="s">
        <v>29</v>
      </c>
      <c r="H685" s="12" t="str">
        <f>INDEX('ei names mapping'!$B$71:$BK$100,MATCH(B614,'ei names mapping'!$A$4:$A$33,0),MATCH(G685,'ei names mapping'!$B$3:$BK$3,0))</f>
        <v>road wear emissions, passenger car</v>
      </c>
    </row>
    <row r="686" spans="1:8" x14ac:dyDescent="0.3">
      <c r="A686" s="12" t="str">
        <f>INDEX('ei names mapping'!$B$4:$BK$33,MATCH(B614,'ei names mapping'!$A$4:$A$33,0),MATCH(G686,'ei names mapping'!$B$3:$BK$3,0))</f>
        <v>treatment of tyre wear emissions, passenger car</v>
      </c>
      <c r="B686" s="16">
        <f>INDEX('vehicles specifications'!$B$3:$CK$86,MATCH(B617,'vehicles specifications'!$A$3:$A$86,0),MATCH(G686,'vehicles specifications'!$B$2:$CK$2,0))*INDEX('ei names mapping'!$B$137:$BK$220,MATCH(B617,'ei names mapping'!$A$137:$A$220,0),MATCH(G686,'ei names mapping'!$B$136:$BK$136,0))</f>
        <v>-5.8379999999999998E-6</v>
      </c>
      <c r="C686" s="12" t="str">
        <f>INDEX('ei names mapping'!$B$38:$BK$67,MATCH(B614,'ei names mapping'!$A$4:$A$33,0),MATCH(G686,'ei names mapping'!$B$3:$BK$3,0))</f>
        <v>RER</v>
      </c>
      <c r="D686" s="12" t="str">
        <f>INDEX('ei names mapping'!$B$104:$BK$133,MATCH(B614,'ei names mapping'!$A$4:$A$33,0),MATCH(G686,'ei names mapping'!$B$3:$BK$3,0))</f>
        <v>kilogram</v>
      </c>
      <c r="E686" s="12"/>
      <c r="F686" s="12" t="s">
        <v>91</v>
      </c>
      <c r="G686" t="s">
        <v>30</v>
      </c>
      <c r="H686" s="12" t="str">
        <f>INDEX('ei names mapping'!$B$71:$BK$100,MATCH(B614,'ei names mapping'!$A$4:$A$33,0),MATCH(G686,'ei names mapping'!$B$3:$BK$3,0))</f>
        <v>tyre wear emissions, passenger car</v>
      </c>
    </row>
    <row r="687" spans="1:8" x14ac:dyDescent="0.3">
      <c r="A687" s="12" t="str">
        <f>INDEX('ei names mapping'!$B$4:$BK$33,MATCH(B614,'ei names mapping'!$A$4:$A$33,0),MATCH(G687,'ei names mapping'!$B$3:$BK$3,0))</f>
        <v>treatment of brake wear emissions, passenger car</v>
      </c>
      <c r="B687" s="16">
        <f>INDEX('vehicles specifications'!$B$3:$CK$86,MATCH(B617,'vehicles specifications'!$A$3:$A$86,0),MATCH(G687,'vehicles specifications'!$B$2:$CK$2,0))*INDEX('ei names mapping'!$B$137:$BK$220,MATCH(B617,'ei names mapping'!$A$137:$A$220,0),MATCH(G687,'ei names mapping'!$B$136:$BK$136,0))</f>
        <v>-3.6740000000000003E-6</v>
      </c>
      <c r="C687" s="12" t="str">
        <f>INDEX('ei names mapping'!$B$38:$BK$67,MATCH(B614,'ei names mapping'!$A$4:$A$33,0),MATCH(G687,'ei names mapping'!$B$3:$BK$3,0))</f>
        <v>RER</v>
      </c>
      <c r="D687" s="12" t="str">
        <f>INDEX('ei names mapping'!$B$104:$BK$133,MATCH(B614,'ei names mapping'!$A$4:$A$33,0),MATCH(G687,'ei names mapping'!$B$3:$BK$3,0))</f>
        <v>kilogram</v>
      </c>
      <c r="E687" s="12"/>
      <c r="F687" s="12" t="s">
        <v>91</v>
      </c>
      <c r="G687" t="s">
        <v>31</v>
      </c>
      <c r="H687" s="12" t="str">
        <f>INDEX('ei names mapping'!$B$71:$BK$100,MATCH(B614,'ei names mapping'!$A$4:$A$33,0),MATCH(G687,'ei names mapping'!$B$3:$BK$3,0))</f>
        <v>brake wear emissions, passenger car</v>
      </c>
    </row>
    <row r="689" spans="1:8" x14ac:dyDescent="0.3">
      <c r="A689" s="12"/>
      <c r="B689" s="12"/>
      <c r="C689" s="12"/>
      <c r="D689" s="12"/>
      <c r="E689" s="12"/>
      <c r="F689" s="12"/>
      <c r="G689" s="12"/>
      <c r="H689" s="12"/>
    </row>
    <row r="690" spans="1:8" x14ac:dyDescent="0.3">
      <c r="A690" s="12"/>
      <c r="B690" s="12"/>
      <c r="C690" s="12"/>
      <c r="D690" s="12"/>
      <c r="E690" s="12"/>
      <c r="F690" s="12"/>
      <c r="G690" s="12"/>
      <c r="H690" s="12"/>
    </row>
    <row r="691" spans="1:8" x14ac:dyDescent="0.3">
      <c r="A691" s="12"/>
      <c r="B691" s="16"/>
      <c r="C691" s="12"/>
      <c r="D691" s="12"/>
      <c r="E691" s="12"/>
      <c r="F691" s="12"/>
      <c r="H691" s="12"/>
    </row>
    <row r="692" spans="1:8" x14ac:dyDescent="0.3">
      <c r="A692" s="12"/>
      <c r="B692" s="17"/>
      <c r="C692" s="12"/>
      <c r="D692" s="12"/>
      <c r="E692" s="12"/>
      <c r="F692" s="12"/>
      <c r="H692" s="12"/>
    </row>
    <row r="693" spans="1:8" x14ac:dyDescent="0.3">
      <c r="A693" s="12"/>
      <c r="B693" s="16"/>
      <c r="C693" s="12"/>
      <c r="D693" s="12"/>
      <c r="E693" s="12"/>
      <c r="F693" s="12"/>
      <c r="H693" s="12"/>
    </row>
    <row r="695" spans="1:8" ht="15.6" x14ac:dyDescent="0.3">
      <c r="A695" s="11"/>
      <c r="B695" s="9"/>
    </row>
    <row r="698" spans="1:8" x14ac:dyDescent="0.3">
      <c r="B698" s="12"/>
    </row>
    <row r="699" spans="1:8" x14ac:dyDescent="0.3">
      <c r="B699" s="12"/>
    </row>
    <row r="700" spans="1:8" x14ac:dyDescent="0.3">
      <c r="B700" s="12"/>
    </row>
    <row r="701" spans="1:8" x14ac:dyDescent="0.3">
      <c r="B701" s="12"/>
    </row>
    <row r="718" spans="1:2" x14ac:dyDescent="0.3">
      <c r="B718" s="6"/>
    </row>
    <row r="720" spans="1:2" ht="15.6" x14ac:dyDescent="0.3">
      <c r="A720" s="11"/>
    </row>
    <row r="722" spans="1:8" x14ac:dyDescent="0.3">
      <c r="A722" s="12"/>
      <c r="B722" s="12"/>
      <c r="C722" s="12"/>
      <c r="D722" s="12"/>
      <c r="E722" s="12"/>
      <c r="F722" s="12"/>
      <c r="G722" s="12"/>
      <c r="H722" s="12"/>
    </row>
    <row r="723" spans="1:8" x14ac:dyDescent="0.3">
      <c r="A723" s="12"/>
      <c r="B723" s="12"/>
      <c r="C723" s="12"/>
      <c r="D723" s="12"/>
      <c r="E723" s="12"/>
      <c r="F723" s="12"/>
      <c r="G723" s="12"/>
      <c r="H723" s="12"/>
    </row>
    <row r="724" spans="1:8" x14ac:dyDescent="0.3">
      <c r="A724" s="12"/>
      <c r="B724" s="16"/>
      <c r="C724" s="12"/>
      <c r="D724" s="12"/>
      <c r="E724" s="12"/>
      <c r="F724" s="12"/>
      <c r="H724" s="12"/>
    </row>
    <row r="725" spans="1:8" x14ac:dyDescent="0.3">
      <c r="A725" s="12"/>
      <c r="B725" s="17"/>
      <c r="C725" s="12"/>
      <c r="D725" s="12"/>
      <c r="E725" s="12"/>
      <c r="F725" s="12"/>
      <c r="H725" s="12"/>
    </row>
    <row r="726" spans="1:8" x14ac:dyDescent="0.3">
      <c r="A726" s="12"/>
      <c r="B726" s="16"/>
      <c r="C726" s="12"/>
      <c r="D726" s="12"/>
      <c r="E726" s="12"/>
      <c r="F726" s="12"/>
      <c r="H726" s="12"/>
    </row>
    <row r="728" spans="1:8" ht="15.6" x14ac:dyDescent="0.3">
      <c r="A728" s="11"/>
      <c r="B728" s="9"/>
    </row>
    <row r="731" spans="1:8" x14ac:dyDescent="0.3">
      <c r="B731" s="12"/>
    </row>
    <row r="732" spans="1:8" x14ac:dyDescent="0.3">
      <c r="B732" s="12"/>
    </row>
    <row r="733" spans="1:8" x14ac:dyDescent="0.3">
      <c r="B733" s="12"/>
    </row>
    <row r="734" spans="1:8" x14ac:dyDescent="0.3">
      <c r="B734" s="12"/>
    </row>
    <row r="751" spans="2:2" x14ac:dyDescent="0.3">
      <c r="B751" s="6"/>
    </row>
    <row r="753" spans="1:8" ht="15.6" x14ac:dyDescent="0.3">
      <c r="A753" s="11"/>
    </row>
    <row r="755" spans="1:8" x14ac:dyDescent="0.3">
      <c r="A755" s="12"/>
      <c r="B755" s="12"/>
      <c r="C755" s="12"/>
      <c r="D755" s="12"/>
      <c r="E755" s="12"/>
      <c r="F755" s="12"/>
      <c r="G755" s="12"/>
      <c r="H755" s="12"/>
    </row>
    <row r="756" spans="1:8" x14ac:dyDescent="0.3">
      <c r="A756" s="12"/>
      <c r="B756" s="12"/>
      <c r="C756" s="12"/>
      <c r="D756" s="12"/>
      <c r="E756" s="12"/>
      <c r="F756" s="12"/>
      <c r="G756" s="12"/>
      <c r="H756" s="12"/>
    </row>
    <row r="757" spans="1:8" x14ac:dyDescent="0.3">
      <c r="A757" s="12"/>
      <c r="B757" s="16"/>
      <c r="C757" s="12"/>
      <c r="D757" s="12"/>
      <c r="E757" s="12"/>
      <c r="F757" s="12"/>
      <c r="H757" s="12"/>
    </row>
    <row r="758" spans="1:8" x14ac:dyDescent="0.3">
      <c r="A758" s="12"/>
      <c r="B758" s="17"/>
      <c r="C758" s="12"/>
      <c r="D758" s="12"/>
      <c r="E758" s="12"/>
      <c r="F758" s="12"/>
      <c r="H758" s="12"/>
    </row>
    <row r="759" spans="1:8" x14ac:dyDescent="0.3">
      <c r="A759" s="12"/>
      <c r="B759" s="16"/>
      <c r="C759" s="12"/>
      <c r="D759" s="12"/>
      <c r="E759" s="12"/>
      <c r="F759" s="12"/>
      <c r="H759" s="1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3"/>
  <sheetViews>
    <sheetView topLeftCell="A145" workbookViewId="0">
      <selection activeCell="E160" sqref="E160"/>
    </sheetView>
  </sheetViews>
  <sheetFormatPr defaultRowHeight="14.4" x14ac:dyDescent="0.3"/>
  <cols>
    <col min="1" max="1" width="44.44140625" customWidth="1"/>
    <col min="2" max="2" width="15.6640625" bestFit="1" customWidth="1"/>
    <col min="7" max="7" width="14" bestFit="1" customWidth="1"/>
  </cols>
  <sheetData>
    <row r="1" spans="1:2" ht="15.6" x14ac:dyDescent="0.3">
      <c r="A1" s="11" t="s">
        <v>72</v>
      </c>
      <c r="B1" s="9" t="str">
        <f>B3&amp;", "&amp;B5</f>
        <v>Bicycle, conventional, urban, 2020</v>
      </c>
    </row>
    <row r="2" spans="1:2" x14ac:dyDescent="0.3">
      <c r="A2" t="s">
        <v>73</v>
      </c>
      <c r="B2" t="s">
        <v>37</v>
      </c>
    </row>
    <row r="3" spans="1:2" x14ac:dyDescent="0.3">
      <c r="A3" t="s">
        <v>87</v>
      </c>
      <c r="B3" t="s">
        <v>33</v>
      </c>
    </row>
    <row r="4" spans="1:2" x14ac:dyDescent="0.3">
      <c r="A4" t="s">
        <v>88</v>
      </c>
      <c r="B4" s="12"/>
    </row>
    <row r="5" spans="1:2" x14ac:dyDescent="0.3">
      <c r="A5" t="s">
        <v>89</v>
      </c>
      <c r="B5" s="12">
        <v>2020</v>
      </c>
    </row>
    <row r="6" spans="1:2" x14ac:dyDescent="0.3">
      <c r="A6" t="s">
        <v>131</v>
      </c>
      <c r="B6" s="12" t="str">
        <f>B3&amp;" - "&amp;B5&amp;" - "&amp;B2</f>
        <v>Bicycle, conventional, urban - 2020 - CH</v>
      </c>
    </row>
    <row r="7" spans="1:2" x14ac:dyDescent="0.3">
      <c r="A7" t="s">
        <v>74</v>
      </c>
      <c r="B7" t="str">
        <f>B3</f>
        <v>Bicycle, conventional, urban</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10000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2.5</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1000</v>
      </c>
    </row>
    <row r="16" spans="1:2" x14ac:dyDescent="0.3">
      <c r="A16" t="s">
        <v>137</v>
      </c>
      <c r="B16">
        <f>INDEX('vehicles specifications'!$B$3:$CK$86,MATCH(B6,'vehicles specifications'!$A$3:$A$86,0),MATCH("Curb mass [kg]",'vehicles specifications'!$B$2:$CK$2,0))</f>
        <v>12</v>
      </c>
    </row>
    <row r="17" spans="1:8" x14ac:dyDescent="0.3">
      <c r="A17" t="s">
        <v>138</v>
      </c>
      <c r="B17">
        <f>INDEX('vehicles specifications'!$B$3:$CK$86,MATCH(B6,'vehicles specifications'!$A$3:$A$86,0),MATCH("Power [kW]",'vehicles specifications'!$B$2:$CK$2,0))</f>
        <v>0</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f>INDEX('vehicles specifications'!$B$3:$CK$86,MATCH(B6,'vehicles specifications'!$A$3:$A$86,0),MATCH("Oxydation energy stored [kWh]",'vehicles specifications'!$B$2:$CK$2,0))</f>
        <v>0</v>
      </c>
    </row>
    <row r="21" spans="1:8" x14ac:dyDescent="0.3">
      <c r="A21" t="s">
        <v>145</v>
      </c>
      <c r="B21">
        <f>INDEX('vehicles specifications'!$B$3:$CK$86,MATCH(B6,'vehicles specifications'!$A$3:$A$86,0),MATCH("Fuel mass [kg]",'vehicles specifications'!$B$2:$CK$2,0))</f>
        <v>0</v>
      </c>
    </row>
    <row r="22" spans="1:8" x14ac:dyDescent="0.3">
      <c r="A22" t="s">
        <v>141</v>
      </c>
      <c r="B22">
        <f>INDEX('vehicles specifications'!$B$3:$CK$86,MATCH(B6,'vehicles specifications'!$A$3:$A$86,0),MATCH("Range [km]",'vehicles specifications'!$B$2:$CK$2,0))</f>
        <v>0</v>
      </c>
    </row>
    <row r="23" spans="1:8" x14ac:dyDescent="0.3">
      <c r="A23" t="s">
        <v>142</v>
      </c>
      <c r="B23" t="str">
        <f>INDEX('vehicles specifications'!$B$3:$CK$86,MATCH(B6,'vehicles specifications'!$A$3:$A$86,0),MATCH("Emission standard",'vehicles specifications'!$B$2:$CK$2,0))</f>
        <v>None</v>
      </c>
    </row>
    <row r="24" spans="1:8" x14ac:dyDescent="0.3">
      <c r="A24" t="s">
        <v>144</v>
      </c>
      <c r="B24" s="6">
        <f>INDEX('vehicles specifications'!$B$3:$CK$86,MATCH(B6,'vehicles specifications'!$A$3:$A$86,0),MATCH("Lightweighting rate [%]",'vehicles specifications'!$B$2:$CK$2,0))</f>
        <v>0</v>
      </c>
    </row>
    <row r="25" spans="1:8" s="21" customFormat="1" x14ac:dyDescent="0.3">
      <c r="A25" s="21" t="s">
        <v>513</v>
      </c>
      <c r="B25" s="6" t="s">
        <v>514</v>
      </c>
    </row>
    <row r="26" spans="1:8" s="21" customFormat="1" x14ac:dyDescent="0.3">
      <c r="A26" s="21" t="s">
        <v>515</v>
      </c>
      <c r="B26" s="2">
        <v>15900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0 kW. Lifetime: 10000 km. Annual kilometers: 1000 km. Number of passengers: 1. Curb mass: 12 kg. Lightweighting of glider: 0%. Emission standard: None. Service visits throughout lifetime: 2.5. Range: 0 km. Battery capacity: 0 kWh. Battery mass: 0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Bicycle, conventional, urban, 2020</v>
      </c>
      <c r="B31" s="12">
        <v>1</v>
      </c>
      <c r="C31" s="12" t="str">
        <f>B2</f>
        <v>CH</v>
      </c>
      <c r="D31" s="12" t="str">
        <f>B9</f>
        <v>unit</v>
      </c>
      <c r="E31" s="12"/>
      <c r="F31" s="12" t="s">
        <v>85</v>
      </c>
      <c r="G31" s="12" t="s">
        <v>86</v>
      </c>
      <c r="H31" s="12" t="str">
        <f>B3</f>
        <v>Bicycle, conventional, urban</v>
      </c>
    </row>
    <row r="32" spans="1:8" x14ac:dyDescent="0.3">
      <c r="A32" s="12" t="str">
        <f>INDEX('ei names mapping'!$B$4:$R$33,MATCH($B$3,'ei names mapping'!$A$4:$A$33,0),MATCH(G32,'ei names mapping'!$B$3:$R$3,0))</f>
        <v>bicycle production</v>
      </c>
      <c r="B32" s="14">
        <f>INDEX('vehicles specifications'!$B$3:$CK$86,MATCH(B6,'vehicles specifications'!$A$3:$A$86,0),MATCH(G32,'vehicles specifications'!$B$2:$CK$2,0))*INDEX('ei names mapping'!$B$137:$BK$220,MATCH(B6,'ei names mapping'!$A$137:$A$220,0),MATCH(G32,'ei names mapping'!$B$136:$BK$136,0))</f>
        <v>0.70588235294117641</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bicycle</v>
      </c>
    </row>
    <row r="33" spans="1:8" s="21" customFormat="1" x14ac:dyDescent="0.3">
      <c r="A33" s="12" t="str">
        <f>INDEX('ei names mapping'!$B$4:$R$33,MATCH(B3,'ei names mapping'!$A$4:$A$33,0),MATCH(G33,'ei names mapping'!$B$3:$R$3,0))</f>
        <v>glider lightweighting</v>
      </c>
      <c r="B33" s="16">
        <f>INDEX('vehicles specifications'!$B$3:$CK$86,MATCH(B6,'vehicles specifications'!$A$3:$A$86,0),MATCH(G33,'vehicles specifications'!$B$2:$CK$2,0))*INDEX('ei names mapping'!$B$137:$BK$220,MATCH(B6,'ei names mapping'!$A$137:$A$220,0),MATCH(G33,'ei names mapping'!$B$136:$BK$136,0))</f>
        <v>0</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14</v>
      </c>
      <c r="H33" s="12" t="str">
        <f>INDEX('ei names mapping'!$B$71:$R$100,MATCH(B3,'ei names mapping'!$A$4:$A$33,0),MATCH(G33,'ei names mapping'!$B$3:$R$3,0))</f>
        <v>glider lightweighting</v>
      </c>
    </row>
    <row r="34" spans="1:8" s="21" customFormat="1" x14ac:dyDescent="0.3">
      <c r="A34" s="22" t="s">
        <v>468</v>
      </c>
      <c r="B34" s="21">
        <f>(B16/1000)*B27</f>
        <v>12</v>
      </c>
      <c r="C34" s="21" t="s">
        <v>94</v>
      </c>
      <c r="D34" s="21" t="s">
        <v>243</v>
      </c>
      <c r="F34" s="21" t="s">
        <v>91</v>
      </c>
      <c r="H34" s="22" t="s">
        <v>469</v>
      </c>
    </row>
    <row r="35" spans="1:8" s="21" customFormat="1" x14ac:dyDescent="0.3">
      <c r="A35" s="22" t="s">
        <v>467</v>
      </c>
      <c r="B35" s="2">
        <f>(B16/1000)*B26</f>
        <v>190.8</v>
      </c>
      <c r="C35" s="21" t="s">
        <v>98</v>
      </c>
      <c r="D35" s="21" t="s">
        <v>243</v>
      </c>
      <c r="F35" s="21" t="s">
        <v>91</v>
      </c>
      <c r="H35" s="22" t="s">
        <v>467</v>
      </c>
    </row>
    <row r="37" spans="1:8" ht="15.6" x14ac:dyDescent="0.3">
      <c r="A37" s="11" t="s">
        <v>72</v>
      </c>
      <c r="B37" s="9" t="str">
        <f>B39&amp;", "&amp;B41</f>
        <v>Bicycle, conventional, urban, 2030</v>
      </c>
    </row>
    <row r="38" spans="1:8" x14ac:dyDescent="0.3">
      <c r="A38" t="s">
        <v>73</v>
      </c>
      <c r="B38" t="s">
        <v>37</v>
      </c>
    </row>
    <row r="39" spans="1:8" x14ac:dyDescent="0.3">
      <c r="A39" t="s">
        <v>87</v>
      </c>
      <c r="B39" t="s">
        <v>33</v>
      </c>
    </row>
    <row r="40" spans="1:8" x14ac:dyDescent="0.3">
      <c r="A40" t="s">
        <v>88</v>
      </c>
      <c r="B40" s="12"/>
    </row>
    <row r="41" spans="1:8" x14ac:dyDescent="0.3">
      <c r="A41" t="s">
        <v>89</v>
      </c>
      <c r="B41" s="12">
        <v>2030</v>
      </c>
    </row>
    <row r="42" spans="1:8" x14ac:dyDescent="0.3">
      <c r="A42" t="s">
        <v>131</v>
      </c>
      <c r="B42" s="12" t="str">
        <f>B39&amp;" - "&amp;B41&amp;" - "&amp;B38</f>
        <v>Bicycle, conventional, urban - 2030 - CH</v>
      </c>
    </row>
    <row r="43" spans="1:8" x14ac:dyDescent="0.3">
      <c r="A43" t="s">
        <v>74</v>
      </c>
      <c r="B43" t="str">
        <f>B39</f>
        <v>Bicycle, conventional, urban</v>
      </c>
    </row>
    <row r="44" spans="1:8" x14ac:dyDescent="0.3">
      <c r="A44" t="s">
        <v>75</v>
      </c>
      <c r="B44" t="s">
        <v>76</v>
      </c>
    </row>
    <row r="45" spans="1:8" x14ac:dyDescent="0.3">
      <c r="A45" t="s">
        <v>77</v>
      </c>
      <c r="B45" t="s">
        <v>77</v>
      </c>
    </row>
    <row r="46" spans="1:8" x14ac:dyDescent="0.3">
      <c r="A46" t="s">
        <v>79</v>
      </c>
      <c r="B46" t="s">
        <v>90</v>
      </c>
    </row>
    <row r="47" spans="1:8" x14ac:dyDescent="0.3">
      <c r="A47" t="s">
        <v>132</v>
      </c>
      <c r="B47">
        <f>INDEX('vehicles specifications'!$B$3:$CK$86,MATCH(B42,'vehicles specifications'!$A$3:$A$86,0),MATCH("Lifetime [km]",'vehicles specifications'!$B$2:$CK$2,0))</f>
        <v>10000</v>
      </c>
    </row>
    <row r="48" spans="1:8" x14ac:dyDescent="0.3">
      <c r="A48" t="s">
        <v>133</v>
      </c>
      <c r="B48">
        <f>INDEX('vehicles specifications'!$B$3:$CK$86,MATCH(B42,'vehicles specifications'!$A$3:$A$86,0),MATCH("Passengers [unit]",'vehicles specifications'!$B$2:$CK$2,0))</f>
        <v>1</v>
      </c>
    </row>
    <row r="49" spans="1:2" x14ac:dyDescent="0.3">
      <c r="A49" t="s">
        <v>134</v>
      </c>
      <c r="B49">
        <f>INDEX('vehicles specifications'!$B$3:$CK$86,MATCH(B42,'vehicles specifications'!$A$3:$A$86,0),MATCH("Servicing [unit]",'vehicles specifications'!$B$2:$CK$2,0))</f>
        <v>2.5</v>
      </c>
    </row>
    <row r="50" spans="1:2" x14ac:dyDescent="0.3">
      <c r="A50" t="s">
        <v>135</v>
      </c>
      <c r="B50">
        <f>INDEX('vehicles specifications'!$B$3:$CK$86,MATCH(B42,'vehicles specifications'!$A$3:$A$86,0),MATCH("Energy battery replacement [unit]",'vehicles specifications'!$B$2:$CK$2,0))</f>
        <v>0</v>
      </c>
    </row>
    <row r="51" spans="1:2" x14ac:dyDescent="0.3">
      <c r="A51" t="s">
        <v>136</v>
      </c>
      <c r="B51">
        <f>INDEX('vehicles specifications'!$B$3:$CK$86,MATCH(B42,'vehicles specifications'!$A$3:$A$86,0),MATCH("Annual kilometers [km]",'vehicles specifications'!$B$2:$CK$2,0))</f>
        <v>1000</v>
      </c>
    </row>
    <row r="52" spans="1:2" x14ac:dyDescent="0.3">
      <c r="A52" t="s">
        <v>137</v>
      </c>
      <c r="B52">
        <f>INDEX('vehicles specifications'!$B$3:$CK$86,MATCH(B42,'vehicles specifications'!$A$3:$A$86,0),MATCH("Curb mass [kg]",'vehicles specifications'!$B$2:$CK$2,0))</f>
        <v>11.64</v>
      </c>
    </row>
    <row r="53" spans="1:2" x14ac:dyDescent="0.3">
      <c r="A53" t="s">
        <v>138</v>
      </c>
      <c r="B53">
        <f>INDEX('vehicles specifications'!$B$3:$CK$86,MATCH(B42,'vehicles specifications'!$A$3:$A$86,0),MATCH("Power [kW]",'vehicles specifications'!$B$2:$CK$2,0))</f>
        <v>0</v>
      </c>
    </row>
    <row r="54" spans="1:2" x14ac:dyDescent="0.3">
      <c r="A54" t="s">
        <v>139</v>
      </c>
      <c r="B54">
        <f>INDEX('vehicles specifications'!$B$3:$CK$86,MATCH(B42,'vehicles specifications'!$A$3:$A$86,0),MATCH("Energy battery mass [kg]",'vehicles specifications'!$B$2:$CK$2,0))</f>
        <v>0</v>
      </c>
    </row>
    <row r="55" spans="1:2" x14ac:dyDescent="0.3">
      <c r="A55" t="s">
        <v>140</v>
      </c>
      <c r="B55">
        <f>INDEX('vehicles specifications'!$B$3:$CK$86,MATCH(B42,'vehicles specifications'!$A$3:$A$86,0),MATCH("Electric energy available [kWh]",'vehicles specifications'!$B$2:$CK$2,0))</f>
        <v>0</v>
      </c>
    </row>
    <row r="56" spans="1:2" x14ac:dyDescent="0.3">
      <c r="A56" t="s">
        <v>143</v>
      </c>
      <c r="B56">
        <f>INDEX('vehicles specifications'!$B$3:$CK$86,MATCH(B42,'vehicles specifications'!$A$3:$A$86,0),MATCH("Oxydation energy stored [kWh]",'vehicles specifications'!$B$2:$CK$2,0))</f>
        <v>0</v>
      </c>
    </row>
    <row r="57" spans="1:2" x14ac:dyDescent="0.3">
      <c r="A57" t="s">
        <v>145</v>
      </c>
      <c r="B57">
        <f>INDEX('vehicles specifications'!$B$3:$CK$86,MATCH(B42,'vehicles specifications'!$A$3:$A$86,0),MATCH("Fuel mass [kg]",'vehicles specifications'!$B$2:$CK$2,0))</f>
        <v>0</v>
      </c>
    </row>
    <row r="58" spans="1:2" x14ac:dyDescent="0.3">
      <c r="A58" t="s">
        <v>141</v>
      </c>
      <c r="B58">
        <f>INDEX('vehicles specifications'!$B$3:$CK$86,MATCH(B42,'vehicles specifications'!$A$3:$A$86,0),MATCH("Range [km]",'vehicles specifications'!$B$2:$CK$2,0))</f>
        <v>0</v>
      </c>
    </row>
    <row r="59" spans="1:2" x14ac:dyDescent="0.3">
      <c r="A59" t="s">
        <v>142</v>
      </c>
      <c r="B59" t="str">
        <f>INDEX('vehicles specifications'!$B$3:$CK$86,MATCH(B42,'vehicles specifications'!$A$3:$A$86,0),MATCH("Emission standard",'vehicles specifications'!$B$2:$CK$2,0))</f>
        <v>None</v>
      </c>
    </row>
    <row r="60" spans="1:2" x14ac:dyDescent="0.3">
      <c r="A60" t="s">
        <v>144</v>
      </c>
      <c r="B60" s="6">
        <f>INDEX('vehicles specifications'!$B$3:$CK$86,MATCH(B42,'vehicles specifications'!$A$3:$A$86,0),MATCH("Lightweighting rate [%]",'vehicles specifications'!$B$2:$CK$2,0))</f>
        <v>0.03</v>
      </c>
    </row>
    <row r="61" spans="1:2" s="21" customFormat="1" x14ac:dyDescent="0.3">
      <c r="A61" s="21" t="s">
        <v>513</v>
      </c>
      <c r="B61" s="6" t="s">
        <v>514</v>
      </c>
    </row>
    <row r="62" spans="1:2" s="21" customFormat="1" x14ac:dyDescent="0.3">
      <c r="A62" s="21" t="s">
        <v>515</v>
      </c>
      <c r="B62" s="2">
        <v>15900</v>
      </c>
    </row>
    <row r="63" spans="1:2" s="21" customFormat="1" x14ac:dyDescent="0.3">
      <c r="A63" s="21" t="s">
        <v>516</v>
      </c>
      <c r="B63" s="2">
        <v>1000</v>
      </c>
    </row>
    <row r="64" spans="1:2" s="21" customFormat="1" x14ac:dyDescent="0.3">
      <c r="A64" s="21" t="s">
        <v>84</v>
      </c>
      <c r="B64" s="21" t="str">
        <f>"Power: "&amp;B53&amp;" kW. Lifetime: "&amp;B47&amp;" km. Annual kilometers: "&amp;ROUND(B51,0)&amp;" km. Number of passengers: "&amp;ROUND(B48,1)&amp;". Curb mass: "&amp;ROUND(B52,1)&amp;" kg. Lightweighting of glider: "&amp;ROUND(B60*100,0)&amp;"%. Emission standard: "&amp;B59&amp;". Service visits throughout lifetime: "&amp;ROUND(B49,1)&amp;". Range: "&amp;ROUND(B58,0)&amp;" km. Battery capacity: "&amp;ROUND(B55,1)&amp;" kWh. Battery mass: "&amp;ROUND(B54,1)&amp; " kg. Battery replacement throughout lifetime: "&amp;ROUND(B50,1)&amp;". Fuel tank capacity: "&amp;ROUND(B56,1)&amp;" kWh. Fuel mass: "&amp;ROUND(B57,1)&amp;" kg. Origin of manufacture: "&amp;B61&amp;". Shipping distance: "&amp;B62&amp;" km. Lorry distribution distance: "&amp;B63&amp;" km. Documentation: "&amp;Readmefirst!$B$2&amp;", "&amp;Readmefirst!$B$3&amp;". "&amp;B46</f>
        <v>Power: 0 kW. Lifetime: 10000 km. Annual kilometers: 1000 km. Number of passengers: 1. Curb mass: 11.6 kg. Lightweighting of glider: 3%. Emission standard: None. Service visits throughout lifetime: 2.5. Range: 0 km. Battery capacity: 0 kWh. Battery mass: 0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5" spans="1:8" ht="15.6" x14ac:dyDescent="0.3">
      <c r="A65" s="11" t="s">
        <v>80</v>
      </c>
    </row>
    <row r="66" spans="1:8" x14ac:dyDescent="0.3">
      <c r="A66" t="s">
        <v>81</v>
      </c>
      <c r="B66" t="s">
        <v>82</v>
      </c>
      <c r="C66" t="s">
        <v>73</v>
      </c>
      <c r="D66" t="s">
        <v>77</v>
      </c>
      <c r="E66" t="s">
        <v>83</v>
      </c>
      <c r="F66" t="s">
        <v>75</v>
      </c>
      <c r="G66" t="s">
        <v>84</v>
      </c>
      <c r="H66" t="s">
        <v>74</v>
      </c>
    </row>
    <row r="67" spans="1:8" x14ac:dyDescent="0.3">
      <c r="A67" s="12" t="str">
        <f>B37</f>
        <v>Bicycle, conventional, urban, 2030</v>
      </c>
      <c r="B67" s="12">
        <v>1</v>
      </c>
      <c r="C67" s="12" t="str">
        <f>B38</f>
        <v>CH</v>
      </c>
      <c r="D67" s="12" t="str">
        <f>B45</f>
        <v>unit</v>
      </c>
      <c r="E67" s="12"/>
      <c r="F67" s="12" t="s">
        <v>85</v>
      </c>
      <c r="G67" s="12" t="s">
        <v>86</v>
      </c>
      <c r="H67" s="12" t="str">
        <f>B39</f>
        <v>Bicycle, conventional, urban</v>
      </c>
    </row>
    <row r="68" spans="1:8" x14ac:dyDescent="0.3">
      <c r="A68" s="12" t="str">
        <f>INDEX('ei names mapping'!$B$4:$R$33,MATCH($B$3,'ei names mapping'!$A$4:$A$33,0),MATCH(G68,'ei names mapping'!$B$3:$R$3,0))</f>
        <v>bicycle production</v>
      </c>
      <c r="B68" s="14">
        <f>INDEX('vehicles specifications'!$B$3:$CK$86,MATCH(B42,'vehicles specifications'!$A$3:$A$86,0),MATCH(G68,'vehicles specifications'!$B$2:$CK$2,0))*INDEX('ei names mapping'!$B$137:$BK$220,MATCH(B42,'ei names mapping'!$A$137:$A$220,0),MATCH(G68,'ei names mapping'!$B$136:$BK$136,0))</f>
        <v>0.70588235294117641</v>
      </c>
      <c r="C68" s="12" t="str">
        <f>INDEX('ei names mapping'!$B$38:$R$67,MATCH($B$3,'ei names mapping'!$A$4:$A$33,0),MATCH(G68,'ei names mapping'!$B$3:$R$3,0))</f>
        <v>RER</v>
      </c>
      <c r="D68" s="12" t="str">
        <f>INDEX('ei names mapping'!$B$104:$R$133,MATCH(B39,'ei names mapping'!$A$104:$A$133,0),MATCH(G68,'ei names mapping'!$B$3:$R$3,0))</f>
        <v>unit</v>
      </c>
      <c r="E68" s="12"/>
      <c r="F68" s="12" t="s">
        <v>91</v>
      </c>
      <c r="G68" s="21" t="s">
        <v>15</v>
      </c>
      <c r="H68" s="12" t="str">
        <f>INDEX('ei names mapping'!$B$71:$R$100,MATCH($B$3,'ei names mapping'!$A$4:$A$33,0),MATCH(G68,'ei names mapping'!$B$3:$R$3,0))</f>
        <v>bicycle</v>
      </c>
    </row>
    <row r="69" spans="1:8" s="21" customFormat="1" x14ac:dyDescent="0.3">
      <c r="A69" s="12" t="str">
        <f>INDEX('ei names mapping'!$B$4:$R$33,MATCH(B39,'ei names mapping'!$A$4:$A$33,0),MATCH(G69,'ei names mapping'!$B$3:$R$3,0))</f>
        <v>glider lightweighting</v>
      </c>
      <c r="B69" s="16">
        <f>INDEX('vehicles specifications'!$B$3:$CK$86,MATCH(B42,'vehicles specifications'!$A$3:$A$86,0),MATCH(G69,'vehicles specifications'!$B$2:$CK$2,0))*INDEX('ei names mapping'!$B$137:$BK$220,MATCH(B42,'ei names mapping'!$A$137:$A$220,0),MATCH(G69,'ei names mapping'!$B$136:$BK$136,0))</f>
        <v>0.36</v>
      </c>
      <c r="C69" s="12" t="str">
        <f>INDEX('ei names mapping'!$B$38:$R$67,MATCH(B39,'ei names mapping'!$A$4:$A$33,0),MATCH(G69,'ei names mapping'!$B$3:$R$3,0))</f>
        <v>GLO</v>
      </c>
      <c r="D69" s="12" t="str">
        <f>INDEX('ei names mapping'!$B$104:$R$133,MATCH(B39,'ei names mapping'!$A$104:$A$133,0),MATCH(G69,'ei names mapping'!$B$3:$R$3,0))</f>
        <v>kilogram</v>
      </c>
      <c r="E69" s="12"/>
      <c r="F69" s="12" t="s">
        <v>91</v>
      </c>
      <c r="G69" s="21" t="s">
        <v>14</v>
      </c>
      <c r="H69" s="12" t="str">
        <f>INDEX('ei names mapping'!$B$71:$R$100,MATCH(B39,'ei names mapping'!$A$4:$A$33,0),MATCH(G69,'ei names mapping'!$B$3:$R$3,0))</f>
        <v>glider lightweighting</v>
      </c>
    </row>
    <row r="70" spans="1:8" s="21" customFormat="1" x14ac:dyDescent="0.3">
      <c r="A70" s="22" t="s">
        <v>468</v>
      </c>
      <c r="B70" s="21">
        <f>(B52/1000)*B63</f>
        <v>11.64</v>
      </c>
      <c r="C70" s="21" t="s">
        <v>94</v>
      </c>
      <c r="D70" s="21" t="s">
        <v>243</v>
      </c>
      <c r="F70" s="21" t="s">
        <v>91</v>
      </c>
      <c r="H70" s="22" t="s">
        <v>469</v>
      </c>
    </row>
    <row r="71" spans="1:8" s="21" customFormat="1" x14ac:dyDescent="0.3">
      <c r="A71" s="22" t="s">
        <v>467</v>
      </c>
      <c r="B71" s="2">
        <f>(B52/1000)*B62</f>
        <v>185.07600000000002</v>
      </c>
      <c r="C71" s="21" t="s">
        <v>98</v>
      </c>
      <c r="D71" s="21" t="s">
        <v>243</v>
      </c>
      <c r="F71" s="21" t="s">
        <v>91</v>
      </c>
      <c r="H71" s="22" t="s">
        <v>467</v>
      </c>
    </row>
    <row r="73" spans="1:8" ht="15.6" x14ac:dyDescent="0.3">
      <c r="A73" s="11" t="s">
        <v>72</v>
      </c>
      <c r="B73" s="9" t="str">
        <f>B75&amp;", "&amp;B77</f>
        <v>Bicycle, conventional, urban, 2040</v>
      </c>
    </row>
    <row r="74" spans="1:8" x14ac:dyDescent="0.3">
      <c r="A74" t="s">
        <v>73</v>
      </c>
      <c r="B74" t="s">
        <v>37</v>
      </c>
    </row>
    <row r="75" spans="1:8" x14ac:dyDescent="0.3">
      <c r="A75" t="s">
        <v>87</v>
      </c>
      <c r="B75" t="s">
        <v>33</v>
      </c>
    </row>
    <row r="76" spans="1:8" x14ac:dyDescent="0.3">
      <c r="A76" t="s">
        <v>88</v>
      </c>
      <c r="B76" s="12"/>
    </row>
    <row r="77" spans="1:8" x14ac:dyDescent="0.3">
      <c r="A77" t="s">
        <v>89</v>
      </c>
      <c r="B77" s="12">
        <v>2040</v>
      </c>
    </row>
    <row r="78" spans="1:8" x14ac:dyDescent="0.3">
      <c r="A78" t="s">
        <v>131</v>
      </c>
      <c r="B78" s="12" t="str">
        <f>B75&amp;" - "&amp;B77&amp;" - "&amp;B74</f>
        <v>Bicycle, conventional, urban - 2040 - CH</v>
      </c>
    </row>
    <row r="79" spans="1:8" x14ac:dyDescent="0.3">
      <c r="A79" t="s">
        <v>74</v>
      </c>
      <c r="B79" t="str">
        <f>B75</f>
        <v>Bicycle, conventional, urban</v>
      </c>
    </row>
    <row r="80" spans="1:8" x14ac:dyDescent="0.3">
      <c r="A80" t="s">
        <v>75</v>
      </c>
      <c r="B80" t="s">
        <v>76</v>
      </c>
    </row>
    <row r="81" spans="1:2" x14ac:dyDescent="0.3">
      <c r="A81" t="s">
        <v>77</v>
      </c>
      <c r="B81" t="s">
        <v>77</v>
      </c>
    </row>
    <row r="82" spans="1:2" x14ac:dyDescent="0.3">
      <c r="A82" t="s">
        <v>79</v>
      </c>
      <c r="B82" t="s">
        <v>90</v>
      </c>
    </row>
    <row r="83" spans="1:2" x14ac:dyDescent="0.3">
      <c r="A83" t="s">
        <v>132</v>
      </c>
      <c r="B83">
        <f>INDEX('vehicles specifications'!$B$3:$CK$86,MATCH(B78,'vehicles specifications'!$A$3:$A$86,0),MATCH("Lifetime [km]",'vehicles specifications'!$B$2:$CK$2,0))</f>
        <v>10000</v>
      </c>
    </row>
    <row r="84" spans="1:2" x14ac:dyDescent="0.3">
      <c r="A84" t="s">
        <v>133</v>
      </c>
      <c r="B84">
        <f>INDEX('vehicles specifications'!$B$3:$CK$86,MATCH(B78,'vehicles specifications'!$A$3:$A$86,0),MATCH("Passengers [unit]",'vehicles specifications'!$B$2:$CK$2,0))</f>
        <v>1</v>
      </c>
    </row>
    <row r="85" spans="1:2" x14ac:dyDescent="0.3">
      <c r="A85" t="s">
        <v>134</v>
      </c>
      <c r="B85">
        <f>INDEX('vehicles specifications'!$B$3:$CK$86,MATCH(B78,'vehicles specifications'!$A$3:$A$86,0),MATCH("Servicing [unit]",'vehicles specifications'!$B$2:$CK$2,0))</f>
        <v>2.5</v>
      </c>
    </row>
    <row r="86" spans="1:2" x14ac:dyDescent="0.3">
      <c r="A86" t="s">
        <v>135</v>
      </c>
      <c r="B86">
        <f>INDEX('vehicles specifications'!$B$3:$CK$86,MATCH(B78,'vehicles specifications'!$A$3:$A$86,0),MATCH("Energy battery replacement [unit]",'vehicles specifications'!$B$2:$CK$2,0))</f>
        <v>0</v>
      </c>
    </row>
    <row r="87" spans="1:2" x14ac:dyDescent="0.3">
      <c r="A87" t="s">
        <v>136</v>
      </c>
      <c r="B87">
        <f>INDEX('vehicles specifications'!$B$3:$CK$86,MATCH(B78,'vehicles specifications'!$A$3:$A$86,0),MATCH("Annual kilometers [km]",'vehicles specifications'!$B$2:$CK$2,0))</f>
        <v>1000</v>
      </c>
    </row>
    <row r="88" spans="1:2" x14ac:dyDescent="0.3">
      <c r="A88" t="s">
        <v>137</v>
      </c>
      <c r="B88">
        <f>INDEX('vehicles specifications'!$B$3:$CK$86,MATCH(B78,'vehicles specifications'!$A$3:$A$86,0),MATCH("Curb mass [kg]",'vehicles specifications'!$B$2:$CK$2,0))</f>
        <v>11.399999999999999</v>
      </c>
    </row>
    <row r="89" spans="1:2" x14ac:dyDescent="0.3">
      <c r="A89" t="s">
        <v>138</v>
      </c>
      <c r="B89">
        <f>INDEX('vehicles specifications'!$B$3:$CK$86,MATCH(B78,'vehicles specifications'!$A$3:$A$86,0),MATCH("Power [kW]",'vehicles specifications'!$B$2:$CK$2,0))</f>
        <v>0</v>
      </c>
    </row>
    <row r="90" spans="1:2" x14ac:dyDescent="0.3">
      <c r="A90" t="s">
        <v>139</v>
      </c>
      <c r="B90">
        <f>INDEX('vehicles specifications'!$B$3:$CK$86,MATCH(B78,'vehicles specifications'!$A$3:$A$86,0),MATCH("Energy battery mass [kg]",'vehicles specifications'!$B$2:$CK$2,0))</f>
        <v>0</v>
      </c>
    </row>
    <row r="91" spans="1:2" x14ac:dyDescent="0.3">
      <c r="A91" t="s">
        <v>140</v>
      </c>
      <c r="B91">
        <f>INDEX('vehicles specifications'!$B$3:$CK$86,MATCH(B78,'vehicles specifications'!$A$3:$A$86,0),MATCH("Electric energy available [kWh]",'vehicles specifications'!$B$2:$CK$2,0))</f>
        <v>0</v>
      </c>
    </row>
    <row r="92" spans="1:2" x14ac:dyDescent="0.3">
      <c r="A92" t="s">
        <v>143</v>
      </c>
      <c r="B92">
        <f>INDEX('vehicles specifications'!$B$3:$CK$86,MATCH(B78,'vehicles specifications'!$A$3:$A$86,0),MATCH("Oxydation energy stored [kWh]",'vehicles specifications'!$B$2:$CK$2,0))</f>
        <v>0</v>
      </c>
    </row>
    <row r="93" spans="1:2" x14ac:dyDescent="0.3">
      <c r="A93" t="s">
        <v>145</v>
      </c>
      <c r="B93">
        <f>INDEX('vehicles specifications'!$B$3:$CK$86,MATCH(B78,'vehicles specifications'!$A$3:$A$86,0),MATCH("Fuel mass [kg]",'vehicles specifications'!$B$2:$CK$2,0))</f>
        <v>0</v>
      </c>
    </row>
    <row r="94" spans="1:2" x14ac:dyDescent="0.3">
      <c r="A94" t="s">
        <v>141</v>
      </c>
      <c r="B94">
        <f>INDEX('vehicles specifications'!$B$3:$CK$86,MATCH(B78,'vehicles specifications'!$A$3:$A$86,0),MATCH("Range [km]",'vehicles specifications'!$B$2:$CK$2,0))</f>
        <v>0</v>
      </c>
    </row>
    <row r="95" spans="1:2" x14ac:dyDescent="0.3">
      <c r="A95" t="s">
        <v>142</v>
      </c>
      <c r="B95" t="str">
        <f>INDEX('vehicles specifications'!$B$3:$CK$86,MATCH(B78,'vehicles specifications'!$A$3:$A$86,0),MATCH("Emission standard",'vehicles specifications'!$B$2:$CK$2,0))</f>
        <v>None</v>
      </c>
    </row>
    <row r="96" spans="1:2" x14ac:dyDescent="0.3">
      <c r="A96" t="s">
        <v>144</v>
      </c>
      <c r="B96" s="6">
        <f>INDEX('vehicles specifications'!$B$3:$CK$86,MATCH(B78,'vehicles specifications'!$A$3:$A$86,0),MATCH("Lightweighting rate [%]",'vehicles specifications'!$B$2:$CK$2,0))</f>
        <v>0.05</v>
      </c>
    </row>
    <row r="97" spans="1:8" s="21" customFormat="1" x14ac:dyDescent="0.3">
      <c r="A97" s="21" t="s">
        <v>513</v>
      </c>
      <c r="B97" s="6" t="s">
        <v>514</v>
      </c>
    </row>
    <row r="98" spans="1:8" s="21" customFormat="1" x14ac:dyDescent="0.3">
      <c r="A98" s="21" t="s">
        <v>515</v>
      </c>
      <c r="B98" s="2">
        <v>15900</v>
      </c>
    </row>
    <row r="99" spans="1:8" s="21" customFormat="1" x14ac:dyDescent="0.3">
      <c r="A99" s="21" t="s">
        <v>516</v>
      </c>
      <c r="B99" s="2">
        <v>1000</v>
      </c>
    </row>
    <row r="100" spans="1:8" s="21" customFormat="1" x14ac:dyDescent="0.3">
      <c r="A100" s="21" t="s">
        <v>84</v>
      </c>
      <c r="B100" s="21" t="str">
        <f>"Power: "&amp;B89&amp;" kW. Lifetime: "&amp;B83&amp;" km. Annual kilometers: "&amp;ROUND(B87,0)&amp;" km. Number of passengers: "&amp;ROUND(B84,1)&amp;". Curb mass: "&amp;ROUND(B88,1)&amp;" kg. Lightweighting of glider: "&amp;ROUND(B96*100,0)&amp;"%. Emission standard: "&amp;B95&amp;". Service visits throughout lifetime: "&amp;ROUND(B85,1)&amp;". Range: "&amp;ROUND(B94,0)&amp;" km. Battery capacity: "&amp;ROUND(B91,1)&amp;" kWh. Battery mass: "&amp;ROUND(B90,1)&amp; " kg. Battery replacement throughout lifetime: "&amp;ROUND(B86,1)&amp;". Fuel tank capacity: "&amp;ROUND(B92,1)&amp;" kWh. Fuel mass: "&amp;ROUND(B93,1)&amp;" kg. Origin of manufacture: "&amp;B97&amp;". Shipping distance: "&amp;B98&amp;" km. Lorry distribution distance: "&amp;B99&amp;" km. Documentation: "&amp;Readmefirst!$B$2&amp;", "&amp;Readmefirst!$B$3&amp;". "&amp;B82</f>
        <v>Power: 0 kW. Lifetime: 10000 km. Annual kilometers: 1000 km. Number of passengers: 1. Curb mass: 11.4 kg. Lightweighting of glider: 5%. Emission standard: None. Service visits throughout lifetime: 2.5. Range: 0 km. Battery capacity: 0 kWh. Battery mass: 0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1" spans="1:8" ht="15.6" x14ac:dyDescent="0.3">
      <c r="A101" s="11" t="s">
        <v>80</v>
      </c>
    </row>
    <row r="102" spans="1:8" x14ac:dyDescent="0.3">
      <c r="A102" t="s">
        <v>81</v>
      </c>
      <c r="B102" t="s">
        <v>82</v>
      </c>
      <c r="C102" t="s">
        <v>73</v>
      </c>
      <c r="D102" t="s">
        <v>77</v>
      </c>
      <c r="E102" t="s">
        <v>83</v>
      </c>
      <c r="F102" t="s">
        <v>75</v>
      </c>
      <c r="G102" t="s">
        <v>84</v>
      </c>
      <c r="H102" t="s">
        <v>74</v>
      </c>
    </row>
    <row r="103" spans="1:8" x14ac:dyDescent="0.3">
      <c r="A103" s="12" t="str">
        <f>B73</f>
        <v>Bicycle, conventional, urban, 2040</v>
      </c>
      <c r="B103" s="12">
        <v>1</v>
      </c>
      <c r="C103" s="12" t="str">
        <f>B74</f>
        <v>CH</v>
      </c>
      <c r="D103" s="12" t="str">
        <f>B81</f>
        <v>unit</v>
      </c>
      <c r="E103" s="12"/>
      <c r="F103" s="12" t="s">
        <v>85</v>
      </c>
      <c r="G103" s="12" t="s">
        <v>86</v>
      </c>
      <c r="H103" s="12" t="str">
        <f>B75</f>
        <v>Bicycle, conventional, urban</v>
      </c>
    </row>
    <row r="104" spans="1:8" x14ac:dyDescent="0.3">
      <c r="A104" s="12" t="str">
        <f>INDEX('ei names mapping'!$B$4:$R$33,MATCH($B$3,'ei names mapping'!$A$4:$A$33,0),MATCH(G104,'ei names mapping'!$B$3:$R$3,0))</f>
        <v>bicycle production</v>
      </c>
      <c r="B104" s="14">
        <f>INDEX('vehicles specifications'!$B$3:$CK$86,MATCH(B78,'vehicles specifications'!$A$3:$A$86,0),MATCH(G104,'vehicles specifications'!$B$2:$CK$2,0))*INDEX('ei names mapping'!$B$137:$BK$220,MATCH(B78,'ei names mapping'!$A$137:$A$220,0),MATCH(G104,'ei names mapping'!$B$136:$BK$136,0))</f>
        <v>0.70588235294117641</v>
      </c>
      <c r="C104" s="12" t="str">
        <f>INDEX('ei names mapping'!$B$38:$R$67,MATCH($B$3,'ei names mapping'!$A$4:$A$33,0),MATCH(G104,'ei names mapping'!$B$3:$R$3,0))</f>
        <v>RER</v>
      </c>
      <c r="D104" s="12" t="str">
        <f>INDEX('ei names mapping'!$B$104:$R$133,MATCH(B75,'ei names mapping'!$A$104:$A$133,0),MATCH(G104,'ei names mapping'!$B$3:$R$3,0))</f>
        <v>unit</v>
      </c>
      <c r="E104" s="12"/>
      <c r="F104" s="12" t="s">
        <v>91</v>
      </c>
      <c r="G104" s="21" t="s">
        <v>15</v>
      </c>
      <c r="H104" s="12" t="str">
        <f>INDEX('ei names mapping'!$B$71:$R$100,MATCH($B$3,'ei names mapping'!$A$4:$A$33,0),MATCH(G104,'ei names mapping'!$B$3:$R$3,0))</f>
        <v>bicycle</v>
      </c>
    </row>
    <row r="105" spans="1:8" s="21" customFormat="1" x14ac:dyDescent="0.3">
      <c r="A105" s="12" t="str">
        <f>INDEX('ei names mapping'!$B$4:$R$33,MATCH(B75,'ei names mapping'!$A$4:$A$33,0),MATCH(G105,'ei names mapping'!$B$3:$R$3,0))</f>
        <v>glider lightweighting</v>
      </c>
      <c r="B105" s="16">
        <f>INDEX('vehicles specifications'!$B$3:$CK$86,MATCH(B78,'vehicles specifications'!$A$3:$A$86,0),MATCH(G105,'vehicles specifications'!$B$2:$CK$2,0))*INDEX('ei names mapping'!$B$137:$BK$220,MATCH(B78,'ei names mapping'!$A$137:$A$220,0),MATCH(G105,'ei names mapping'!$B$136:$BK$136,0))</f>
        <v>0.60000000000000009</v>
      </c>
      <c r="C105" s="12" t="str">
        <f>INDEX('ei names mapping'!$B$38:$R$67,MATCH(B75,'ei names mapping'!$A$4:$A$33,0),MATCH(G105,'ei names mapping'!$B$3:$R$3,0))</f>
        <v>GLO</v>
      </c>
      <c r="D105" s="12" t="str">
        <f>INDEX('ei names mapping'!$B$104:$R$133,MATCH(B75,'ei names mapping'!$A$104:$A$133,0),MATCH(G105,'ei names mapping'!$B$3:$R$3,0))</f>
        <v>kilogram</v>
      </c>
      <c r="E105" s="12"/>
      <c r="F105" s="12" t="s">
        <v>91</v>
      </c>
      <c r="G105" s="21" t="s">
        <v>14</v>
      </c>
      <c r="H105" s="12" t="str">
        <f>INDEX('ei names mapping'!$B$71:$R$100,MATCH(B75,'ei names mapping'!$A$4:$A$33,0),MATCH(G105,'ei names mapping'!$B$3:$R$3,0))</f>
        <v>glider lightweighting</v>
      </c>
    </row>
    <row r="106" spans="1:8" s="21" customFormat="1" x14ac:dyDescent="0.3">
      <c r="A106" s="22" t="s">
        <v>468</v>
      </c>
      <c r="B106" s="21">
        <f>(B88/1000)*B99</f>
        <v>11.399999999999999</v>
      </c>
      <c r="C106" s="21" t="s">
        <v>94</v>
      </c>
      <c r="D106" s="21" t="s">
        <v>243</v>
      </c>
      <c r="F106" s="21" t="s">
        <v>91</v>
      </c>
      <c r="H106" s="22" t="s">
        <v>469</v>
      </c>
    </row>
    <row r="107" spans="1:8" s="21" customFormat="1" x14ac:dyDescent="0.3">
      <c r="A107" s="22" t="s">
        <v>467</v>
      </c>
      <c r="B107" s="2">
        <f>(B88/1000)*B98</f>
        <v>181.26</v>
      </c>
      <c r="C107" s="21" t="s">
        <v>98</v>
      </c>
      <c r="D107" s="21" t="s">
        <v>243</v>
      </c>
      <c r="F107" s="21" t="s">
        <v>91</v>
      </c>
      <c r="H107" s="22" t="s">
        <v>467</v>
      </c>
    </row>
    <row r="109" spans="1:8" ht="15.6" x14ac:dyDescent="0.3">
      <c r="A109" s="11" t="s">
        <v>72</v>
      </c>
      <c r="B109" s="9" t="str">
        <f>B111&amp;", "&amp;B113</f>
        <v>Bicycle, conventional, urban, 2050</v>
      </c>
    </row>
    <row r="110" spans="1:8" x14ac:dyDescent="0.3">
      <c r="A110" t="s">
        <v>73</v>
      </c>
      <c r="B110" t="s">
        <v>37</v>
      </c>
    </row>
    <row r="111" spans="1:8" x14ac:dyDescent="0.3">
      <c r="A111" t="s">
        <v>87</v>
      </c>
      <c r="B111" t="s">
        <v>33</v>
      </c>
    </row>
    <row r="112" spans="1:8" x14ac:dyDescent="0.3">
      <c r="A112" t="s">
        <v>88</v>
      </c>
      <c r="B112" s="12"/>
    </row>
    <row r="113" spans="1:2" x14ac:dyDescent="0.3">
      <c r="A113" t="s">
        <v>89</v>
      </c>
      <c r="B113" s="12">
        <v>2050</v>
      </c>
    </row>
    <row r="114" spans="1:2" x14ac:dyDescent="0.3">
      <c r="A114" t="s">
        <v>131</v>
      </c>
      <c r="B114" s="12" t="str">
        <f>B111&amp;" - "&amp;B113&amp;" - "&amp;B110</f>
        <v>Bicycle, conventional, urban - 2050 - CH</v>
      </c>
    </row>
    <row r="115" spans="1:2" x14ac:dyDescent="0.3">
      <c r="A115" t="s">
        <v>74</v>
      </c>
      <c r="B115" t="str">
        <f>B111</f>
        <v>Bicycle, conventional, urban</v>
      </c>
    </row>
    <row r="116" spans="1:2" x14ac:dyDescent="0.3">
      <c r="A116" t="s">
        <v>75</v>
      </c>
      <c r="B116" t="s">
        <v>76</v>
      </c>
    </row>
    <row r="117" spans="1:2" x14ac:dyDescent="0.3">
      <c r="A117" t="s">
        <v>77</v>
      </c>
      <c r="B117" t="s">
        <v>77</v>
      </c>
    </row>
    <row r="118" spans="1:2" x14ac:dyDescent="0.3">
      <c r="A118" t="s">
        <v>79</v>
      </c>
      <c r="B118" t="s">
        <v>90</v>
      </c>
    </row>
    <row r="119" spans="1:2" x14ac:dyDescent="0.3">
      <c r="A119" t="s">
        <v>132</v>
      </c>
      <c r="B119">
        <f>INDEX('vehicles specifications'!$B$3:$CK$86,MATCH(B114,'vehicles specifications'!$A$3:$A$86,0),MATCH("Lifetime [km]",'vehicles specifications'!$B$2:$CK$2,0))</f>
        <v>10000</v>
      </c>
    </row>
    <row r="120" spans="1:2" x14ac:dyDescent="0.3">
      <c r="A120" t="s">
        <v>133</v>
      </c>
      <c r="B120">
        <f>INDEX('vehicles specifications'!$B$3:$CK$86,MATCH(B114,'vehicles specifications'!$A$3:$A$86,0),MATCH("Passengers [unit]",'vehicles specifications'!$B$2:$CK$2,0))</f>
        <v>1</v>
      </c>
    </row>
    <row r="121" spans="1:2" x14ac:dyDescent="0.3">
      <c r="A121" t="s">
        <v>134</v>
      </c>
      <c r="B121">
        <f>INDEX('vehicles specifications'!$B$3:$CK$86,MATCH(B114,'vehicles specifications'!$A$3:$A$86,0),MATCH("Servicing [unit]",'vehicles specifications'!$B$2:$CK$2,0))</f>
        <v>2.5</v>
      </c>
    </row>
    <row r="122" spans="1:2" x14ac:dyDescent="0.3">
      <c r="A122" t="s">
        <v>135</v>
      </c>
      <c r="B122">
        <f>INDEX('vehicles specifications'!$B$3:$CK$86,MATCH(B114,'vehicles specifications'!$A$3:$A$86,0),MATCH("Energy battery replacement [unit]",'vehicles specifications'!$B$2:$CK$2,0))</f>
        <v>0</v>
      </c>
    </row>
    <row r="123" spans="1:2" x14ac:dyDescent="0.3">
      <c r="A123" t="s">
        <v>136</v>
      </c>
      <c r="B123">
        <f>INDEX('vehicles specifications'!$B$3:$CK$86,MATCH(B114,'vehicles specifications'!$A$3:$A$86,0),MATCH("Annual kilometers [km]",'vehicles specifications'!$B$2:$CK$2,0))</f>
        <v>1000</v>
      </c>
    </row>
    <row r="124" spans="1:2" x14ac:dyDescent="0.3">
      <c r="A124" t="s">
        <v>137</v>
      </c>
      <c r="B124">
        <f>INDEX('vehicles specifications'!$B$3:$CK$86,MATCH(B114,'vehicles specifications'!$A$3:$A$86,0),MATCH("Curb mass [kg]",'vehicles specifications'!$B$2:$CK$2,0))</f>
        <v>11.16</v>
      </c>
    </row>
    <row r="125" spans="1:2" x14ac:dyDescent="0.3">
      <c r="A125" t="s">
        <v>138</v>
      </c>
      <c r="B125">
        <f>INDEX('vehicles specifications'!$B$3:$CK$86,MATCH(B114,'vehicles specifications'!$A$3:$A$86,0),MATCH("Power [kW]",'vehicles specifications'!$B$2:$CK$2,0))</f>
        <v>0</v>
      </c>
    </row>
    <row r="126" spans="1:2" x14ac:dyDescent="0.3">
      <c r="A126" t="s">
        <v>139</v>
      </c>
      <c r="B126">
        <f>INDEX('vehicles specifications'!$B$3:$CK$86,MATCH(B114,'vehicles specifications'!$A$3:$A$86,0),MATCH("Energy battery mass [kg]",'vehicles specifications'!$B$2:$CK$2,0))</f>
        <v>0</v>
      </c>
    </row>
    <row r="127" spans="1:2" x14ac:dyDescent="0.3">
      <c r="A127" t="s">
        <v>140</v>
      </c>
      <c r="B127">
        <f>INDEX('vehicles specifications'!$B$3:$CK$86,MATCH(B114,'vehicles specifications'!$A$3:$A$86,0),MATCH("Electric energy available [kWh]",'vehicles specifications'!$B$2:$CK$2,0))</f>
        <v>0</v>
      </c>
    </row>
    <row r="128" spans="1:2" x14ac:dyDescent="0.3">
      <c r="A128" t="s">
        <v>143</v>
      </c>
      <c r="B128">
        <f>INDEX('vehicles specifications'!$B$3:$CK$86,MATCH(B114,'vehicles specifications'!$A$3:$A$86,0),MATCH("Oxydation energy stored [kWh]",'vehicles specifications'!$B$2:$CK$2,0))</f>
        <v>0</v>
      </c>
    </row>
    <row r="129" spans="1:8" x14ac:dyDescent="0.3">
      <c r="A129" t="s">
        <v>145</v>
      </c>
      <c r="B129">
        <f>INDEX('vehicles specifications'!$B$3:$CK$86,MATCH(B114,'vehicles specifications'!$A$3:$A$86,0),MATCH("Fuel mass [kg]",'vehicles specifications'!$B$2:$CK$2,0))</f>
        <v>0</v>
      </c>
    </row>
    <row r="130" spans="1:8" x14ac:dyDescent="0.3">
      <c r="A130" t="s">
        <v>141</v>
      </c>
      <c r="B130">
        <f>INDEX('vehicles specifications'!$B$3:$CK$86,MATCH(B114,'vehicles specifications'!$A$3:$A$86,0),MATCH("Range [km]",'vehicles specifications'!$B$2:$CK$2,0))</f>
        <v>0</v>
      </c>
    </row>
    <row r="131" spans="1:8" x14ac:dyDescent="0.3">
      <c r="A131" t="s">
        <v>142</v>
      </c>
      <c r="B131" t="str">
        <f>INDEX('vehicles specifications'!$B$3:$CK$86,MATCH(B114,'vehicles specifications'!$A$3:$A$86,0),MATCH("Emission standard",'vehicles specifications'!$B$2:$CK$2,0))</f>
        <v>None</v>
      </c>
    </row>
    <row r="132" spans="1:8" x14ac:dyDescent="0.3">
      <c r="A132" t="s">
        <v>144</v>
      </c>
      <c r="B132" s="6">
        <f>INDEX('vehicles specifications'!$B$3:$CK$86,MATCH(B114,'vehicles specifications'!$A$3:$A$86,0),MATCH("Lightweighting rate [%]",'vehicles specifications'!$B$2:$CK$2,0))</f>
        <v>7.0000000000000007E-2</v>
      </c>
    </row>
    <row r="133" spans="1:8" s="21" customFormat="1" x14ac:dyDescent="0.3">
      <c r="A133" s="21" t="s">
        <v>513</v>
      </c>
      <c r="B133" s="6" t="s">
        <v>514</v>
      </c>
    </row>
    <row r="134" spans="1:8" s="21" customFormat="1" x14ac:dyDescent="0.3">
      <c r="A134" s="21" t="s">
        <v>515</v>
      </c>
      <c r="B134" s="2">
        <v>15900</v>
      </c>
    </row>
    <row r="135" spans="1:8" s="21" customFormat="1" x14ac:dyDescent="0.3">
      <c r="A135" s="21" t="s">
        <v>516</v>
      </c>
      <c r="B135" s="2">
        <v>1000</v>
      </c>
    </row>
    <row r="136" spans="1:8" s="21" customFormat="1" x14ac:dyDescent="0.3">
      <c r="A136" s="21" t="s">
        <v>84</v>
      </c>
      <c r="B136" s="21" t="str">
        <f>"Power: "&amp;B125&amp;" kW. Lifetime: "&amp;B119&amp;" km. Annual kilometers: "&amp;ROUND(B123,0)&amp;" km. Number of passengers: "&amp;ROUND(B120,1)&amp;". Curb mass: "&amp;ROUND(B124,1)&amp;" kg. Lightweighting of glider: "&amp;ROUND(B132*100,0)&amp;"%. Emission standard: "&amp;B131&amp;". Service visits throughout lifetime: "&amp;ROUND(B121,1)&amp;". Range: "&amp;ROUND(B130,0)&amp;" km. Battery capacity: "&amp;ROUND(B127,1)&amp;" kWh. Battery mass: "&amp;ROUND(B126,1)&amp; " kg. Battery replacement throughout lifetime: "&amp;ROUND(B122,1)&amp;". Fuel tank capacity: "&amp;ROUND(B128,1)&amp;" kWh. Fuel mass: "&amp;ROUND(B129,1)&amp;" kg. Origin of manufacture: "&amp;B133&amp;". Shipping distance: "&amp;B134&amp;" km. Lorry distribution distance: "&amp;B135&amp;" km. Documentation: "&amp;Readmefirst!$B$2&amp;", "&amp;Readmefirst!$B$3&amp;". "&amp;B118</f>
        <v>Power: 0 kW. Lifetime: 10000 km. Annual kilometers: 1000 km. Number of passengers: 1. Curb mass: 11.2 kg. Lightweighting of glider: 7%. Emission standard: None. Service visits throughout lifetime: 2.5. Range: 0 km. Battery capacity: 0 kWh. Battery mass: 0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37" spans="1:8" ht="15.6" x14ac:dyDescent="0.3">
      <c r="A137" s="11" t="s">
        <v>80</v>
      </c>
    </row>
    <row r="138" spans="1:8" x14ac:dyDescent="0.3">
      <c r="A138" t="s">
        <v>81</v>
      </c>
      <c r="B138" t="s">
        <v>82</v>
      </c>
      <c r="C138" t="s">
        <v>73</v>
      </c>
      <c r="D138" t="s">
        <v>77</v>
      </c>
      <c r="E138" t="s">
        <v>83</v>
      </c>
      <c r="F138" t="s">
        <v>75</v>
      </c>
      <c r="G138" t="s">
        <v>84</v>
      </c>
      <c r="H138" t="s">
        <v>74</v>
      </c>
    </row>
    <row r="139" spans="1:8" x14ac:dyDescent="0.3">
      <c r="A139" s="12" t="str">
        <f>B109</f>
        <v>Bicycle, conventional, urban, 2050</v>
      </c>
      <c r="B139" s="12">
        <v>1</v>
      </c>
      <c r="C139" s="12" t="str">
        <f>B110</f>
        <v>CH</v>
      </c>
      <c r="D139" s="12" t="str">
        <f>B117</f>
        <v>unit</v>
      </c>
      <c r="E139" s="12"/>
      <c r="F139" s="12" t="s">
        <v>85</v>
      </c>
      <c r="G139" s="12" t="s">
        <v>86</v>
      </c>
      <c r="H139" s="12" t="str">
        <f>B111</f>
        <v>Bicycle, conventional, urban</v>
      </c>
    </row>
    <row r="140" spans="1:8" x14ac:dyDescent="0.3">
      <c r="A140" s="12" t="str">
        <f>INDEX('ei names mapping'!$B$4:$R$33,MATCH($B$3,'ei names mapping'!$A$4:$A$33,0),MATCH(G140,'ei names mapping'!$B$3:$R$3,0))</f>
        <v>bicycle production</v>
      </c>
      <c r="B140" s="14">
        <f>INDEX('vehicles specifications'!$B$3:$CK$86,MATCH(B114,'vehicles specifications'!$A$3:$A$86,0),MATCH(G140,'vehicles specifications'!$B$2:$CK$2,0))*INDEX('ei names mapping'!$B$137:$BK$220,MATCH(B114,'ei names mapping'!$A$137:$A$220,0),MATCH(G140,'ei names mapping'!$B$136:$BK$136,0))</f>
        <v>0.70588235294117641</v>
      </c>
      <c r="C140" s="12" t="str">
        <f>INDEX('ei names mapping'!$B$38:$R$67,MATCH($B$3,'ei names mapping'!$A$4:$A$33,0),MATCH(G140,'ei names mapping'!$B$3:$R$3,0))</f>
        <v>RER</v>
      </c>
      <c r="D140" s="12" t="str">
        <f>INDEX('ei names mapping'!$B$104:$R$133,MATCH(B111,'ei names mapping'!$A$104:$A$133,0),MATCH(G140,'ei names mapping'!$B$3:$R$3,0))</f>
        <v>unit</v>
      </c>
      <c r="E140" s="12"/>
      <c r="F140" s="12" t="s">
        <v>91</v>
      </c>
      <c r="G140" s="21" t="s">
        <v>15</v>
      </c>
      <c r="H140" s="12" t="str">
        <f>INDEX('ei names mapping'!$B$71:$R$100,MATCH($B$3,'ei names mapping'!$A$4:$A$33,0),MATCH(G140,'ei names mapping'!$B$3:$R$3,0))</f>
        <v>bicycle</v>
      </c>
    </row>
    <row r="141" spans="1:8" s="21" customFormat="1" x14ac:dyDescent="0.3">
      <c r="A141" s="12" t="str">
        <f>INDEX('ei names mapping'!$B$4:$R$33,MATCH(B111,'ei names mapping'!$A$4:$A$33,0),MATCH(G141,'ei names mapping'!$B$3:$R$3,0))</f>
        <v>glider lightweighting</v>
      </c>
      <c r="B141" s="16">
        <f>INDEX('vehicles specifications'!$B$3:$CK$86,MATCH(B114,'vehicles specifications'!$A$3:$A$86,0),MATCH(G141,'vehicles specifications'!$B$2:$CK$2,0))*INDEX('ei names mapping'!$B$137:$BK$220,MATCH(B114,'ei names mapping'!$A$137:$A$220,0),MATCH(G141,'ei names mapping'!$B$136:$BK$136,0))</f>
        <v>0.84000000000000008</v>
      </c>
      <c r="C141" s="12" t="str">
        <f>INDEX('ei names mapping'!$B$38:$R$67,MATCH(B111,'ei names mapping'!$A$4:$A$33,0),MATCH(G141,'ei names mapping'!$B$3:$R$3,0))</f>
        <v>GLO</v>
      </c>
      <c r="D141" s="12" t="str">
        <f>INDEX('ei names mapping'!$B$104:$R$133,MATCH(B111,'ei names mapping'!$A$104:$A$133,0),MATCH(G141,'ei names mapping'!$B$3:$R$3,0))</f>
        <v>kilogram</v>
      </c>
      <c r="E141" s="12"/>
      <c r="F141" s="12" t="s">
        <v>91</v>
      </c>
      <c r="G141" s="21" t="s">
        <v>14</v>
      </c>
      <c r="H141" s="12" t="str">
        <f>INDEX('ei names mapping'!$B$71:$R$100,MATCH(B111,'ei names mapping'!$A$4:$A$33,0),MATCH(G141,'ei names mapping'!$B$3:$R$3,0))</f>
        <v>glider lightweighting</v>
      </c>
    </row>
    <row r="142" spans="1:8" s="21" customFormat="1" x14ac:dyDescent="0.3">
      <c r="A142" s="22" t="s">
        <v>468</v>
      </c>
      <c r="B142" s="21">
        <f>(B124/1000)*B135</f>
        <v>11.16</v>
      </c>
      <c r="C142" s="21" t="s">
        <v>94</v>
      </c>
      <c r="D142" s="21" t="s">
        <v>243</v>
      </c>
      <c r="F142" s="21" t="s">
        <v>91</v>
      </c>
      <c r="H142" s="22" t="s">
        <v>469</v>
      </c>
    </row>
    <row r="143" spans="1:8" s="21" customFormat="1" x14ac:dyDescent="0.3">
      <c r="A143" s="22" t="s">
        <v>467</v>
      </c>
      <c r="B143" s="2">
        <f>(B124/1000)*B134</f>
        <v>177.44399999999999</v>
      </c>
      <c r="C143" s="21" t="s">
        <v>98</v>
      </c>
      <c r="D143" s="21" t="s">
        <v>243</v>
      </c>
      <c r="F143" s="21" t="s">
        <v>91</v>
      </c>
      <c r="H143" s="22" t="s">
        <v>467</v>
      </c>
    </row>
    <row r="145" spans="1:2" ht="15.6" x14ac:dyDescent="0.3">
      <c r="A145" s="11" t="s">
        <v>72</v>
      </c>
      <c r="B145" s="9" t="str">
        <f>"transport, "&amp;B147&amp;", "&amp;B149</f>
        <v>transport, Bicycle, conventional, urban, 2020</v>
      </c>
    </row>
    <row r="146" spans="1:2" x14ac:dyDescent="0.3">
      <c r="A146" t="s">
        <v>73</v>
      </c>
      <c r="B146" t="s">
        <v>37</v>
      </c>
    </row>
    <row r="147" spans="1:2" x14ac:dyDescent="0.3">
      <c r="A147" t="s">
        <v>87</v>
      </c>
      <c r="B147" t="s">
        <v>33</v>
      </c>
    </row>
    <row r="148" spans="1:2" x14ac:dyDescent="0.3">
      <c r="A148" t="s">
        <v>88</v>
      </c>
      <c r="B148" s="12"/>
    </row>
    <row r="149" spans="1:2" x14ac:dyDescent="0.3">
      <c r="A149" t="s">
        <v>89</v>
      </c>
      <c r="B149" s="12">
        <v>2020</v>
      </c>
    </row>
    <row r="150" spans="1:2" x14ac:dyDescent="0.3">
      <c r="A150" t="s">
        <v>131</v>
      </c>
      <c r="B150" s="12" t="str">
        <f>B147&amp;" - "&amp;B149&amp;" - "&amp;B146</f>
        <v>Bicycle, conventional, urban - 2020 - CH</v>
      </c>
    </row>
    <row r="151" spans="1:2" x14ac:dyDescent="0.3">
      <c r="A151" t="s">
        <v>74</v>
      </c>
      <c r="B151" s="12" t="str">
        <f>"transport, "&amp;B147</f>
        <v>transport, Bicycle, conventional, urban</v>
      </c>
    </row>
    <row r="152" spans="1:2" x14ac:dyDescent="0.3">
      <c r="A152" t="s">
        <v>75</v>
      </c>
      <c r="B152" t="s">
        <v>76</v>
      </c>
    </row>
    <row r="153" spans="1:2" x14ac:dyDescent="0.3">
      <c r="A153" t="s">
        <v>77</v>
      </c>
      <c r="B153" t="s">
        <v>172</v>
      </c>
    </row>
    <row r="154" spans="1:2" x14ac:dyDescent="0.3">
      <c r="A154" t="s">
        <v>79</v>
      </c>
      <c r="B154" t="s">
        <v>90</v>
      </c>
    </row>
    <row r="155" spans="1:2" x14ac:dyDescent="0.3">
      <c r="A155" t="s">
        <v>132</v>
      </c>
      <c r="B155">
        <f>INDEX('vehicles specifications'!$B$3:$CK$86,MATCH(B150,'vehicles specifications'!$A$3:$A$86,0),MATCH("Lifetime [km]",'vehicles specifications'!$B$2:$CK$2,0))</f>
        <v>10000</v>
      </c>
    </row>
    <row r="156" spans="1:2" x14ac:dyDescent="0.3">
      <c r="A156" t="s">
        <v>133</v>
      </c>
      <c r="B156">
        <f>INDEX('vehicles specifications'!$B$3:$CK$86,MATCH(B150,'vehicles specifications'!$A$3:$A$86,0),MATCH("Passengers [unit]",'vehicles specifications'!$B$2:$CK$2,0))</f>
        <v>1</v>
      </c>
    </row>
    <row r="157" spans="1:2" x14ac:dyDescent="0.3">
      <c r="A157" t="s">
        <v>134</v>
      </c>
      <c r="B157">
        <f>INDEX('vehicles specifications'!$B$3:$CK$86,MATCH(B150,'vehicles specifications'!$A$3:$A$86,0),MATCH("Servicing [unit]",'vehicles specifications'!$B$2:$CK$2,0))</f>
        <v>2.5</v>
      </c>
    </row>
    <row r="158" spans="1:2" x14ac:dyDescent="0.3">
      <c r="A158" t="s">
        <v>135</v>
      </c>
      <c r="B158">
        <f>INDEX('vehicles specifications'!$B$3:$CK$86,MATCH(B150,'vehicles specifications'!$A$3:$A$86,0),MATCH("Energy battery replacement [unit]",'vehicles specifications'!$B$2:$CK$2,0))</f>
        <v>0</v>
      </c>
    </row>
    <row r="159" spans="1:2" x14ac:dyDescent="0.3">
      <c r="A159" t="s">
        <v>136</v>
      </c>
      <c r="B159">
        <f>INDEX('vehicles specifications'!$B$3:$CK$86,MATCH(B150,'vehicles specifications'!$A$3:$A$86,0),MATCH("Annual kilometers [km]",'vehicles specifications'!$B$2:$CK$2,0))</f>
        <v>1000</v>
      </c>
    </row>
    <row r="160" spans="1:2" x14ac:dyDescent="0.3">
      <c r="A160" t="s">
        <v>137</v>
      </c>
      <c r="B160">
        <f>INDEX('vehicles specifications'!$B$3:$CK$86,MATCH(B150,'vehicles specifications'!$A$3:$A$86,0),MATCH("Curb mass [kg]",'vehicles specifications'!$B$2:$CK$2,0))</f>
        <v>12</v>
      </c>
    </row>
    <row r="161" spans="1:8" x14ac:dyDescent="0.3">
      <c r="A161" t="s">
        <v>138</v>
      </c>
      <c r="B161">
        <f>INDEX('vehicles specifications'!$B$3:$CK$86,MATCH(B150,'vehicles specifications'!$A$3:$A$86,0),MATCH("Power [kW]",'vehicles specifications'!$B$2:$CK$2,0))</f>
        <v>0</v>
      </c>
    </row>
    <row r="162" spans="1:8" x14ac:dyDescent="0.3">
      <c r="A162" t="s">
        <v>139</v>
      </c>
      <c r="B162">
        <f>INDEX('vehicles specifications'!$B$3:$CK$86,MATCH(B150,'vehicles specifications'!$A$3:$A$86,0),MATCH("Energy battery mass [kg]",'vehicles specifications'!$B$2:$CK$2,0))</f>
        <v>0</v>
      </c>
    </row>
    <row r="163" spans="1:8" x14ac:dyDescent="0.3">
      <c r="A163" t="s">
        <v>140</v>
      </c>
      <c r="B163">
        <f>INDEX('vehicles specifications'!$B$3:$CK$86,MATCH(B150,'vehicles specifications'!$A$3:$A$86,0),MATCH("Electric energy available [kWh]",'vehicles specifications'!$B$2:$CK$2,0))</f>
        <v>0</v>
      </c>
    </row>
    <row r="164" spans="1:8" x14ac:dyDescent="0.3">
      <c r="A164" t="s">
        <v>143</v>
      </c>
      <c r="B164">
        <f>INDEX('vehicles specifications'!$B$3:$CK$86,MATCH(B150,'vehicles specifications'!$A$3:$A$86,0),MATCH("Oxydation energy stored [kWh]",'vehicles specifications'!$B$2:$CK$2,0))</f>
        <v>0</v>
      </c>
    </row>
    <row r="165" spans="1:8" x14ac:dyDescent="0.3">
      <c r="A165" t="s">
        <v>145</v>
      </c>
      <c r="B165">
        <f>INDEX('vehicles specifications'!$B$3:$CK$86,MATCH(B150,'vehicles specifications'!$A$3:$A$86,0),MATCH("Fuel mass [kg]",'vehicles specifications'!$B$2:$CK$2,0))</f>
        <v>0</v>
      </c>
    </row>
    <row r="166" spans="1:8" x14ac:dyDescent="0.3">
      <c r="A166" t="s">
        <v>141</v>
      </c>
      <c r="B166">
        <f>INDEX('vehicles specifications'!$B$3:$CK$86,MATCH(B150,'vehicles specifications'!$A$3:$A$86,0),MATCH("Range [km]",'vehicles specifications'!$B$2:$CK$2,0))</f>
        <v>0</v>
      </c>
    </row>
    <row r="167" spans="1:8" x14ac:dyDescent="0.3">
      <c r="A167" t="s">
        <v>142</v>
      </c>
      <c r="B167" t="str">
        <f>INDEX('vehicles specifications'!$B$3:$CK$86,MATCH(B150,'vehicles specifications'!$A$3:$A$86,0),MATCH("Emission standard",'vehicles specifications'!$B$2:$CK$2,0))</f>
        <v>None</v>
      </c>
    </row>
    <row r="168" spans="1:8" x14ac:dyDescent="0.3">
      <c r="A168" t="s">
        <v>144</v>
      </c>
      <c r="B168" s="6">
        <f>INDEX('vehicles specifications'!$B$3:$CK$86,MATCH(B150,'vehicles specifications'!$A$3:$A$86,0),MATCH("Lightweighting rate [%]",'vehicles specifications'!$B$2:$CK$2,0))</f>
        <v>0</v>
      </c>
    </row>
    <row r="169" spans="1:8" x14ac:dyDescent="0.3">
      <c r="A169" t="s">
        <v>84</v>
      </c>
      <c r="B169" s="21" t="str">
        <f>"Power: "&amp;B161&amp;" kW. Lifetime: "&amp;B155&amp;" km. Annual kilometers: "&amp;B159&amp;" km. Number of passengers: "&amp;B156&amp;". Curb mass: "&amp;ROUND(B160,1)&amp;" kg. Lightweighting of glider: "&amp;ROUND(B168*100,0)&amp;"%. Emission standard: "&amp;B167&amp;". Service visits throughout lifetime: "&amp;ROUND(B157,1)&amp;". Range: "&amp;ROUND(B166,0)&amp;" km. Battery capacity: "&amp;ROUND(B163,1)&amp;" kWh. Battery mass: "&amp;ROUND(B162,1)&amp; " kg. Battery replacement throughout lifetime: "&amp;ROUND(B158,1)&amp;". Fuel tank capacity: "&amp;ROUND(B164,1)&amp;" kWh. Fuel mass: "&amp;ROUND(B165,1)&amp;" kg. Documentation: "&amp;Readmefirst!$B$2&amp;", "&amp;Readmefirst!$B$3&amp;". "&amp;B154</f>
        <v>Power: 0 kW. Lifetime: 10000 km. Annual kilometers: 1000 km. Number of passengers: 1. Curb mass: 12 kg. Lightweighting of glider: 0%. Emission standard: None. Service visits throughout lifetime: 2.5.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70" spans="1:8" ht="15.6" x14ac:dyDescent="0.3">
      <c r="A170" s="11" t="s">
        <v>80</v>
      </c>
    </row>
    <row r="171" spans="1:8" x14ac:dyDescent="0.3">
      <c r="A171" t="s">
        <v>81</v>
      </c>
      <c r="B171" t="s">
        <v>82</v>
      </c>
      <c r="C171" t="s">
        <v>73</v>
      </c>
      <c r="D171" t="s">
        <v>77</v>
      </c>
      <c r="E171" t="s">
        <v>83</v>
      </c>
      <c r="F171" t="s">
        <v>75</v>
      </c>
      <c r="G171" t="s">
        <v>84</v>
      </c>
      <c r="H171" t="s">
        <v>74</v>
      </c>
    </row>
    <row r="172" spans="1:8" x14ac:dyDescent="0.3">
      <c r="A172" s="12" t="str">
        <f>B145</f>
        <v>transport, Bicycle, conventional, urban, 2020</v>
      </c>
      <c r="B172" s="12">
        <v>1</v>
      </c>
      <c r="C172" s="12" t="str">
        <f>B146</f>
        <v>CH</v>
      </c>
      <c r="D172" s="12" t="s">
        <v>172</v>
      </c>
      <c r="E172" s="12"/>
      <c r="F172" s="12" t="s">
        <v>85</v>
      </c>
      <c r="G172" s="12" t="s">
        <v>86</v>
      </c>
      <c r="H172" s="12" t="str">
        <f>B151</f>
        <v>transport, Bicycle, conventional, urban</v>
      </c>
    </row>
    <row r="173" spans="1:8" x14ac:dyDescent="0.3">
      <c r="A173" s="12" t="str">
        <f>RIGHT(A172,LEN(A172)-11)</f>
        <v>Bicycle, conventional, urban, 2020</v>
      </c>
      <c r="B173" s="12">
        <f>1/B155</f>
        <v>1E-4</v>
      </c>
      <c r="C173" s="12" t="str">
        <f>B146</f>
        <v>CH</v>
      </c>
      <c r="D173" s="12" t="s">
        <v>77</v>
      </c>
      <c r="E173" s="12"/>
      <c r="F173" s="12" t="s">
        <v>91</v>
      </c>
      <c r="G173" s="12"/>
      <c r="H173" s="12" t="str">
        <f>RIGHT(H172,LEN(H172)-11)</f>
        <v>Bicycle, conventional, urban</v>
      </c>
    </row>
    <row r="174" spans="1:8" s="21" customFormat="1" x14ac:dyDescent="0.3">
      <c r="A174" s="12" t="str">
        <f>INDEX('ei names mapping'!$B$4:$R$33,MATCH(B147,'ei names mapping'!$A$4:$A$33,0),MATCH(G174,'ei names mapping'!$B$3:$R$3,0))</f>
        <v>road construction</v>
      </c>
      <c r="B174" s="16">
        <f>INDEX('vehicles specifications'!$B$3:$CK$86,MATCH(B150,'vehicles specifications'!$A$3:$A$86,0),MATCH(G174,'vehicles specifications'!$B$2:$CK$2,0))*INDEX('ei names mapping'!$B$137:$BK$220,MATCH(B150,'ei names mapping'!$A$137:$A$220,0),MATCH(G174,'ei names mapping'!$B$136:$BK$136,0))</f>
        <v>4.4570999999999997E-5</v>
      </c>
      <c r="C174" s="12" t="str">
        <f>INDEX('ei names mapping'!$B$38:$R$67,MATCH(B147,'ei names mapping'!$A$4:$A$33,0),MATCH(G174,'ei names mapping'!$B$3:$R$3,0))</f>
        <v>CH</v>
      </c>
      <c r="D174" s="12" t="str">
        <f>INDEX('ei names mapping'!$B$104:$BK$133,MATCH(B147,'ei names mapping'!$A$4:$A$33,0),MATCH(G174,'ei names mapping'!$B$3:$BK$3,0))</f>
        <v>meter-year</v>
      </c>
      <c r="E174" s="12"/>
      <c r="F174" s="12" t="s">
        <v>91</v>
      </c>
      <c r="G174" s="21" t="s">
        <v>108</v>
      </c>
      <c r="H174" s="12" t="str">
        <f>INDEX('ei names mapping'!$B$71:$BK$100,MATCH(B147,'ei names mapping'!$A$4:$A$33,0),MATCH(G174,'ei names mapping'!$B$3:$BK$3,0))</f>
        <v>road</v>
      </c>
    </row>
    <row r="175" spans="1:8" x14ac:dyDescent="0.3">
      <c r="A175" s="12" t="str">
        <f>INDEX('ei names mapping'!$B$4:$R$33,MATCH($B$3,'ei names mapping'!$A$4:$A$33,0),MATCH(G175,'ei names mapping'!$B$3:$R$3,0))</f>
        <v>maintenance, bicycle</v>
      </c>
      <c r="B175" s="14">
        <f>INDEX('vehicles specifications'!$B$3:$CK$86,MATCH(B150,'vehicles specifications'!$A$3:$A$86,0),MATCH(G175,'vehicles specifications'!$B$2:$CK$2,0))*INDEX('ei names mapping'!$B$137:$BK$220,MATCH(B150,'ei names mapping'!$A$137:$A$220,0),MATCH(G175,'ei names mapping'!$B$136:$BK$136,0))</f>
        <v>2.5000000000000001E-4</v>
      </c>
      <c r="C175" s="12" t="str">
        <f>INDEX('ei names mapping'!$B$38:$R$67,MATCH($B$3,'ei names mapping'!$A$4:$A$33,0),MATCH(G175,'ei names mapping'!$B$3:$R$3,0))</f>
        <v>CH</v>
      </c>
      <c r="D175" s="12" t="str">
        <f>INDEX('ei names mapping'!$B$104:$R$133,MATCH($B$3,'ei names mapping'!$A$4:$A$33,0),MATCH(G175,'ei names mapping'!$B$3:$R$3,0))</f>
        <v>unit</v>
      </c>
      <c r="E175" s="12"/>
      <c r="F175" s="12" t="s">
        <v>91</v>
      </c>
      <c r="G175" t="s">
        <v>123</v>
      </c>
      <c r="H175" s="12" t="str">
        <f>INDEX('ei names mapping'!$B$71:$R$100,MATCH($B$3,'ei names mapping'!$A$4:$A$33,0),MATCH(G175,'ei names mapping'!$B$3:$R$3,0))</f>
        <v>maintenance, bicycle</v>
      </c>
    </row>
    <row r="176" spans="1:8" x14ac:dyDescent="0.3">
      <c r="A176" s="12" t="str">
        <f>INDEX('ei names mapping'!$B$4:$BK$33,MATCH($B$147,'ei names mapping'!$A$4:$A$33,0),MATCH(G176,'ei names mapping'!$B$3:$BK$3,0))</f>
        <v>treatment of road wear emissions, passenger car</v>
      </c>
      <c r="B176" s="15">
        <f>INDEX('vehicles specifications'!$B$3:$CK$86,MATCH(B150,'vehicles specifications'!$A$3:$A$86,0),MATCH(G176,'vehicles specifications'!$B$2:$CK$2,0))*INDEX('ei names mapping'!$B$137:$BK$220,MATCH(B150,'ei names mapping'!$A$137:$A$220,0),MATCH(G176,'ei names mapping'!$B$136:$BK$136,0))</f>
        <v>-3.0000000000000001E-6</v>
      </c>
      <c r="C176" s="12" t="str">
        <f>INDEX('ei names mapping'!$B$38:$BK$67,MATCH($B$147,'ei names mapping'!$A$4:$A$33,0),MATCH(G176,'ei names mapping'!$B$3:$BK$3,0))</f>
        <v>RER</v>
      </c>
      <c r="D176" s="12" t="str">
        <f>INDEX('ei names mapping'!$B$104:$BK$133,MATCH($B$147,'ei names mapping'!$A$4:$A$33,0),MATCH(G176,'ei names mapping'!$B$3:$BK$3,0))</f>
        <v>kilogram</v>
      </c>
      <c r="E176" s="12"/>
      <c r="F176" s="12" t="s">
        <v>91</v>
      </c>
      <c r="G176" t="s">
        <v>29</v>
      </c>
      <c r="H176" s="12" t="str">
        <f>INDEX('ei names mapping'!$B$71:$BK$100,MATCH(B147,'ei names mapping'!$A$4:$A$33,0),MATCH(G176,'ei names mapping'!$B$3:$BK$3,0))</f>
        <v>road wear emissions, passenger car</v>
      </c>
    </row>
    <row r="177" spans="1:8" x14ac:dyDescent="0.3">
      <c r="A177" s="12" t="str">
        <f>INDEX('ei names mapping'!$B$4:$BK$33,MATCH($B$147,'ei names mapping'!$A$4:$A$33,0),MATCH(G177,'ei names mapping'!$B$3:$BK$3,0))</f>
        <v>treatment of tyre wear emissions, passenger car</v>
      </c>
      <c r="B177" s="15">
        <f>INDEX('vehicles specifications'!$B$3:$CK$86,MATCH(B150,'vehicles specifications'!$A$3:$A$86,0),MATCH(G177,'vehicles specifications'!$B$2:$CK$2,0))*INDEX('ei names mapping'!$B$137:$BK$220,MATCH(B150,'ei names mapping'!$A$137:$A$220,0),MATCH(G177,'ei names mapping'!$B$136:$BK$136,0))</f>
        <v>-2.9189999999999999E-6</v>
      </c>
      <c r="C177" s="12" t="str">
        <f>INDEX('ei names mapping'!$B$38:$BK$67,MATCH($B$147,'ei names mapping'!$A$4:$A$33,0),MATCH(G177,'ei names mapping'!$B$3:$BK$3,0))</f>
        <v>RER</v>
      </c>
      <c r="D177" s="12" t="str">
        <f>INDEX('ei names mapping'!$B$104:$BK$133,MATCH($B$147,'ei names mapping'!$A$4:$A$33,0),MATCH(G177,'ei names mapping'!$B$3:$BK$3,0))</f>
        <v>kilogram</v>
      </c>
      <c r="E177" s="12"/>
      <c r="F177" s="12" t="s">
        <v>91</v>
      </c>
      <c r="G177" t="s">
        <v>30</v>
      </c>
      <c r="H177" s="12" t="str">
        <f>INDEX('ei names mapping'!$B$71:$BK$100,MATCH($B$147,'ei names mapping'!$A$4:$A$33,0),MATCH(G177,'ei names mapping'!$B$3:$BK$3,0))</f>
        <v>tyre wear emissions, passenger car</v>
      </c>
    </row>
    <row r="178" spans="1:8" x14ac:dyDescent="0.3">
      <c r="A178" s="12" t="str">
        <f>INDEX('ei names mapping'!$B$4:$BK$33,MATCH($B$147,'ei names mapping'!$A$4:$A$33,0),MATCH(G178,'ei names mapping'!$B$3:$BK$3,0))</f>
        <v>treatment of brake wear emissions, passenger car</v>
      </c>
      <c r="B178" s="15">
        <f>INDEX('vehicles specifications'!$B$3:$CK$86,MATCH(B150,'vehicles specifications'!$A$3:$A$86,0),MATCH(G178,'vehicles specifications'!$B$2:$CK$2,0))*INDEX('ei names mapping'!$B$137:$BK$220,MATCH(B150,'ei names mapping'!$A$137:$A$220,0),MATCH(G178,'ei names mapping'!$B$136:$BK$136,0))</f>
        <v>-1.8370000000000002E-6</v>
      </c>
      <c r="C178" s="12" t="str">
        <f>INDEX('ei names mapping'!$B$38:$BK$67,MATCH($B$147,'ei names mapping'!$A$4:$A$33,0),MATCH(G178,'ei names mapping'!$B$3:$BK$3,0))</f>
        <v>RER</v>
      </c>
      <c r="D178" s="12" t="str">
        <f>INDEX('ei names mapping'!$B$104:$BK$133,MATCH($B$147,'ei names mapping'!$A$4:$A$33,0),MATCH(G178,'ei names mapping'!$B$3:$BK$3,0))</f>
        <v>kilogram</v>
      </c>
      <c r="E178" s="12"/>
      <c r="F178" s="12" t="s">
        <v>91</v>
      </c>
      <c r="G178" t="s">
        <v>31</v>
      </c>
      <c r="H178" s="12" t="str">
        <f>INDEX('ei names mapping'!$B$71:$BK$100,MATCH($B$147,'ei names mapping'!$A$4:$A$33,0),MATCH(G178,'ei names mapping'!$B$3:$BK$3,0))</f>
        <v>brake wear emissions, passenger car</v>
      </c>
    </row>
    <row r="180" spans="1:8" ht="15.6" x14ac:dyDescent="0.3">
      <c r="A180" s="11" t="s">
        <v>72</v>
      </c>
      <c r="B180" s="9" t="str">
        <f>"transport, "&amp;B182&amp;", "&amp;B184</f>
        <v>transport, Bicycle, conventional, urban, 2030</v>
      </c>
    </row>
    <row r="181" spans="1:8" x14ac:dyDescent="0.3">
      <c r="A181" t="s">
        <v>73</v>
      </c>
      <c r="B181" t="s">
        <v>37</v>
      </c>
    </row>
    <row r="182" spans="1:8" x14ac:dyDescent="0.3">
      <c r="A182" t="s">
        <v>87</v>
      </c>
      <c r="B182" t="s">
        <v>33</v>
      </c>
    </row>
    <row r="183" spans="1:8" x14ac:dyDescent="0.3">
      <c r="A183" t="s">
        <v>88</v>
      </c>
      <c r="B183" s="12"/>
    </row>
    <row r="184" spans="1:8" x14ac:dyDescent="0.3">
      <c r="A184" t="s">
        <v>89</v>
      </c>
      <c r="B184" s="12">
        <v>2030</v>
      </c>
    </row>
    <row r="185" spans="1:8" x14ac:dyDescent="0.3">
      <c r="A185" t="s">
        <v>131</v>
      </c>
      <c r="B185" s="12" t="str">
        <f>B182&amp;" - "&amp;B184&amp;" - "&amp;B181</f>
        <v>Bicycle, conventional, urban - 2030 - CH</v>
      </c>
    </row>
    <row r="186" spans="1:8" x14ac:dyDescent="0.3">
      <c r="A186" t="s">
        <v>74</v>
      </c>
      <c r="B186" s="12" t="str">
        <f>"transport, "&amp;B182</f>
        <v>transport, Bicycle, conventional, urban</v>
      </c>
    </row>
    <row r="187" spans="1:8" x14ac:dyDescent="0.3">
      <c r="A187" t="s">
        <v>75</v>
      </c>
      <c r="B187" t="s">
        <v>76</v>
      </c>
    </row>
    <row r="188" spans="1:8" x14ac:dyDescent="0.3">
      <c r="A188" t="s">
        <v>77</v>
      </c>
      <c r="B188" t="s">
        <v>172</v>
      </c>
    </row>
    <row r="189" spans="1:8" x14ac:dyDescent="0.3">
      <c r="A189" t="s">
        <v>79</v>
      </c>
      <c r="B189" t="s">
        <v>90</v>
      </c>
    </row>
    <row r="190" spans="1:8" x14ac:dyDescent="0.3">
      <c r="A190" t="s">
        <v>132</v>
      </c>
      <c r="B190">
        <f>INDEX('vehicles specifications'!$B$3:$CK$86,MATCH(B185,'vehicles specifications'!$A$3:$A$86,0),MATCH("Lifetime [km]",'vehicles specifications'!$B$2:$CK$2,0))</f>
        <v>10000</v>
      </c>
    </row>
    <row r="191" spans="1:8" x14ac:dyDescent="0.3">
      <c r="A191" t="s">
        <v>133</v>
      </c>
      <c r="B191">
        <f>INDEX('vehicles specifications'!$B$3:$CK$86,MATCH(B185,'vehicles specifications'!$A$3:$A$86,0),MATCH("Passengers [unit]",'vehicles specifications'!$B$2:$CK$2,0))</f>
        <v>1</v>
      </c>
    </row>
    <row r="192" spans="1:8" x14ac:dyDescent="0.3">
      <c r="A192" t="s">
        <v>134</v>
      </c>
      <c r="B192">
        <f>INDEX('vehicles specifications'!$B$3:$CK$86,MATCH(B185,'vehicles specifications'!$A$3:$A$86,0),MATCH("Servicing [unit]",'vehicles specifications'!$B$2:$CK$2,0))</f>
        <v>2.5</v>
      </c>
    </row>
    <row r="193" spans="1:8" x14ac:dyDescent="0.3">
      <c r="A193" t="s">
        <v>135</v>
      </c>
      <c r="B193">
        <f>INDEX('vehicles specifications'!$B$3:$CK$86,MATCH(B185,'vehicles specifications'!$A$3:$A$86,0),MATCH("Energy battery replacement [unit]",'vehicles specifications'!$B$2:$CK$2,0))</f>
        <v>0</v>
      </c>
    </row>
    <row r="194" spans="1:8" x14ac:dyDescent="0.3">
      <c r="A194" t="s">
        <v>136</v>
      </c>
      <c r="B194">
        <f>INDEX('vehicles specifications'!$B$3:$CK$86,MATCH(B185,'vehicles specifications'!$A$3:$A$86,0),MATCH("Annual kilometers [km]",'vehicles specifications'!$B$2:$CK$2,0))</f>
        <v>1000</v>
      </c>
    </row>
    <row r="195" spans="1:8" x14ac:dyDescent="0.3">
      <c r="A195" t="s">
        <v>137</v>
      </c>
      <c r="B195">
        <f>INDEX('vehicles specifications'!$B$3:$CK$86,MATCH(B185,'vehicles specifications'!$A$3:$A$86,0),MATCH("Curb mass [kg]",'vehicles specifications'!$B$2:$CK$2,0))</f>
        <v>11.64</v>
      </c>
    </row>
    <row r="196" spans="1:8" x14ac:dyDescent="0.3">
      <c r="A196" t="s">
        <v>138</v>
      </c>
      <c r="B196">
        <f>INDEX('vehicles specifications'!$B$3:$CK$86,MATCH(B185,'vehicles specifications'!$A$3:$A$86,0),MATCH("Power [kW]",'vehicles specifications'!$B$2:$CK$2,0))</f>
        <v>0</v>
      </c>
    </row>
    <row r="197" spans="1:8" x14ac:dyDescent="0.3">
      <c r="A197" t="s">
        <v>139</v>
      </c>
      <c r="B197">
        <f>INDEX('vehicles specifications'!$B$3:$CK$86,MATCH(B185,'vehicles specifications'!$A$3:$A$86,0),MATCH("Energy battery mass [kg]",'vehicles specifications'!$B$2:$CK$2,0))</f>
        <v>0</v>
      </c>
    </row>
    <row r="198" spans="1:8" x14ac:dyDescent="0.3">
      <c r="A198" t="s">
        <v>140</v>
      </c>
      <c r="B198">
        <f>INDEX('vehicles specifications'!$B$3:$CK$86,MATCH(B185,'vehicles specifications'!$A$3:$A$86,0),MATCH("Electric energy available [kWh]",'vehicles specifications'!$B$2:$CK$2,0))</f>
        <v>0</v>
      </c>
    </row>
    <row r="199" spans="1:8" x14ac:dyDescent="0.3">
      <c r="A199" t="s">
        <v>143</v>
      </c>
      <c r="B199">
        <f>INDEX('vehicles specifications'!$B$3:$CK$86,MATCH(B185,'vehicles specifications'!$A$3:$A$86,0),MATCH("Oxydation energy stored [kWh]",'vehicles specifications'!$B$2:$CK$2,0))</f>
        <v>0</v>
      </c>
    </row>
    <row r="200" spans="1:8" x14ac:dyDescent="0.3">
      <c r="A200" t="s">
        <v>145</v>
      </c>
      <c r="B200">
        <f>INDEX('vehicles specifications'!$B$3:$CK$86,MATCH(B185,'vehicles specifications'!$A$3:$A$86,0),MATCH("Fuel mass [kg]",'vehicles specifications'!$B$2:$CK$2,0))</f>
        <v>0</v>
      </c>
    </row>
    <row r="201" spans="1:8" x14ac:dyDescent="0.3">
      <c r="A201" t="s">
        <v>141</v>
      </c>
      <c r="B201">
        <f>INDEX('vehicles specifications'!$B$3:$CK$86,MATCH(B185,'vehicles specifications'!$A$3:$A$86,0),MATCH("Range [km]",'vehicles specifications'!$B$2:$CK$2,0))</f>
        <v>0</v>
      </c>
    </row>
    <row r="202" spans="1:8" x14ac:dyDescent="0.3">
      <c r="A202" t="s">
        <v>142</v>
      </c>
      <c r="B202" t="str">
        <f>INDEX('vehicles specifications'!$B$3:$CK$86,MATCH(B185,'vehicles specifications'!$A$3:$A$86,0),MATCH("Emission standard",'vehicles specifications'!$B$2:$CK$2,0))</f>
        <v>None</v>
      </c>
    </row>
    <row r="203" spans="1:8" x14ac:dyDescent="0.3">
      <c r="A203" t="s">
        <v>144</v>
      </c>
      <c r="B203" s="6">
        <f>INDEX('vehicles specifications'!$B$3:$CK$86,MATCH(B185,'vehicles specifications'!$A$3:$A$86,0),MATCH("Lightweighting rate [%]",'vehicles specifications'!$B$2:$CK$2,0))</f>
        <v>0.03</v>
      </c>
    </row>
    <row r="204" spans="1:8" x14ac:dyDescent="0.3">
      <c r="A204" t="s">
        <v>84</v>
      </c>
      <c r="B204" s="21" t="str">
        <f>"Power: "&amp;B196&amp;" kW. Lifetime: "&amp;B190&amp;" km. Annual kilometers: "&amp;B194&amp;" km. Number of passengers: "&amp;B191&amp;". Curb mass: "&amp;ROUND(B195,1)&amp;" kg. Lightweighting of glider: "&amp;ROUND(B203*100,0)&amp;"%. Emission standard: "&amp;B202&amp;". Service visits throughout lifetime: "&amp;ROUND(B192,1)&amp;". Range: "&amp;ROUND(B201,0)&amp;" km. Battery capacity: "&amp;ROUND(B198,1)&amp;" kWh. Battery mass: "&amp;ROUND(B197,1)&amp; " kg. Battery replacement throughout lifetime: "&amp;ROUND(B193,1)&amp;". Fuel tank capacity: "&amp;ROUND(B199,1)&amp;" kWh. Fuel mass: "&amp;ROUND(B200,1)&amp;" kg. Documentation: "&amp;Readmefirst!$B$2&amp;", "&amp;Readmefirst!$B$3&amp;". "&amp;B189</f>
        <v>Power: 0 kW. Lifetime: 10000 km. Annual kilometers: 1000 km. Number of passengers: 1. Curb mass: 11.6 kg. Lightweighting of glider: 3%. Emission standard: None. Service visits throughout lifetime: 2.5.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5" spans="1:8" ht="15.6" x14ac:dyDescent="0.3">
      <c r="A205" s="11" t="s">
        <v>80</v>
      </c>
    </row>
    <row r="206" spans="1:8" x14ac:dyDescent="0.3">
      <c r="A206" t="s">
        <v>81</v>
      </c>
      <c r="B206" t="s">
        <v>82</v>
      </c>
      <c r="C206" t="s">
        <v>73</v>
      </c>
      <c r="D206" t="s">
        <v>77</v>
      </c>
      <c r="E206" t="s">
        <v>83</v>
      </c>
      <c r="F206" t="s">
        <v>75</v>
      </c>
      <c r="G206" t="s">
        <v>84</v>
      </c>
      <c r="H206" t="s">
        <v>74</v>
      </c>
    </row>
    <row r="207" spans="1:8" x14ac:dyDescent="0.3">
      <c r="A207" s="12" t="str">
        <f>B180</f>
        <v>transport, Bicycle, conventional, urban, 2030</v>
      </c>
      <c r="B207" s="12">
        <v>1</v>
      </c>
      <c r="C207" s="12" t="str">
        <f>B181</f>
        <v>CH</v>
      </c>
      <c r="D207" s="12" t="s">
        <v>172</v>
      </c>
      <c r="E207" s="12"/>
      <c r="F207" s="12" t="s">
        <v>85</v>
      </c>
      <c r="G207" s="12" t="s">
        <v>86</v>
      </c>
      <c r="H207" s="12" t="str">
        <f>B186</f>
        <v>transport, Bicycle, conventional, urban</v>
      </c>
    </row>
    <row r="208" spans="1:8" x14ac:dyDescent="0.3">
      <c r="A208" s="12" t="str">
        <f>RIGHT(A207,LEN(A207)-11)</f>
        <v>Bicycle, conventional, urban, 2030</v>
      </c>
      <c r="B208" s="12">
        <f>1/B190</f>
        <v>1E-4</v>
      </c>
      <c r="C208" s="12" t="str">
        <f>B181</f>
        <v>CH</v>
      </c>
      <c r="D208" s="12" t="s">
        <v>77</v>
      </c>
      <c r="E208" s="12"/>
      <c r="F208" s="12" t="s">
        <v>91</v>
      </c>
      <c r="G208" s="12"/>
      <c r="H208" s="12" t="str">
        <f>RIGHT(H207,LEN(H207)-11)</f>
        <v>Bicycle, conventional, urban</v>
      </c>
    </row>
    <row r="209" spans="1:8" s="21" customFormat="1" x14ac:dyDescent="0.3">
      <c r="A209" s="12" t="str">
        <f>INDEX('ei names mapping'!$B$4:$R$33,MATCH(B182,'ei names mapping'!$A$4:$A$33,0),MATCH(G209,'ei names mapping'!$B$3:$R$3,0))</f>
        <v>road construction</v>
      </c>
      <c r="B209" s="16">
        <f>INDEX('vehicles specifications'!$B$3:$CK$86,MATCH(B185,'vehicles specifications'!$A$3:$A$86,0),MATCH(G209,'vehicles specifications'!$B$2:$CK$2,0))*INDEX('ei names mapping'!$B$137:$BK$220,MATCH(B185,'ei names mapping'!$A$137:$A$220,0),MATCH(G209,'ei names mapping'!$B$136:$BK$136,0))</f>
        <v>4.4377679999999999E-5</v>
      </c>
      <c r="C209" s="12" t="str">
        <f>INDEX('ei names mapping'!$B$38:$R$67,MATCH(B182,'ei names mapping'!$A$4:$A$33,0),MATCH(G209,'ei names mapping'!$B$3:$R$3,0))</f>
        <v>CH</v>
      </c>
      <c r="D209" s="12" t="str">
        <f>INDEX('ei names mapping'!$B$104:$BK$133,MATCH(B182,'ei names mapping'!$A$4:$A$33,0),MATCH(G209,'ei names mapping'!$B$3:$BK$3,0))</f>
        <v>meter-year</v>
      </c>
      <c r="E209" s="12"/>
      <c r="F209" s="12" t="s">
        <v>91</v>
      </c>
      <c r="G209" s="21" t="s">
        <v>108</v>
      </c>
      <c r="H209" s="12" t="str">
        <f>INDEX('ei names mapping'!$B$71:$BK$100,MATCH(B182,'ei names mapping'!$A$4:$A$33,0),MATCH(G209,'ei names mapping'!$B$3:$BK$3,0))</f>
        <v>road</v>
      </c>
    </row>
    <row r="210" spans="1:8" x14ac:dyDescent="0.3">
      <c r="A210" s="12" t="str">
        <f>INDEX('ei names mapping'!$B$4:$R$33,MATCH($B$3,'ei names mapping'!$A$4:$A$33,0),MATCH(G210,'ei names mapping'!$B$3:$R$3,0))</f>
        <v>maintenance, bicycle</v>
      </c>
      <c r="B210" s="14">
        <f>INDEX('vehicles specifications'!$B$3:$CK$86,MATCH(B185,'vehicles specifications'!$A$3:$A$86,0),MATCH(G210,'vehicles specifications'!$B$2:$CK$2,0))*INDEX('ei names mapping'!$B$137:$BK$220,MATCH(B185,'ei names mapping'!$A$137:$A$220,0),MATCH(G210,'ei names mapping'!$B$136:$BK$136,0))</f>
        <v>2.5000000000000001E-4</v>
      </c>
      <c r="C210" s="12" t="str">
        <f>INDEX('ei names mapping'!$B$38:$R$67,MATCH($B$3,'ei names mapping'!$A$4:$A$33,0),MATCH(G210,'ei names mapping'!$B$3:$R$3,0))</f>
        <v>CH</v>
      </c>
      <c r="D210" s="12" t="str">
        <f>INDEX('ei names mapping'!$B$104:$R$133,MATCH($B$3,'ei names mapping'!$A$4:$A$33,0),MATCH(G210,'ei names mapping'!$B$3:$R$3,0))</f>
        <v>unit</v>
      </c>
      <c r="E210" s="12"/>
      <c r="F210" s="12" t="s">
        <v>91</v>
      </c>
      <c r="G210" t="s">
        <v>123</v>
      </c>
      <c r="H210" s="12" t="str">
        <f>INDEX('ei names mapping'!$B$71:$R$100,MATCH($B$3,'ei names mapping'!$A$4:$A$33,0),MATCH(G210,'ei names mapping'!$B$3:$R$3,0))</f>
        <v>maintenance, bicycle</v>
      </c>
    </row>
    <row r="211" spans="1:8" x14ac:dyDescent="0.3">
      <c r="A211" s="12" t="str">
        <f>INDEX('ei names mapping'!$B$4:$BK$33,MATCH($B$147,'ei names mapping'!$A$4:$A$33,0),MATCH(G211,'ei names mapping'!$B$3:$BK$3,0))</f>
        <v>treatment of road wear emissions, passenger car</v>
      </c>
      <c r="B211" s="15">
        <f>INDEX('vehicles specifications'!$B$3:$CK$86,MATCH(B185,'vehicles specifications'!$A$3:$A$86,0),MATCH(G211,'vehicles specifications'!$B$2:$CK$2,0))*INDEX('ei names mapping'!$B$137:$BK$220,MATCH(B185,'ei names mapping'!$A$137:$A$220,0),MATCH(G211,'ei names mapping'!$B$136:$BK$136,0))</f>
        <v>-3.0000000000000001E-6</v>
      </c>
      <c r="C211" s="12" t="str">
        <f>INDEX('ei names mapping'!$B$38:$BK$67,MATCH($B$147,'ei names mapping'!$A$4:$A$33,0),MATCH(G211,'ei names mapping'!$B$3:$BK$3,0))</f>
        <v>RER</v>
      </c>
      <c r="D211" s="12" t="str">
        <f>INDEX('ei names mapping'!$B$104:$BK$133,MATCH($B$147,'ei names mapping'!$A$4:$A$33,0),MATCH(G211,'ei names mapping'!$B$3:$BK$3,0))</f>
        <v>kilogram</v>
      </c>
      <c r="E211" s="12"/>
      <c r="F211" s="12" t="s">
        <v>91</v>
      </c>
      <c r="G211" t="s">
        <v>29</v>
      </c>
      <c r="H211" s="12" t="str">
        <f>INDEX('ei names mapping'!$B$71:$BK$100,MATCH(B182,'ei names mapping'!$A$4:$A$33,0),MATCH(G211,'ei names mapping'!$B$3:$BK$3,0))</f>
        <v>road wear emissions, passenger car</v>
      </c>
    </row>
    <row r="212" spans="1:8" x14ac:dyDescent="0.3">
      <c r="A212" s="12" t="str">
        <f>INDEX('ei names mapping'!$B$4:$BK$33,MATCH($B$147,'ei names mapping'!$A$4:$A$33,0),MATCH(G212,'ei names mapping'!$B$3:$BK$3,0))</f>
        <v>treatment of tyre wear emissions, passenger car</v>
      </c>
      <c r="B212" s="15">
        <f>INDEX('vehicles specifications'!$B$3:$CK$86,MATCH(B185,'vehicles specifications'!$A$3:$A$86,0),MATCH(G212,'vehicles specifications'!$B$2:$CK$2,0))*INDEX('ei names mapping'!$B$137:$BK$220,MATCH(B185,'ei names mapping'!$A$137:$A$220,0),MATCH(G212,'ei names mapping'!$B$136:$BK$136,0))</f>
        <v>-2.9189999999999999E-6</v>
      </c>
      <c r="C212" s="12" t="str">
        <f>INDEX('ei names mapping'!$B$38:$BK$67,MATCH($B$147,'ei names mapping'!$A$4:$A$33,0),MATCH(G212,'ei names mapping'!$B$3:$BK$3,0))</f>
        <v>RER</v>
      </c>
      <c r="D212" s="12" t="str">
        <f>INDEX('ei names mapping'!$B$104:$BK$133,MATCH($B$147,'ei names mapping'!$A$4:$A$33,0),MATCH(G212,'ei names mapping'!$B$3:$BK$3,0))</f>
        <v>kilogram</v>
      </c>
      <c r="E212" s="12"/>
      <c r="F212" s="12" t="s">
        <v>91</v>
      </c>
      <c r="G212" t="s">
        <v>30</v>
      </c>
      <c r="H212" s="12" t="str">
        <f>INDEX('ei names mapping'!$B$71:$BK$100,MATCH($B$147,'ei names mapping'!$A$4:$A$33,0),MATCH(G212,'ei names mapping'!$B$3:$BK$3,0))</f>
        <v>tyre wear emissions, passenger car</v>
      </c>
    </row>
    <row r="213" spans="1:8" x14ac:dyDescent="0.3">
      <c r="A213" s="12" t="str">
        <f>INDEX('ei names mapping'!$B$4:$BK$33,MATCH($B$147,'ei names mapping'!$A$4:$A$33,0),MATCH(G213,'ei names mapping'!$B$3:$BK$3,0))</f>
        <v>treatment of brake wear emissions, passenger car</v>
      </c>
      <c r="B213" s="15">
        <f>INDEX('vehicles specifications'!$B$3:$CK$86,MATCH(B185,'vehicles specifications'!$A$3:$A$86,0),MATCH(G213,'vehicles specifications'!$B$2:$CK$2,0))*INDEX('ei names mapping'!$B$137:$BK$220,MATCH(B185,'ei names mapping'!$A$137:$A$220,0),MATCH(G213,'ei names mapping'!$B$136:$BK$136,0))</f>
        <v>-1.8370000000000002E-6</v>
      </c>
      <c r="C213" s="12" t="str">
        <f>INDEX('ei names mapping'!$B$38:$BK$67,MATCH($B$147,'ei names mapping'!$A$4:$A$33,0),MATCH(G213,'ei names mapping'!$B$3:$BK$3,0))</f>
        <v>RER</v>
      </c>
      <c r="D213" s="12" t="str">
        <f>INDEX('ei names mapping'!$B$104:$BK$133,MATCH($B$147,'ei names mapping'!$A$4:$A$33,0),MATCH(G213,'ei names mapping'!$B$3:$BK$3,0))</f>
        <v>kilogram</v>
      </c>
      <c r="E213" s="12"/>
      <c r="F213" s="12" t="s">
        <v>91</v>
      </c>
      <c r="G213" t="s">
        <v>31</v>
      </c>
      <c r="H213" s="12" t="str">
        <f>INDEX('ei names mapping'!$B$71:$BK$100,MATCH($B$147,'ei names mapping'!$A$4:$A$33,0),MATCH(G213,'ei names mapping'!$B$3:$BK$3,0))</f>
        <v>brake wear emissions, passenger car</v>
      </c>
    </row>
    <row r="215" spans="1:8" ht="15.6" x14ac:dyDescent="0.3">
      <c r="A215" s="11" t="s">
        <v>72</v>
      </c>
      <c r="B215" s="9" t="str">
        <f>"transport, "&amp;B217&amp;", "&amp;B219</f>
        <v>transport, Bicycle, conventional, urban, 2040</v>
      </c>
    </row>
    <row r="216" spans="1:8" x14ac:dyDescent="0.3">
      <c r="A216" t="s">
        <v>73</v>
      </c>
      <c r="B216" t="s">
        <v>37</v>
      </c>
    </row>
    <row r="217" spans="1:8" x14ac:dyDescent="0.3">
      <c r="A217" t="s">
        <v>87</v>
      </c>
      <c r="B217" t="s">
        <v>33</v>
      </c>
    </row>
    <row r="218" spans="1:8" x14ac:dyDescent="0.3">
      <c r="A218" t="s">
        <v>88</v>
      </c>
      <c r="B218" s="12"/>
    </row>
    <row r="219" spans="1:8" x14ac:dyDescent="0.3">
      <c r="A219" t="s">
        <v>89</v>
      </c>
      <c r="B219" s="12">
        <v>2040</v>
      </c>
    </row>
    <row r="220" spans="1:8" x14ac:dyDescent="0.3">
      <c r="A220" t="s">
        <v>131</v>
      </c>
      <c r="B220" s="12" t="str">
        <f>B217&amp;" - "&amp;B219&amp;" - "&amp;B216</f>
        <v>Bicycle, conventional, urban - 2040 - CH</v>
      </c>
    </row>
    <row r="221" spans="1:8" x14ac:dyDescent="0.3">
      <c r="A221" t="s">
        <v>74</v>
      </c>
      <c r="B221" s="12" t="str">
        <f>"transport, "&amp;B217</f>
        <v>transport, Bicycle, conventional, urban</v>
      </c>
    </row>
    <row r="222" spans="1:8" x14ac:dyDescent="0.3">
      <c r="A222" t="s">
        <v>75</v>
      </c>
      <c r="B222" t="s">
        <v>76</v>
      </c>
    </row>
    <row r="223" spans="1:8" x14ac:dyDescent="0.3">
      <c r="A223" t="s">
        <v>77</v>
      </c>
      <c r="B223" t="s">
        <v>172</v>
      </c>
    </row>
    <row r="224" spans="1:8" x14ac:dyDescent="0.3">
      <c r="A224" t="s">
        <v>79</v>
      </c>
      <c r="B224" t="s">
        <v>90</v>
      </c>
    </row>
    <row r="225" spans="1:2" x14ac:dyDescent="0.3">
      <c r="A225" t="s">
        <v>132</v>
      </c>
      <c r="B225">
        <f>INDEX('vehicles specifications'!$B$3:$CK$86,MATCH(B220,'vehicles specifications'!$A$3:$A$86,0),MATCH("Lifetime [km]",'vehicles specifications'!$B$2:$CK$2,0))</f>
        <v>10000</v>
      </c>
    </row>
    <row r="226" spans="1:2" x14ac:dyDescent="0.3">
      <c r="A226" t="s">
        <v>133</v>
      </c>
      <c r="B226">
        <f>INDEX('vehicles specifications'!$B$3:$CK$86,MATCH(B220,'vehicles specifications'!$A$3:$A$86,0),MATCH("Passengers [unit]",'vehicles specifications'!$B$2:$CK$2,0))</f>
        <v>1</v>
      </c>
    </row>
    <row r="227" spans="1:2" x14ac:dyDescent="0.3">
      <c r="A227" t="s">
        <v>134</v>
      </c>
      <c r="B227">
        <f>INDEX('vehicles specifications'!$B$3:$CK$86,MATCH(B220,'vehicles specifications'!$A$3:$A$86,0),MATCH("Servicing [unit]",'vehicles specifications'!$B$2:$CK$2,0))</f>
        <v>2.5</v>
      </c>
    </row>
    <row r="228" spans="1:2" x14ac:dyDescent="0.3">
      <c r="A228" t="s">
        <v>135</v>
      </c>
      <c r="B228">
        <f>INDEX('vehicles specifications'!$B$3:$CK$86,MATCH(B220,'vehicles specifications'!$A$3:$A$86,0),MATCH("Energy battery replacement [unit]",'vehicles specifications'!$B$2:$CK$2,0))</f>
        <v>0</v>
      </c>
    </row>
    <row r="229" spans="1:2" x14ac:dyDescent="0.3">
      <c r="A229" t="s">
        <v>136</v>
      </c>
      <c r="B229">
        <f>INDEX('vehicles specifications'!$B$3:$CK$86,MATCH(B220,'vehicles specifications'!$A$3:$A$86,0),MATCH("Annual kilometers [km]",'vehicles specifications'!$B$2:$CK$2,0))</f>
        <v>1000</v>
      </c>
    </row>
    <row r="230" spans="1:2" x14ac:dyDescent="0.3">
      <c r="A230" t="s">
        <v>137</v>
      </c>
      <c r="B230">
        <f>INDEX('vehicles specifications'!$B$3:$CK$86,MATCH(B220,'vehicles specifications'!$A$3:$A$86,0),MATCH("Curb mass [kg]",'vehicles specifications'!$B$2:$CK$2,0))</f>
        <v>11.399999999999999</v>
      </c>
    </row>
    <row r="231" spans="1:2" x14ac:dyDescent="0.3">
      <c r="A231" t="s">
        <v>138</v>
      </c>
      <c r="B231">
        <f>INDEX('vehicles specifications'!$B$3:$CK$86,MATCH(B220,'vehicles specifications'!$A$3:$A$86,0),MATCH("Power [kW]",'vehicles specifications'!$B$2:$CK$2,0))</f>
        <v>0</v>
      </c>
    </row>
    <row r="232" spans="1:2" x14ac:dyDescent="0.3">
      <c r="A232" t="s">
        <v>139</v>
      </c>
      <c r="B232">
        <f>INDEX('vehicles specifications'!$B$3:$CK$86,MATCH(B220,'vehicles specifications'!$A$3:$A$86,0),MATCH("Energy battery mass [kg]",'vehicles specifications'!$B$2:$CK$2,0))</f>
        <v>0</v>
      </c>
    </row>
    <row r="233" spans="1:2" x14ac:dyDescent="0.3">
      <c r="A233" t="s">
        <v>140</v>
      </c>
      <c r="B233">
        <f>INDEX('vehicles specifications'!$B$3:$CK$86,MATCH(B220,'vehicles specifications'!$A$3:$A$86,0),MATCH("Electric energy available [kWh]",'vehicles specifications'!$B$2:$CK$2,0))</f>
        <v>0</v>
      </c>
    </row>
    <row r="234" spans="1:2" x14ac:dyDescent="0.3">
      <c r="A234" t="s">
        <v>143</v>
      </c>
      <c r="B234">
        <f>INDEX('vehicles specifications'!$B$3:$CK$86,MATCH(B220,'vehicles specifications'!$A$3:$A$86,0),MATCH("Oxydation energy stored [kWh]",'vehicles specifications'!$B$2:$CK$2,0))</f>
        <v>0</v>
      </c>
    </row>
    <row r="235" spans="1:2" x14ac:dyDescent="0.3">
      <c r="A235" t="s">
        <v>145</v>
      </c>
      <c r="B235">
        <f>INDEX('vehicles specifications'!$B$3:$CK$86,MATCH(B220,'vehicles specifications'!$A$3:$A$86,0),MATCH("Fuel mass [kg]",'vehicles specifications'!$B$2:$CK$2,0))</f>
        <v>0</v>
      </c>
    </row>
    <row r="236" spans="1:2" x14ac:dyDescent="0.3">
      <c r="A236" t="s">
        <v>141</v>
      </c>
      <c r="B236">
        <f>INDEX('vehicles specifications'!$B$3:$CK$86,MATCH(B220,'vehicles specifications'!$A$3:$A$86,0),MATCH("Range [km]",'vehicles specifications'!$B$2:$CK$2,0))</f>
        <v>0</v>
      </c>
    </row>
    <row r="237" spans="1:2" x14ac:dyDescent="0.3">
      <c r="A237" t="s">
        <v>142</v>
      </c>
      <c r="B237" t="str">
        <f>INDEX('vehicles specifications'!$B$3:$CK$86,MATCH(B220,'vehicles specifications'!$A$3:$A$86,0),MATCH("Emission standard",'vehicles specifications'!$B$2:$CK$2,0))</f>
        <v>None</v>
      </c>
    </row>
    <row r="238" spans="1:2" x14ac:dyDescent="0.3">
      <c r="A238" t="s">
        <v>144</v>
      </c>
      <c r="B238" s="6">
        <f>INDEX('vehicles specifications'!$B$3:$CK$86,MATCH(B220,'vehicles specifications'!$A$3:$A$86,0),MATCH("Lightweighting rate [%]",'vehicles specifications'!$B$2:$CK$2,0))</f>
        <v>0.05</v>
      </c>
    </row>
    <row r="239" spans="1:2" x14ac:dyDescent="0.3">
      <c r="A239" t="s">
        <v>84</v>
      </c>
      <c r="B239" s="21" t="str">
        <f>"Power: "&amp;B231&amp;" kW. Lifetime: "&amp;B225&amp;" km. Annual kilometers: "&amp;B229&amp;" km. Number of passengers: "&amp;B226&amp;". Curb mass: "&amp;ROUND(B230,1)&amp;" kg. Lightweighting of glider: "&amp;ROUND(B238*100,0)&amp;"%. Emission standard: "&amp;B237&amp;". Service visits throughout lifetime: "&amp;ROUND(B227,1)&amp;". Range: "&amp;ROUND(B236,0)&amp;" km. Battery capacity: "&amp;ROUND(B233,1)&amp;" kWh. Battery mass: "&amp;ROUND(B232,1)&amp; " kg. Battery replacement throughout lifetime: "&amp;ROUND(B228,1)&amp;". Fuel tank capacity: "&amp;ROUND(B234,1)&amp;" kWh. Fuel mass: "&amp;ROUND(B235,1)&amp;" kg. Documentation: "&amp;Readmefirst!$B$2&amp;", "&amp;Readmefirst!$B$3&amp;". "&amp;B224</f>
        <v>Power: 0 kW. Lifetime: 10000 km. Annual kilometers: 1000 km. Number of passengers: 1. Curb mass: 11.4 kg. Lightweighting of glider: 5%. Emission standard: None. Service visits throughout lifetime: 2.5.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0" spans="1:2" ht="15.6" x14ac:dyDescent="0.3">
      <c r="A240" s="11" t="s">
        <v>80</v>
      </c>
    </row>
    <row r="241" spans="1:8" x14ac:dyDescent="0.3">
      <c r="A241" t="s">
        <v>81</v>
      </c>
      <c r="B241" t="s">
        <v>82</v>
      </c>
      <c r="C241" t="s">
        <v>73</v>
      </c>
      <c r="D241" t="s">
        <v>77</v>
      </c>
      <c r="E241" t="s">
        <v>83</v>
      </c>
      <c r="F241" t="s">
        <v>75</v>
      </c>
      <c r="G241" t="s">
        <v>84</v>
      </c>
      <c r="H241" t="s">
        <v>74</v>
      </c>
    </row>
    <row r="242" spans="1:8" x14ac:dyDescent="0.3">
      <c r="A242" s="12" t="str">
        <f>B215</f>
        <v>transport, Bicycle, conventional, urban, 2040</v>
      </c>
      <c r="B242" s="12">
        <v>1</v>
      </c>
      <c r="C242" s="12" t="str">
        <f>B216</f>
        <v>CH</v>
      </c>
      <c r="D242" s="12" t="s">
        <v>172</v>
      </c>
      <c r="E242" s="12"/>
      <c r="F242" s="12" t="s">
        <v>85</v>
      </c>
      <c r="G242" s="12" t="s">
        <v>86</v>
      </c>
      <c r="H242" s="12" t="str">
        <f>B221</f>
        <v>transport, Bicycle, conventional, urban</v>
      </c>
    </row>
    <row r="243" spans="1:8" x14ac:dyDescent="0.3">
      <c r="A243" s="12" t="str">
        <f>RIGHT(A242,LEN(A242)-11)</f>
        <v>Bicycle, conventional, urban, 2040</v>
      </c>
      <c r="B243" s="12">
        <f>1/B225</f>
        <v>1E-4</v>
      </c>
      <c r="C243" s="12" t="str">
        <f>B216</f>
        <v>CH</v>
      </c>
      <c r="D243" s="12" t="s">
        <v>77</v>
      </c>
      <c r="E243" s="12"/>
      <c r="F243" s="12" t="s">
        <v>91</v>
      </c>
      <c r="G243" s="12"/>
      <c r="H243" s="12" t="str">
        <f>RIGHT(H242,LEN(H242)-11)</f>
        <v>Bicycle, conventional, urban</v>
      </c>
    </row>
    <row r="244" spans="1:8" s="21" customFormat="1" x14ac:dyDescent="0.3">
      <c r="A244" s="12" t="str">
        <f>INDEX('ei names mapping'!$B$4:$R$33,MATCH(B217,'ei names mapping'!$A$4:$A$33,0),MATCH(G244,'ei names mapping'!$B$3:$R$3,0))</f>
        <v>road construction</v>
      </c>
      <c r="B244" s="16">
        <f>INDEX('vehicles specifications'!$B$3:$CK$86,MATCH(B220,'vehicles specifications'!$A$3:$A$86,0),MATCH(G244,'vehicles specifications'!$B$2:$CK$2,0))*INDEX('ei names mapping'!$B$137:$BK$220,MATCH(B220,'ei names mapping'!$A$137:$A$220,0),MATCH(G244,'ei names mapping'!$B$136:$BK$136,0))</f>
        <v>4.4248800000000002E-5</v>
      </c>
      <c r="C244" s="12" t="str">
        <f>INDEX('ei names mapping'!$B$38:$R$67,MATCH(B217,'ei names mapping'!$A$4:$A$33,0),MATCH(G244,'ei names mapping'!$B$3:$R$3,0))</f>
        <v>CH</v>
      </c>
      <c r="D244" s="12" t="str">
        <f>INDEX('ei names mapping'!$B$104:$BK$133,MATCH(B217,'ei names mapping'!$A$4:$A$33,0),MATCH(G244,'ei names mapping'!$B$3:$BK$3,0))</f>
        <v>meter-year</v>
      </c>
      <c r="E244" s="12"/>
      <c r="F244" s="12" t="s">
        <v>91</v>
      </c>
      <c r="G244" s="21" t="s">
        <v>108</v>
      </c>
      <c r="H244" s="12" t="str">
        <f>INDEX('ei names mapping'!$B$71:$BK$100,MATCH(B217,'ei names mapping'!$A$4:$A$33,0),MATCH(G244,'ei names mapping'!$B$3:$BK$3,0))</f>
        <v>road</v>
      </c>
    </row>
    <row r="245" spans="1:8" x14ac:dyDescent="0.3">
      <c r="A245" s="12" t="str">
        <f>INDEX('ei names mapping'!$B$4:$R$33,MATCH($B$3,'ei names mapping'!$A$4:$A$33,0),MATCH(G245,'ei names mapping'!$B$3:$R$3,0))</f>
        <v>maintenance, bicycle</v>
      </c>
      <c r="B245" s="14">
        <f>INDEX('vehicles specifications'!$B$3:$CK$86,MATCH(B220,'vehicles specifications'!$A$3:$A$86,0),MATCH(G245,'vehicles specifications'!$B$2:$CK$2,0))*INDEX('ei names mapping'!$B$137:$BK$220,MATCH(B220,'ei names mapping'!$A$137:$A$220,0),MATCH(G245,'ei names mapping'!$B$136:$BK$136,0))</f>
        <v>2.5000000000000001E-4</v>
      </c>
      <c r="C245" s="12" t="str">
        <f>INDEX('ei names mapping'!$B$38:$R$67,MATCH($B$3,'ei names mapping'!$A$4:$A$33,0),MATCH(G245,'ei names mapping'!$B$3:$R$3,0))</f>
        <v>CH</v>
      </c>
      <c r="D245" s="12" t="str">
        <f>INDEX('ei names mapping'!$B$104:$R$133,MATCH($B$3,'ei names mapping'!$A$4:$A$33,0),MATCH(G245,'ei names mapping'!$B$3:$R$3,0))</f>
        <v>unit</v>
      </c>
      <c r="E245" s="12"/>
      <c r="F245" s="12" t="s">
        <v>91</v>
      </c>
      <c r="G245" t="s">
        <v>123</v>
      </c>
      <c r="H245" s="12" t="str">
        <f>INDEX('ei names mapping'!$B$71:$R$100,MATCH($B$3,'ei names mapping'!$A$4:$A$33,0),MATCH(G245,'ei names mapping'!$B$3:$R$3,0))</f>
        <v>maintenance, bicycle</v>
      </c>
    </row>
    <row r="246" spans="1:8" x14ac:dyDescent="0.3">
      <c r="A246" s="12" t="str">
        <f>INDEX('ei names mapping'!$B$4:$BK$33,MATCH($B$147,'ei names mapping'!$A$4:$A$33,0),MATCH(G246,'ei names mapping'!$B$3:$BK$3,0))</f>
        <v>treatment of road wear emissions, passenger car</v>
      </c>
      <c r="B246" s="15">
        <f>INDEX('vehicles specifications'!$B$3:$CK$86,MATCH(B220,'vehicles specifications'!$A$3:$A$86,0),MATCH(G246,'vehicles specifications'!$B$2:$CK$2,0))*INDEX('ei names mapping'!$B$137:$BK$220,MATCH(B220,'ei names mapping'!$A$137:$A$220,0),MATCH(G246,'ei names mapping'!$B$136:$BK$136,0))</f>
        <v>-3.0000000000000001E-6</v>
      </c>
      <c r="C246" s="12" t="str">
        <f>INDEX('ei names mapping'!$B$38:$BK$67,MATCH($B$147,'ei names mapping'!$A$4:$A$33,0),MATCH(G246,'ei names mapping'!$B$3:$BK$3,0))</f>
        <v>RER</v>
      </c>
      <c r="D246" s="12" t="str">
        <f>INDEX('ei names mapping'!$B$104:$BK$133,MATCH($B$147,'ei names mapping'!$A$4:$A$33,0),MATCH(G246,'ei names mapping'!$B$3:$BK$3,0))</f>
        <v>kilogram</v>
      </c>
      <c r="E246" s="12"/>
      <c r="F246" s="12" t="s">
        <v>91</v>
      </c>
      <c r="G246" t="s">
        <v>29</v>
      </c>
      <c r="H246" s="12" t="str">
        <f>INDEX('ei names mapping'!$B$71:$BK$100,MATCH(B217,'ei names mapping'!$A$4:$A$33,0),MATCH(G246,'ei names mapping'!$B$3:$BK$3,0))</f>
        <v>road wear emissions, passenger car</v>
      </c>
    </row>
    <row r="247" spans="1:8" x14ac:dyDescent="0.3">
      <c r="A247" s="12" t="str">
        <f>INDEX('ei names mapping'!$B$4:$BK$33,MATCH($B$147,'ei names mapping'!$A$4:$A$33,0),MATCH(G247,'ei names mapping'!$B$3:$BK$3,0))</f>
        <v>treatment of tyre wear emissions, passenger car</v>
      </c>
      <c r="B247" s="15">
        <f>INDEX('vehicles specifications'!$B$3:$CK$86,MATCH(B220,'vehicles specifications'!$A$3:$A$86,0),MATCH(G247,'vehicles specifications'!$B$2:$CK$2,0))*INDEX('ei names mapping'!$B$137:$BK$220,MATCH(B220,'ei names mapping'!$A$137:$A$220,0),MATCH(G247,'ei names mapping'!$B$136:$BK$136,0))</f>
        <v>-2.9189999999999999E-6</v>
      </c>
      <c r="C247" s="12" t="str">
        <f>INDEX('ei names mapping'!$B$38:$BK$67,MATCH($B$147,'ei names mapping'!$A$4:$A$33,0),MATCH(G247,'ei names mapping'!$B$3:$BK$3,0))</f>
        <v>RER</v>
      </c>
      <c r="D247" s="12" t="str">
        <f>INDEX('ei names mapping'!$B$104:$BK$133,MATCH($B$147,'ei names mapping'!$A$4:$A$33,0),MATCH(G247,'ei names mapping'!$B$3:$BK$3,0))</f>
        <v>kilogram</v>
      </c>
      <c r="E247" s="12"/>
      <c r="F247" s="12" t="s">
        <v>91</v>
      </c>
      <c r="G247" t="s">
        <v>30</v>
      </c>
      <c r="H247" s="12" t="str">
        <f>INDEX('ei names mapping'!$B$71:$BK$100,MATCH($B$147,'ei names mapping'!$A$4:$A$33,0),MATCH(G247,'ei names mapping'!$B$3:$BK$3,0))</f>
        <v>tyre wear emissions, passenger car</v>
      </c>
    </row>
    <row r="248" spans="1:8" x14ac:dyDescent="0.3">
      <c r="A248" s="12" t="str">
        <f>INDEX('ei names mapping'!$B$4:$BK$33,MATCH($B$147,'ei names mapping'!$A$4:$A$33,0),MATCH(G248,'ei names mapping'!$B$3:$BK$3,0))</f>
        <v>treatment of brake wear emissions, passenger car</v>
      </c>
      <c r="B248" s="15">
        <f>INDEX('vehicles specifications'!$B$3:$CK$86,MATCH(B220,'vehicles specifications'!$A$3:$A$86,0),MATCH(G248,'vehicles specifications'!$B$2:$CK$2,0))*INDEX('ei names mapping'!$B$137:$BK$220,MATCH(B220,'ei names mapping'!$A$137:$A$220,0),MATCH(G248,'ei names mapping'!$B$136:$BK$136,0))</f>
        <v>-1.8370000000000002E-6</v>
      </c>
      <c r="C248" s="12" t="str">
        <f>INDEX('ei names mapping'!$B$38:$BK$67,MATCH($B$147,'ei names mapping'!$A$4:$A$33,0),MATCH(G248,'ei names mapping'!$B$3:$BK$3,0))</f>
        <v>RER</v>
      </c>
      <c r="D248" s="12" t="str">
        <f>INDEX('ei names mapping'!$B$104:$BK$133,MATCH($B$147,'ei names mapping'!$A$4:$A$33,0),MATCH(G248,'ei names mapping'!$B$3:$BK$3,0))</f>
        <v>kilogram</v>
      </c>
      <c r="E248" s="12"/>
      <c r="F248" s="12" t="s">
        <v>91</v>
      </c>
      <c r="G248" t="s">
        <v>31</v>
      </c>
      <c r="H248" s="12" t="str">
        <f>INDEX('ei names mapping'!$B$71:$BK$100,MATCH($B$147,'ei names mapping'!$A$4:$A$33,0),MATCH(G248,'ei names mapping'!$B$3:$BK$3,0))</f>
        <v>brake wear emissions, passenger car</v>
      </c>
    </row>
    <row r="250" spans="1:8" ht="15.6" x14ac:dyDescent="0.3">
      <c r="A250" s="11" t="s">
        <v>72</v>
      </c>
      <c r="B250" s="9" t="str">
        <f>"transport, "&amp;B252&amp;", "&amp;B254</f>
        <v>transport, Bicycle, conventional, urban, 2050</v>
      </c>
    </row>
    <row r="251" spans="1:8" x14ac:dyDescent="0.3">
      <c r="A251" t="s">
        <v>73</v>
      </c>
      <c r="B251" t="s">
        <v>37</v>
      </c>
    </row>
    <row r="252" spans="1:8" x14ac:dyDescent="0.3">
      <c r="A252" t="s">
        <v>87</v>
      </c>
      <c r="B252" t="s">
        <v>33</v>
      </c>
    </row>
    <row r="253" spans="1:8" x14ac:dyDescent="0.3">
      <c r="A253" t="s">
        <v>88</v>
      </c>
      <c r="B253" s="12"/>
    </row>
    <row r="254" spans="1:8" x14ac:dyDescent="0.3">
      <c r="A254" t="s">
        <v>89</v>
      </c>
      <c r="B254" s="12">
        <v>2050</v>
      </c>
    </row>
    <row r="255" spans="1:8" x14ac:dyDescent="0.3">
      <c r="A255" t="s">
        <v>131</v>
      </c>
      <c r="B255" s="12" t="str">
        <f>B252&amp;" - "&amp;B254&amp;" - "&amp;B251</f>
        <v>Bicycle, conventional, urban - 2050 - CH</v>
      </c>
    </row>
    <row r="256" spans="1:8" x14ac:dyDescent="0.3">
      <c r="A256" t="s">
        <v>74</v>
      </c>
      <c r="B256" s="12" t="str">
        <f>"transport, "&amp;B252</f>
        <v>transport, Bicycle, conventional, urban</v>
      </c>
    </row>
    <row r="257" spans="1:2" x14ac:dyDescent="0.3">
      <c r="A257" t="s">
        <v>75</v>
      </c>
      <c r="B257" t="s">
        <v>76</v>
      </c>
    </row>
    <row r="258" spans="1:2" x14ac:dyDescent="0.3">
      <c r="A258" t="s">
        <v>77</v>
      </c>
      <c r="B258" t="s">
        <v>172</v>
      </c>
    </row>
    <row r="259" spans="1:2" x14ac:dyDescent="0.3">
      <c r="A259" t="s">
        <v>79</v>
      </c>
      <c r="B259" t="s">
        <v>90</v>
      </c>
    </row>
    <row r="260" spans="1:2" x14ac:dyDescent="0.3">
      <c r="A260" t="s">
        <v>132</v>
      </c>
      <c r="B260">
        <f>INDEX('vehicles specifications'!$B$3:$CK$86,MATCH(B255,'vehicles specifications'!$A$3:$A$86,0),MATCH("Lifetime [km]",'vehicles specifications'!$B$2:$CK$2,0))</f>
        <v>10000</v>
      </c>
    </row>
    <row r="261" spans="1:2" x14ac:dyDescent="0.3">
      <c r="A261" t="s">
        <v>133</v>
      </c>
      <c r="B261">
        <f>INDEX('vehicles specifications'!$B$3:$CK$86,MATCH(B255,'vehicles specifications'!$A$3:$A$86,0),MATCH("Passengers [unit]",'vehicles specifications'!$B$2:$CK$2,0))</f>
        <v>1</v>
      </c>
    </row>
    <row r="262" spans="1:2" x14ac:dyDescent="0.3">
      <c r="A262" t="s">
        <v>134</v>
      </c>
      <c r="B262">
        <f>INDEX('vehicles specifications'!$B$3:$CK$86,MATCH(B255,'vehicles specifications'!$A$3:$A$86,0),MATCH("Servicing [unit]",'vehicles specifications'!$B$2:$CK$2,0))</f>
        <v>2.5</v>
      </c>
    </row>
    <row r="263" spans="1:2" x14ac:dyDescent="0.3">
      <c r="A263" t="s">
        <v>135</v>
      </c>
      <c r="B263">
        <f>INDEX('vehicles specifications'!$B$3:$CK$86,MATCH(B255,'vehicles specifications'!$A$3:$A$86,0),MATCH("Energy battery replacement [unit]",'vehicles specifications'!$B$2:$CK$2,0))</f>
        <v>0</v>
      </c>
    </row>
    <row r="264" spans="1:2" x14ac:dyDescent="0.3">
      <c r="A264" t="s">
        <v>136</v>
      </c>
      <c r="B264">
        <f>INDEX('vehicles specifications'!$B$3:$CK$86,MATCH(B255,'vehicles specifications'!$A$3:$A$86,0),MATCH("Annual kilometers [km]",'vehicles specifications'!$B$2:$CK$2,0))</f>
        <v>1000</v>
      </c>
    </row>
    <row r="265" spans="1:2" x14ac:dyDescent="0.3">
      <c r="A265" t="s">
        <v>137</v>
      </c>
      <c r="B265">
        <f>INDEX('vehicles specifications'!$B$3:$CK$86,MATCH(B255,'vehicles specifications'!$A$3:$A$86,0),MATCH("Curb mass [kg]",'vehicles specifications'!$B$2:$CK$2,0))</f>
        <v>11.16</v>
      </c>
    </row>
    <row r="266" spans="1:2" x14ac:dyDescent="0.3">
      <c r="A266" t="s">
        <v>138</v>
      </c>
      <c r="B266">
        <f>INDEX('vehicles specifications'!$B$3:$CK$86,MATCH(B255,'vehicles specifications'!$A$3:$A$86,0),MATCH("Power [kW]",'vehicles specifications'!$B$2:$CK$2,0))</f>
        <v>0</v>
      </c>
    </row>
    <row r="267" spans="1:2" x14ac:dyDescent="0.3">
      <c r="A267" t="s">
        <v>139</v>
      </c>
      <c r="B267">
        <f>INDEX('vehicles specifications'!$B$3:$CK$86,MATCH(B255,'vehicles specifications'!$A$3:$A$86,0),MATCH("Energy battery mass [kg]",'vehicles specifications'!$B$2:$CK$2,0))</f>
        <v>0</v>
      </c>
    </row>
    <row r="268" spans="1:2" x14ac:dyDescent="0.3">
      <c r="A268" t="s">
        <v>140</v>
      </c>
      <c r="B268">
        <f>INDEX('vehicles specifications'!$B$3:$CK$86,MATCH(B255,'vehicles specifications'!$A$3:$A$86,0),MATCH("Electric energy available [kWh]",'vehicles specifications'!$B$2:$CK$2,0))</f>
        <v>0</v>
      </c>
    </row>
    <row r="269" spans="1:2" x14ac:dyDescent="0.3">
      <c r="A269" t="s">
        <v>143</v>
      </c>
      <c r="B269">
        <f>INDEX('vehicles specifications'!$B$3:$CK$86,MATCH(B255,'vehicles specifications'!$A$3:$A$86,0),MATCH("Oxydation energy stored [kWh]",'vehicles specifications'!$B$2:$CK$2,0))</f>
        <v>0</v>
      </c>
    </row>
    <row r="270" spans="1:2" x14ac:dyDescent="0.3">
      <c r="A270" t="s">
        <v>145</v>
      </c>
      <c r="B270">
        <f>INDEX('vehicles specifications'!$B$3:$CK$86,MATCH(B255,'vehicles specifications'!$A$3:$A$86,0),MATCH("Fuel mass [kg]",'vehicles specifications'!$B$2:$CK$2,0))</f>
        <v>0</v>
      </c>
    </row>
    <row r="271" spans="1:2" x14ac:dyDescent="0.3">
      <c r="A271" t="s">
        <v>141</v>
      </c>
      <c r="B271">
        <f>INDEX('vehicles specifications'!$B$3:$CK$86,MATCH(B255,'vehicles specifications'!$A$3:$A$86,0),MATCH("Range [km]",'vehicles specifications'!$B$2:$CK$2,0))</f>
        <v>0</v>
      </c>
    </row>
    <row r="272" spans="1:2" x14ac:dyDescent="0.3">
      <c r="A272" t="s">
        <v>142</v>
      </c>
      <c r="B272" t="str">
        <f>INDEX('vehicles specifications'!$B$3:$CK$86,MATCH(B255,'vehicles specifications'!$A$3:$A$86,0),MATCH("Emission standard",'vehicles specifications'!$B$2:$CK$2,0))</f>
        <v>None</v>
      </c>
    </row>
    <row r="273" spans="1:8" x14ac:dyDescent="0.3">
      <c r="A273" t="s">
        <v>144</v>
      </c>
      <c r="B273" s="6">
        <f>INDEX('vehicles specifications'!$B$3:$CK$86,MATCH(B255,'vehicles specifications'!$A$3:$A$86,0),MATCH("Lightweighting rate [%]",'vehicles specifications'!$B$2:$CK$2,0))</f>
        <v>7.0000000000000007E-2</v>
      </c>
    </row>
    <row r="274" spans="1:8" x14ac:dyDescent="0.3">
      <c r="A274" t="s">
        <v>84</v>
      </c>
      <c r="B274" s="21" t="str">
        <f>"Power: "&amp;B266&amp;" kW. Lifetime: "&amp;B260&amp;" km. Annual kilometers: "&amp;B264&amp;" km. Number of passengers: "&amp;B261&amp;". Curb mass: "&amp;ROUND(B265,1)&amp;" kg. Lightweighting of glider: "&amp;ROUND(B273*100,0)&amp;"%. Emission standard: "&amp;B272&amp;". Service visits throughout lifetime: "&amp;ROUND(B262,1)&amp;". Range: "&amp;ROUND(B271,0)&amp;" km. Battery capacity: "&amp;ROUND(B268,1)&amp;" kWh. Battery mass: "&amp;ROUND(B267,1)&amp; " kg. Battery replacement throughout lifetime: "&amp;ROUND(B263,1)&amp;". Fuel tank capacity: "&amp;ROUND(B269,1)&amp;" kWh. Fuel mass: "&amp;ROUND(B270,1)&amp;" kg. Documentation: "&amp;Readmefirst!$B$2&amp;", "&amp;Readmefirst!$B$3&amp;". "&amp;B259</f>
        <v>Power: 0 kW. Lifetime: 10000 km. Annual kilometers: 1000 km. Number of passengers: 1. Curb mass: 11.2 kg. Lightweighting of glider: 7%. Emission standard: None. Service visits throughout lifetime: 2.5.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75" spans="1:8" ht="15.6" x14ac:dyDescent="0.3">
      <c r="A275" s="11" t="s">
        <v>80</v>
      </c>
    </row>
    <row r="276" spans="1:8" x14ac:dyDescent="0.3">
      <c r="A276" t="s">
        <v>81</v>
      </c>
      <c r="B276" t="s">
        <v>82</v>
      </c>
      <c r="C276" t="s">
        <v>73</v>
      </c>
      <c r="D276" t="s">
        <v>77</v>
      </c>
      <c r="E276" t="s">
        <v>83</v>
      </c>
      <c r="F276" t="s">
        <v>75</v>
      </c>
      <c r="G276" t="s">
        <v>84</v>
      </c>
      <c r="H276" t="s">
        <v>74</v>
      </c>
    </row>
    <row r="277" spans="1:8" x14ac:dyDescent="0.3">
      <c r="A277" s="12" t="str">
        <f>B250</f>
        <v>transport, Bicycle, conventional, urban, 2050</v>
      </c>
      <c r="B277" s="12">
        <v>1</v>
      </c>
      <c r="C277" s="12" t="str">
        <f>B251</f>
        <v>CH</v>
      </c>
      <c r="D277" s="12" t="s">
        <v>172</v>
      </c>
      <c r="E277" s="12"/>
      <c r="F277" s="12" t="s">
        <v>85</v>
      </c>
      <c r="G277" s="12" t="s">
        <v>86</v>
      </c>
      <c r="H277" s="12" t="str">
        <f>B256</f>
        <v>transport, Bicycle, conventional, urban</v>
      </c>
    </row>
    <row r="278" spans="1:8" x14ac:dyDescent="0.3">
      <c r="A278" s="12" t="str">
        <f>RIGHT(A277,LEN(A277)-11)</f>
        <v>Bicycle, conventional, urban, 2050</v>
      </c>
      <c r="B278" s="12">
        <f>1/B260</f>
        <v>1E-4</v>
      </c>
      <c r="C278" s="12" t="str">
        <f>B251</f>
        <v>CH</v>
      </c>
      <c r="D278" s="12" t="s">
        <v>77</v>
      </c>
      <c r="E278" s="12"/>
      <c r="F278" s="12" t="s">
        <v>91</v>
      </c>
      <c r="G278" s="12"/>
      <c r="H278" s="12" t="str">
        <f>RIGHT(H277,LEN(H277)-11)</f>
        <v>Bicycle, conventional, urban</v>
      </c>
    </row>
    <row r="279" spans="1:8" s="21" customFormat="1" x14ac:dyDescent="0.3">
      <c r="A279" s="12" t="str">
        <f>INDEX('ei names mapping'!$B$4:$R$33,MATCH(B252,'ei names mapping'!$A$4:$A$33,0),MATCH(G279,'ei names mapping'!$B$3:$R$3,0))</f>
        <v>road construction</v>
      </c>
      <c r="B279" s="16">
        <f>INDEX('vehicles specifications'!$B$3:$CK$86,MATCH(B255,'vehicles specifications'!$A$3:$A$86,0),MATCH(G279,'vehicles specifications'!$B$2:$CK$2,0))*INDEX('ei names mapping'!$B$137:$BK$220,MATCH(B255,'ei names mapping'!$A$137:$A$220,0),MATCH(G279,'ei names mapping'!$B$136:$BK$136,0))</f>
        <v>4.4119919999999999E-5</v>
      </c>
      <c r="C279" s="12" t="str">
        <f>INDEX('ei names mapping'!$B$38:$R$67,MATCH(B252,'ei names mapping'!$A$4:$A$33,0),MATCH(G279,'ei names mapping'!$B$3:$R$3,0))</f>
        <v>CH</v>
      </c>
      <c r="D279" s="12" t="str">
        <f>INDEX('ei names mapping'!$B$104:$BK$133,MATCH(B252,'ei names mapping'!$A$4:$A$33,0),MATCH(G279,'ei names mapping'!$B$3:$BK$3,0))</f>
        <v>meter-year</v>
      </c>
      <c r="E279" s="12"/>
      <c r="F279" s="12" t="s">
        <v>91</v>
      </c>
      <c r="G279" s="21" t="s">
        <v>108</v>
      </c>
      <c r="H279" s="12" t="str">
        <f>INDEX('ei names mapping'!$B$71:$BK$100,MATCH(B252,'ei names mapping'!$A$4:$A$33,0),MATCH(G279,'ei names mapping'!$B$3:$BK$3,0))</f>
        <v>road</v>
      </c>
    </row>
    <row r="280" spans="1:8" x14ac:dyDescent="0.3">
      <c r="A280" s="12" t="str">
        <f>INDEX('ei names mapping'!$B$4:$R$33,MATCH($B$3,'ei names mapping'!$A$4:$A$33,0),MATCH(G280,'ei names mapping'!$B$3:$R$3,0))</f>
        <v>maintenance, bicycle</v>
      </c>
      <c r="B280" s="14">
        <f>INDEX('vehicles specifications'!$B$3:$CK$86,MATCH(B255,'vehicles specifications'!$A$3:$A$86,0),MATCH(G280,'vehicles specifications'!$B$2:$CK$2,0))*INDEX('ei names mapping'!$B$137:$BK$220,MATCH(B255,'ei names mapping'!$A$137:$A$220,0),MATCH(G280,'ei names mapping'!$B$136:$BK$136,0))</f>
        <v>2.5000000000000001E-4</v>
      </c>
      <c r="C280" s="12" t="str">
        <f>INDEX('ei names mapping'!$B$38:$R$67,MATCH($B$3,'ei names mapping'!$A$4:$A$33,0),MATCH(G280,'ei names mapping'!$B$3:$R$3,0))</f>
        <v>CH</v>
      </c>
      <c r="D280" s="12" t="str">
        <f>INDEX('ei names mapping'!$B$104:$R$133,MATCH($B$3,'ei names mapping'!$A$4:$A$33,0),MATCH(G280,'ei names mapping'!$B$3:$R$3,0))</f>
        <v>unit</v>
      </c>
      <c r="E280" s="12"/>
      <c r="F280" s="12" t="s">
        <v>91</v>
      </c>
      <c r="G280" t="s">
        <v>123</v>
      </c>
      <c r="H280" s="12" t="str">
        <f>INDEX('ei names mapping'!$B$71:$R$100,MATCH($B$3,'ei names mapping'!$A$4:$A$33,0),MATCH(G280,'ei names mapping'!$B$3:$R$3,0))</f>
        <v>maintenance, bicycle</v>
      </c>
    </row>
    <row r="281" spans="1:8" x14ac:dyDescent="0.3">
      <c r="A281" s="12" t="str">
        <f>INDEX('ei names mapping'!$B$4:$BK$33,MATCH($B$147,'ei names mapping'!$A$4:$A$33,0),MATCH(G281,'ei names mapping'!$B$3:$BK$3,0))</f>
        <v>treatment of road wear emissions, passenger car</v>
      </c>
      <c r="B281" s="15">
        <f>INDEX('vehicles specifications'!$B$3:$CK$86,MATCH(B255,'vehicles specifications'!$A$3:$A$86,0),MATCH(G281,'vehicles specifications'!$B$2:$CK$2,0))*INDEX('ei names mapping'!$B$137:$BK$220,MATCH(B255,'ei names mapping'!$A$137:$A$220,0),MATCH(G281,'ei names mapping'!$B$136:$BK$136,0))</f>
        <v>-3.0000000000000001E-6</v>
      </c>
      <c r="C281" s="12" t="str">
        <f>INDEX('ei names mapping'!$B$38:$BK$67,MATCH($B$147,'ei names mapping'!$A$4:$A$33,0),MATCH(G281,'ei names mapping'!$B$3:$BK$3,0))</f>
        <v>RER</v>
      </c>
      <c r="D281" s="12" t="str">
        <f>INDEX('ei names mapping'!$B$104:$BK$133,MATCH($B$147,'ei names mapping'!$A$4:$A$33,0),MATCH(G281,'ei names mapping'!$B$3:$BK$3,0))</f>
        <v>kilogram</v>
      </c>
      <c r="E281" s="12"/>
      <c r="F281" s="12" t="s">
        <v>91</v>
      </c>
      <c r="G281" t="s">
        <v>29</v>
      </c>
      <c r="H281" s="12" t="str">
        <f>INDEX('ei names mapping'!$B$71:$BK$100,MATCH(B252,'ei names mapping'!$A$4:$A$33,0),MATCH(G281,'ei names mapping'!$B$3:$BK$3,0))</f>
        <v>road wear emissions, passenger car</v>
      </c>
    </row>
    <row r="282" spans="1:8" x14ac:dyDescent="0.3">
      <c r="A282" s="12" t="str">
        <f>INDEX('ei names mapping'!$B$4:$BK$33,MATCH($B$147,'ei names mapping'!$A$4:$A$33,0),MATCH(G282,'ei names mapping'!$B$3:$BK$3,0))</f>
        <v>treatment of tyre wear emissions, passenger car</v>
      </c>
      <c r="B282" s="15">
        <f>INDEX('vehicles specifications'!$B$3:$CK$86,MATCH(B255,'vehicles specifications'!$A$3:$A$86,0),MATCH(G282,'vehicles specifications'!$B$2:$CK$2,0))*INDEX('ei names mapping'!$B$137:$BK$220,MATCH(B255,'ei names mapping'!$A$137:$A$220,0),MATCH(G282,'ei names mapping'!$B$136:$BK$136,0))</f>
        <v>-2.9189999999999999E-6</v>
      </c>
      <c r="C282" s="12" t="str">
        <f>INDEX('ei names mapping'!$B$38:$BK$67,MATCH($B$147,'ei names mapping'!$A$4:$A$33,0),MATCH(G282,'ei names mapping'!$B$3:$BK$3,0))</f>
        <v>RER</v>
      </c>
      <c r="D282" s="12" t="str">
        <f>INDEX('ei names mapping'!$B$104:$BK$133,MATCH($B$147,'ei names mapping'!$A$4:$A$33,0),MATCH(G282,'ei names mapping'!$B$3:$BK$3,0))</f>
        <v>kilogram</v>
      </c>
      <c r="E282" s="12"/>
      <c r="F282" s="12" t="s">
        <v>91</v>
      </c>
      <c r="G282" t="s">
        <v>30</v>
      </c>
      <c r="H282" s="12" t="str">
        <f>INDEX('ei names mapping'!$B$71:$BK$100,MATCH($B$147,'ei names mapping'!$A$4:$A$33,0),MATCH(G282,'ei names mapping'!$B$3:$BK$3,0))</f>
        <v>tyre wear emissions, passenger car</v>
      </c>
    </row>
    <row r="283" spans="1:8" x14ac:dyDescent="0.3">
      <c r="A283" s="12" t="str">
        <f>INDEX('ei names mapping'!$B$4:$BK$33,MATCH($B$147,'ei names mapping'!$A$4:$A$33,0),MATCH(G283,'ei names mapping'!$B$3:$BK$3,0))</f>
        <v>treatment of brake wear emissions, passenger car</v>
      </c>
      <c r="B283" s="15">
        <f>INDEX('vehicles specifications'!$B$3:$CK$86,MATCH(B255,'vehicles specifications'!$A$3:$A$86,0),MATCH(G283,'vehicles specifications'!$B$2:$CK$2,0))*INDEX('ei names mapping'!$B$137:$BK$220,MATCH(B255,'ei names mapping'!$A$137:$A$220,0),MATCH(G283,'ei names mapping'!$B$136:$BK$136,0))</f>
        <v>-1.8370000000000002E-6</v>
      </c>
      <c r="C283" s="12" t="str">
        <f>INDEX('ei names mapping'!$B$38:$BK$67,MATCH($B$147,'ei names mapping'!$A$4:$A$33,0),MATCH(G283,'ei names mapping'!$B$3:$BK$3,0))</f>
        <v>RER</v>
      </c>
      <c r="D283" s="12" t="str">
        <f>INDEX('ei names mapping'!$B$104:$BK$133,MATCH($B$147,'ei names mapping'!$A$4:$A$33,0),MATCH(G283,'ei names mapping'!$B$3:$BK$3,0))</f>
        <v>kilogram</v>
      </c>
      <c r="E283" s="12"/>
      <c r="F283" s="12" t="s">
        <v>91</v>
      </c>
      <c r="G283" t="s">
        <v>31</v>
      </c>
      <c r="H283" s="12" t="str">
        <f>INDEX('ei names mapping'!$B$71:$BK$100,MATCH($B$147,'ei names mapping'!$A$4:$A$33,0),MATCH(G283,'ei names mapping'!$B$3:$BK$3,0))</f>
        <v>brake wear emissions, passenger car</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2"/>
  <sheetViews>
    <sheetView topLeftCell="A451" workbookViewId="0">
      <selection activeCell="D477" sqref="D477"/>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Bicycle, electric (&lt;25 km/h), 2020</v>
      </c>
    </row>
    <row r="2" spans="1:2" x14ac:dyDescent="0.3">
      <c r="A2" t="s">
        <v>73</v>
      </c>
      <c r="B2" t="s">
        <v>37</v>
      </c>
    </row>
    <row r="3" spans="1:2" x14ac:dyDescent="0.3">
      <c r="A3" t="s">
        <v>87</v>
      </c>
      <c r="B3" t="s">
        <v>517</v>
      </c>
    </row>
    <row r="4" spans="1:2" x14ac:dyDescent="0.3">
      <c r="A4" t="s">
        <v>88</v>
      </c>
      <c r="B4" s="12"/>
    </row>
    <row r="5" spans="1:2" x14ac:dyDescent="0.3">
      <c r="A5" t="s">
        <v>89</v>
      </c>
      <c r="B5" s="12">
        <v>2020</v>
      </c>
    </row>
    <row r="6" spans="1:2" x14ac:dyDescent="0.3">
      <c r="A6" t="s">
        <v>131</v>
      </c>
      <c r="B6" s="12" t="str">
        <f>B3&amp;" - "&amp;B5&amp;" - "&amp;B2</f>
        <v>Bicycle, electric (&lt;25 km/h) - 2020 - CH</v>
      </c>
    </row>
    <row r="7" spans="1:2" x14ac:dyDescent="0.3">
      <c r="A7" t="s">
        <v>74</v>
      </c>
      <c r="B7" t="str">
        <f>B3</f>
        <v>Bicycle, electric (&lt;25 km/h)</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20000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5</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2060</v>
      </c>
    </row>
    <row r="16" spans="1:2" x14ac:dyDescent="0.3">
      <c r="A16" t="s">
        <v>137</v>
      </c>
      <c r="B16">
        <f>INDEX('vehicles specifications'!$B$3:$CK$86,MATCH(B6,'vehicles specifications'!$A$3:$A$86,0),MATCH("Curb mass [kg]",'vehicles specifications'!$B$2:$CK$2,0))</f>
        <v>23.25</v>
      </c>
    </row>
    <row r="17" spans="1:8" x14ac:dyDescent="0.3">
      <c r="A17" t="s">
        <v>138</v>
      </c>
      <c r="B17">
        <f>INDEX('vehicles specifications'!$B$3:$CK$86,MATCH(B6,'vehicles specifications'!$A$3:$A$86,0),MATCH("Power [kW]",'vehicles specifications'!$B$2:$CK$2,0))</f>
        <v>0.3</v>
      </c>
    </row>
    <row r="18" spans="1:8" x14ac:dyDescent="0.3">
      <c r="A18" t="s">
        <v>139</v>
      </c>
      <c r="B18">
        <f>INDEX('vehicles specifications'!$B$3:$CK$86,MATCH(B6,'vehicles specifications'!$A$3:$A$86,0),MATCH("Energy battery mass [kg]",'vehicles specifications'!$B$2:$CK$2,0))</f>
        <v>3.25</v>
      </c>
    </row>
    <row r="19" spans="1:8" x14ac:dyDescent="0.3">
      <c r="A19" t="s">
        <v>140</v>
      </c>
      <c r="B19">
        <f>INDEX('vehicles specifications'!$B$3:$CK$86,MATCH(B6,'vehicles specifications'!$A$3:$A$86,0),MATCH("Electric energy stored [kWh]",'vehicles specifications'!$B$2:$CK$2,0))</f>
        <v>0.5</v>
      </c>
    </row>
    <row r="20" spans="1:8" s="21" customFormat="1" x14ac:dyDescent="0.3">
      <c r="A20" s="21" t="s">
        <v>654</v>
      </c>
      <c r="B20" s="21">
        <f>INDEX('vehicles specifications'!$B$3:$CK$86,MATCH(B6,'vehicles specifications'!$A$3:$A$86,0),MATCH("Electric energy available [kWh]",'vehicles specifications'!$B$2:$CK$2,0))</f>
        <v>0.4</v>
      </c>
    </row>
    <row r="21" spans="1:8" x14ac:dyDescent="0.3">
      <c r="A21" t="s">
        <v>143</v>
      </c>
      <c r="B21">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58.368978251949123</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0.3 kW. Lifetime: 20000 km. Annual kilometers: 2060 km. Number of passengers: 1. Curb mass: 23.3 kg. Lightweighting of glider: 0%. Emission standard: None. Service visits throughout lifetime: 5. Range: 58 km. Battery capacity: 0.5 kWh. Available battery capacity: 0.4 kWh. Battery mass: 3.3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Bicycle, electric (&lt;25 km/h), 2020</v>
      </c>
      <c r="B32" s="12">
        <v>1</v>
      </c>
      <c r="C32" s="12" t="str">
        <f>B2</f>
        <v>CH</v>
      </c>
      <c r="D32" s="12" t="str">
        <f>B9</f>
        <v>unit</v>
      </c>
      <c r="E32" s="12"/>
      <c r="F32" s="12" t="s">
        <v>85</v>
      </c>
      <c r="G32" s="12" t="s">
        <v>86</v>
      </c>
      <c r="H32" s="12" t="str">
        <f>B3</f>
        <v>Bicycle, electric (&lt;25 km/h)</v>
      </c>
    </row>
    <row r="33" spans="1:8" x14ac:dyDescent="0.3">
      <c r="A33" s="12" t="str">
        <f>INDEX('ei names mapping'!$B$4:$R$33,MATCH($B$3,'ei names mapping'!$A$4:$A$33,0),MATCH(G33,'ei names mapping'!$B$3:$R$3,0))</f>
        <v>electric bicycle production, without battery and motor</v>
      </c>
      <c r="B33" s="14">
        <f>INDEX('vehicles specifications'!$B$3:$CK$86,MATCH(B6,'vehicles specifications'!$A$3:$A$86,0),MATCH(G33,'vehicles specifications'!$B$2:$CK$2,0))*INDEX('ei names mapping'!$B$137:$BK$220,MATCH(B6,'ei names mapping'!$A$137:$A$220,0),MATCH(G33,'ei names mapping'!$B$136:$BK$136,0))</f>
        <v>0.94117647058823528</v>
      </c>
      <c r="C33" s="12" t="str">
        <f>INDEX('ei names mapping'!$B$38:$R$67,MATCH($B$3,'ei names mapping'!$A$4:$A$33,0),MATCH(G33,'ei names mapping'!$B$3:$R$3,0))</f>
        <v>RER</v>
      </c>
      <c r="D33" s="12" t="str">
        <f>INDEX('ei names mapping'!$B$104:$R$133,MATCH(B3,'ei names mapping'!$A$104:$A$133,0),MATCH(G33,'ei names mapping'!$B$3:$R$3,0))</f>
        <v>unit</v>
      </c>
      <c r="E33" s="12"/>
      <c r="F33" s="12" t="s">
        <v>91</v>
      </c>
      <c r="G33" s="21" t="s">
        <v>15</v>
      </c>
      <c r="H33" s="12" t="str">
        <f>INDEX('ei names mapping'!$B$71:$R$100,MATCH($B$3,'ei names mapping'!$A$4:$A$33,0),MATCH(G33,'ei names mapping'!$B$3:$R$3,0))</f>
        <v>electric bicycle, without battery and motor</v>
      </c>
    </row>
    <row r="34" spans="1:8" x14ac:dyDescent="0.3">
      <c r="A34" s="12" t="str">
        <f>INDEX('ei names mapping'!$B$4:$R$33,MATCH($B$3,'ei names mapping'!$A$4:$A$33,0),MATCH(G34,'ei names mapping'!$B$3:$R$3,0))</f>
        <v>market for electric motor, vehicle</v>
      </c>
      <c r="B34" s="14">
        <f>INDEX('vehicles specifications'!$B$3:$CK$86,MATCH(B6,'vehicles specifications'!$A$3:$A$86,0),MATCH(G34,'vehicles specifications'!$B$2:$CK$2,0))*INDEX('ei names mapping'!$B$137:$BK$220,MATCH(B6,'ei names mapping'!$A$137:$A$220,0),MATCH(G34,'ei names mapping'!$B$136:$BK$136,0))</f>
        <v>4</v>
      </c>
      <c r="C34" s="12" t="str">
        <f>INDEX('ei names mapping'!$B$38:$R$67,MATCH($B$3,'ei names mapping'!$A$4:$A$33,0),MATCH(G34,'ei names mapping'!$B$3:$R$3,0))</f>
        <v>GLO</v>
      </c>
      <c r="D34" s="12" t="str">
        <f>INDEX('ei names mapping'!$B$104:$R$133,MATCH(B3,'ei names mapping'!$A$104:$A$133,0),MATCH(G34,'ei names mapping'!$B$3:$R$3,0))</f>
        <v>kilogram</v>
      </c>
      <c r="E34" s="12"/>
      <c r="F34" s="12" t="s">
        <v>91</v>
      </c>
      <c r="G34" t="s">
        <v>557</v>
      </c>
      <c r="H34" s="12" t="str">
        <f>INDEX('ei names mapping'!$B$71:$R$100,MATCH($B$3,'ei names mapping'!$A$4:$A$33,0),MATCH(G34,'ei names mapping'!$B$3:$R$3,0))</f>
        <v>electric motor, vehicle</v>
      </c>
    </row>
    <row r="35" spans="1:8" s="21" customFormat="1" x14ac:dyDescent="0.3">
      <c r="A35" s="12" t="str">
        <f>INDEX('ei names mapping'!$B$4:$R$33,MATCH(B3,'ei names mapping'!$A$4:$A$33,0),MATCH(G35,'ei names mapping'!$B$3:$R$3,0))</f>
        <v>glider lightweighting</v>
      </c>
      <c r="B35" s="16">
        <f>INDEX('vehicles specifications'!$B$3:$CK$86,MATCH(B6,'vehicles specifications'!$A$3:$A$86,0),MATCH(G35,'vehicles specifications'!$B$2:$CK$2,0))*INDEX('ei names mapping'!$B$137:$BK$220,MATCH(B6,'ei names mapping'!$A$137:$A$220,0),MATCH(G35,'ei names mapping'!$B$136:$BK$136,0))</f>
        <v>0</v>
      </c>
      <c r="C35" s="12" t="str">
        <f>INDEX('ei names mapping'!$B$38:$R$67,MATCH(B3,'ei names mapping'!$A$4:$A$33,0),MATCH(G35,'ei names mapping'!$B$3:$R$3,0))</f>
        <v>GLO</v>
      </c>
      <c r="D35" s="12" t="str">
        <f>INDEX('ei names mapping'!$B$104:$R$133,MATCH(B3,'ei names mapping'!$A$104:$A$133,0),MATCH(G35,'ei names mapping'!$B$3:$R$3,0))</f>
        <v>kilogram</v>
      </c>
      <c r="E35" s="12"/>
      <c r="F35" s="12" t="s">
        <v>91</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Battery cell, NMC</v>
      </c>
      <c r="B36" s="14">
        <f>INDEX('vehicles specifications'!$B$3:$CK$86,MATCH(B6,'vehicles specifications'!$A$3:$A$86,0),MATCH(G36,'vehicles specifications'!$B$2:$CK$2,0))*INDEX('ei names mapping'!$B$137:$BK$220,MATCH(B6,'ei names mapping'!$A$137:$A$220,0),MATCH(G36,'ei names mapping'!$B$136:$BK$136,0))</f>
        <v>5</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19</v>
      </c>
      <c r="H36" s="12" t="str">
        <f>INDEX('ei names mapping'!$B$71:$R$100,MATCH($B$3,'ei names mapping'!$A$4:$A$33,0),MATCH(G36,'ei names mapping'!$B$3:$R$3,0))</f>
        <v>Battery cell</v>
      </c>
    </row>
    <row r="37" spans="1:8" x14ac:dyDescent="0.3">
      <c r="A37" s="12" t="str">
        <f>INDEX('ei names mapping'!$B$4:$R$33,MATCH($B$3,'ei names mapping'!$A$4:$A$33,0),MATCH(G37,'ei names mapping'!$B$3:$R$3,0))</f>
        <v>Battery BoP</v>
      </c>
      <c r="B37" s="14">
        <f>INDEX('vehicles specifications'!$B$3:$CK$86,MATCH(B6,'vehicles specifications'!$A$3:$A$86,0),MATCH(G37,'vehicles specifications'!$B$2:$CK$2,0))*INDEX('ei names mapping'!$B$137:$BK$220,MATCH(B6,'ei names mapping'!$A$137:$A$220,0),MATCH(G37,'ei names mapping'!$B$136:$BK$136,0))</f>
        <v>1.5</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20</v>
      </c>
      <c r="H37" s="12" t="str">
        <f>INDEX('ei names mapping'!$B$71:$R$100,MATCH($B$3,'ei names mapping'!$A$4:$A$33,0),MATCH(G37,'ei names mapping'!$B$3:$R$3,0))</f>
        <v>Battery BoP</v>
      </c>
    </row>
    <row r="38" spans="1:8" x14ac:dyDescent="0.3">
      <c r="A38" s="12" t="str">
        <f>INDEX('ei names mapping'!$B$4:$R$33,MATCH($B$3,'ei names mapping'!$A$4:$A$33,0),MATCH(G38,'ei names mapping'!$B$3:$R$3,0))</f>
        <v>charging station, 500W</v>
      </c>
      <c r="B38" s="14">
        <f>INDEX('vehicles specifications'!$B$3:$CK$86,MATCH(B6,'vehicles specifications'!$A$3:$A$86,0),MATCH(G38,'vehicles specifications'!$B$2:$CK$2,0))*INDEX('ei names mapping'!$B$137:$BK$220,MATCH(B6,'ei names mapping'!$A$137:$A$220,0),MATCH(G38,'ei names mapping'!$B$136:$BK$136,0))</f>
        <v>1</v>
      </c>
      <c r="C38" s="12" t="str">
        <f>INDEX('ei names mapping'!$B$38:$R$67,MATCH($B$3,'ei names mapping'!$A$4:$A$33,0),MATCH(G38,'ei names mapping'!$B$3:$R$3,0))</f>
        <v>GLO</v>
      </c>
      <c r="D38" s="12" t="str">
        <f>INDEX('ei names mapping'!$B$104:$R$133,MATCH(B3,'ei names mapping'!$A$104:$A$133,0),MATCH(G38,'ei names mapping'!$B$3:$R$3,0))</f>
        <v>unit</v>
      </c>
      <c r="E38" s="12"/>
      <c r="F38" s="12" t="s">
        <v>91</v>
      </c>
      <c r="G38" t="s">
        <v>53</v>
      </c>
      <c r="H38" s="12" t="str">
        <f>INDEX('ei names mapping'!$B$71:$R$100,MATCH($B$3,'ei names mapping'!$A$4:$A$33,0),MATCH(G38,'ei names mapping'!$B$3:$R$3,0))</f>
        <v>charging station, 500W</v>
      </c>
    </row>
    <row r="39" spans="1:8" x14ac:dyDescent="0.3">
      <c r="A39" s="12" t="str">
        <f>INDEX('ei names mapping'!$B$4:$R$33,MATCH($B$3,'ei names mapping'!$A$4:$A$33,0),MATCH(G39,'ei names mapping'!$B$3:$R$3,0))</f>
        <v>treatment of used electric bicycle</v>
      </c>
      <c r="B39" s="14">
        <f>INDEX('vehicles specifications'!$B$3:$CK$86,MATCH(B6,'vehicles specifications'!$A$3:$A$86,0),MATCH(G39,'vehicles specifications'!$B$2:$CK$2,0))*INDEX('ei names mapping'!$B$137:$BK$220,MATCH(B6,'ei names mapping'!$A$137:$A$220,0),MATCH(G39,'ei names mapping'!$B$136:$BK$136,0))</f>
        <v>-0.66666666666666663</v>
      </c>
      <c r="C39" s="12" t="str">
        <f>INDEX('ei names mapping'!$B$38:$R$67,MATCH($B$3,'ei names mapping'!$A$4:$A$33,0),MATCH(G39,'ei names mapping'!$B$3:$R$3,0))</f>
        <v>CH</v>
      </c>
      <c r="D39" s="12" t="str">
        <f>INDEX('ei names mapping'!$B$104:$R$133,MATCH(B3,'ei names mapping'!$A$104:$A$133,0),MATCH(G39,'ei names mapping'!$B$3:$R$3,0))</f>
        <v>unit</v>
      </c>
      <c r="E39" s="12"/>
      <c r="F39" s="12" t="s">
        <v>91</v>
      </c>
      <c r="G39" t="s">
        <v>150</v>
      </c>
      <c r="H39" s="12" t="str">
        <f>INDEX('ei names mapping'!$B$71:$R$100,MATCH($B$3,'ei names mapping'!$A$4:$A$33,0),MATCH(G39,'ei names mapping'!$B$3:$R$3,0))</f>
        <v>used electric bicycle</v>
      </c>
    </row>
    <row r="40" spans="1:8" x14ac:dyDescent="0.3">
      <c r="A40" s="12" t="str">
        <f>INDEX('ei names mapping'!$B$4:$R$33,MATCH($B$3,'ei names mapping'!$A$4:$A$33,0),MATCH(G40,'ei names mapping'!$B$3:$R$3,0))</f>
        <v>treatment of used electric bicycle</v>
      </c>
      <c r="B40" s="14">
        <f>INDEX('vehicles specifications'!$B$3:$CK$86,MATCH(B6,'vehicles specifications'!$A$3:$A$86,0),MATCH(G40,'vehicles specifications'!$B$2:$CK$2,0))*INDEX('ei names mapping'!$B$137:$BK$220,MATCH(B6,'ei names mapping'!$A$137:$A$220,0),MATCH(G40,'ei names mapping'!$B$136:$BK$136,0))</f>
        <v>-0.16666666666666666</v>
      </c>
      <c r="C40" s="12" t="str">
        <f>INDEX('ei names mapping'!$B$38:$R$67,MATCH($B$3,'ei names mapping'!$A$4:$A$33,0),MATCH(G40,'ei names mapping'!$B$3:$R$3,0))</f>
        <v>CH</v>
      </c>
      <c r="D40" s="12" t="str">
        <f>INDEX('ei names mapping'!$B$104:$R$133,MATCH(B3,'ei names mapping'!$A$104:$A$133,0),MATCH(G40,'ei names mapping'!$B$3:$R$3,0))</f>
        <v>unit</v>
      </c>
      <c r="E40" s="12"/>
      <c r="F40" s="12" t="s">
        <v>91</v>
      </c>
      <c r="G40" t="s">
        <v>151</v>
      </c>
      <c r="H40" s="12" t="str">
        <f>INDEX('ei names mapping'!$B$71:$R$100,MATCH($B$3,'ei names mapping'!$A$4:$A$33,0),MATCH(G40,'ei names mapping'!$B$3:$R$3,0))</f>
        <v>used electric bicycle</v>
      </c>
    </row>
    <row r="41" spans="1:8" x14ac:dyDescent="0.3">
      <c r="A41" s="12" t="str">
        <f>INDEX('ei names mapping'!$B$4:$R$33,MATCH($B$3,'ei names mapping'!$A$4:$A$33,0),MATCH(G41,'ei names mapping'!$B$3:$R$3,0))</f>
        <v>market for used Li-ion battery</v>
      </c>
      <c r="B41" s="14">
        <f>INDEX('vehicles specifications'!$B$3:$CK$86,MATCH(B6,'vehicles specifications'!$A$3:$A$86,0),MATCH(G41,'vehicles specifications'!$B$2:$CK$2,0))*INDEX('ei names mapping'!$B$137:$BK$220,MATCH(B6,'ei names mapping'!$A$137:$A$220,0),MATCH(G41,'ei names mapping'!$B$136:$BK$136,0))</f>
        <v>-6.5</v>
      </c>
      <c r="C41" s="12" t="str">
        <f>INDEX('ei names mapping'!$B$38:$R$67,MATCH($B$3,'ei names mapping'!$A$4:$A$33,0),MATCH(G41,'ei names mapping'!$B$3:$R$3,0))</f>
        <v>GLO</v>
      </c>
      <c r="D41" s="12" t="str">
        <f>INDEX('ei names mapping'!$B$104:$R$133,MATCH(B3,'ei names mapping'!$A$104:$A$133,0),MATCH(G41,'ei names mapping'!$B$3:$R$3,0))</f>
        <v>kilogram</v>
      </c>
      <c r="E41" s="12"/>
      <c r="F41" s="12" t="s">
        <v>91</v>
      </c>
      <c r="G41" t="s">
        <v>152</v>
      </c>
      <c r="H41" s="12" t="str">
        <f>INDEX('ei names mapping'!$B$71:$R$100,MATCH($B$3,'ei names mapping'!$A$4:$A$33,0),MATCH(G41,'ei names mapping'!$B$3:$R$3,0))</f>
        <v>used Li-ion battery</v>
      </c>
    </row>
    <row r="42" spans="1:8" s="21" customFormat="1" x14ac:dyDescent="0.3">
      <c r="A42" s="22" t="s">
        <v>468</v>
      </c>
      <c r="B42" s="21">
        <f>(B16/1000)*B28</f>
        <v>23.25</v>
      </c>
      <c r="C42" s="21" t="s">
        <v>94</v>
      </c>
      <c r="D42" s="21" t="s">
        <v>243</v>
      </c>
      <c r="F42" s="21" t="s">
        <v>91</v>
      </c>
      <c r="H42" s="22" t="s">
        <v>469</v>
      </c>
    </row>
    <row r="43" spans="1:8" s="21" customFormat="1" x14ac:dyDescent="0.3">
      <c r="A43" s="22" t="s">
        <v>467</v>
      </c>
      <c r="B43" s="2">
        <f>(B16/1000)*B27</f>
        <v>369.67500000000001</v>
      </c>
      <c r="C43" s="21" t="s">
        <v>98</v>
      </c>
      <c r="D43" s="21" t="s">
        <v>243</v>
      </c>
      <c r="F43" s="21" t="s">
        <v>91</v>
      </c>
      <c r="H43" s="22" t="s">
        <v>467</v>
      </c>
    </row>
    <row r="44" spans="1:8" x14ac:dyDescent="0.3">
      <c r="A44" s="12"/>
      <c r="B44" s="16"/>
      <c r="C44" s="12"/>
      <c r="D44" s="12"/>
      <c r="E44" s="12"/>
      <c r="F44" s="12"/>
      <c r="H44" s="12"/>
    </row>
    <row r="45" spans="1:8" ht="15.6" x14ac:dyDescent="0.3">
      <c r="A45" s="11" t="s">
        <v>72</v>
      </c>
      <c r="B45" s="9" t="str">
        <f>B47&amp;", "&amp;B49</f>
        <v>Bicycle, electric (&lt;25 km/h), 2030</v>
      </c>
    </row>
    <row r="46" spans="1:8" x14ac:dyDescent="0.3">
      <c r="A46" t="s">
        <v>73</v>
      </c>
      <c r="B46" t="s">
        <v>37</v>
      </c>
    </row>
    <row r="47" spans="1:8" x14ac:dyDescent="0.3">
      <c r="A47" t="s">
        <v>87</v>
      </c>
      <c r="B47" s="21" t="s">
        <v>517</v>
      </c>
    </row>
    <row r="48" spans="1:8" x14ac:dyDescent="0.3">
      <c r="A48" t="s">
        <v>88</v>
      </c>
      <c r="B48" s="12"/>
    </row>
    <row r="49" spans="1:2" x14ac:dyDescent="0.3">
      <c r="A49" t="s">
        <v>89</v>
      </c>
      <c r="B49" s="12">
        <v>2030</v>
      </c>
    </row>
    <row r="50" spans="1:2" x14ac:dyDescent="0.3">
      <c r="A50" t="s">
        <v>131</v>
      </c>
      <c r="B50" s="12" t="str">
        <f>B47&amp;" - "&amp;B49&amp;" - "&amp;B46</f>
        <v>Bicycle, electric (&lt;25 km/h) - 2030 - CH</v>
      </c>
    </row>
    <row r="51" spans="1:2" x14ac:dyDescent="0.3">
      <c r="A51" t="s">
        <v>74</v>
      </c>
      <c r="B51" t="str">
        <f>B47</f>
        <v>Bicycle, electric (&lt;25 km/h)</v>
      </c>
    </row>
    <row r="52" spans="1:2" x14ac:dyDescent="0.3">
      <c r="A52" t="s">
        <v>75</v>
      </c>
      <c r="B52" t="s">
        <v>76</v>
      </c>
    </row>
    <row r="53" spans="1:2" x14ac:dyDescent="0.3">
      <c r="A53" t="s">
        <v>77</v>
      </c>
      <c r="B53" t="s">
        <v>77</v>
      </c>
    </row>
    <row r="54" spans="1:2" x14ac:dyDescent="0.3">
      <c r="A54" t="s">
        <v>79</v>
      </c>
      <c r="B54" t="s">
        <v>90</v>
      </c>
    </row>
    <row r="55" spans="1:2" x14ac:dyDescent="0.3">
      <c r="A55" t="s">
        <v>132</v>
      </c>
      <c r="B55">
        <f>INDEX('vehicles specifications'!$B$3:$CK$86,MATCH(B50,'vehicles specifications'!$A$3:$A$86,0),MATCH("Lifetime [km]",'vehicles specifications'!$B$2:$CK$2,0))</f>
        <v>20000</v>
      </c>
    </row>
    <row r="56" spans="1:2" x14ac:dyDescent="0.3">
      <c r="A56" t="s">
        <v>133</v>
      </c>
      <c r="B56">
        <f>INDEX('vehicles specifications'!$B$3:$CK$86,MATCH(B50,'vehicles specifications'!$A$3:$A$86,0),MATCH("Passengers [unit]",'vehicles specifications'!$B$2:$CK$2,0))</f>
        <v>1</v>
      </c>
    </row>
    <row r="57" spans="1:2" x14ac:dyDescent="0.3">
      <c r="A57" t="s">
        <v>134</v>
      </c>
      <c r="B57">
        <f>INDEX('vehicles specifications'!$B$3:$CK$86,MATCH(B50,'vehicles specifications'!$A$3:$A$86,0),MATCH("Servicing [unit]",'vehicles specifications'!$B$2:$CK$2,0))</f>
        <v>5</v>
      </c>
    </row>
    <row r="58" spans="1:2" x14ac:dyDescent="0.3">
      <c r="A58" t="s">
        <v>135</v>
      </c>
      <c r="B58">
        <f>INDEX('vehicles specifications'!$B$3:$CK$86,MATCH(B50,'vehicles specifications'!$A$3:$A$86,0),MATCH("Energy battery replacement [unit]",'vehicles specifications'!$B$2:$CK$2,0))</f>
        <v>0.5</v>
      </c>
    </row>
    <row r="59" spans="1:2" x14ac:dyDescent="0.3">
      <c r="A59" t="s">
        <v>136</v>
      </c>
      <c r="B59">
        <f>INDEX('vehicles specifications'!$B$3:$CK$86,MATCH(B50,'vehicles specifications'!$A$3:$A$86,0),MATCH("Annual kilometers [km]",'vehicles specifications'!$B$2:$CK$2,0))</f>
        <v>2060</v>
      </c>
    </row>
    <row r="60" spans="1:2" x14ac:dyDescent="0.3">
      <c r="A60" t="s">
        <v>137</v>
      </c>
      <c r="B60">
        <f>INDEX('vehicles specifications'!$B$3:$CK$86,MATCH(B50,'vehicles specifications'!$A$3:$A$86,0),MATCH("Curb mass [kg]",'vehicles specifications'!$B$2:$CK$2,0))</f>
        <v>22.886666666666663</v>
      </c>
    </row>
    <row r="61" spans="1:2" x14ac:dyDescent="0.3">
      <c r="A61" t="s">
        <v>138</v>
      </c>
      <c r="B61">
        <f>INDEX('vehicles specifications'!$B$3:$CK$86,MATCH(B50,'vehicles specifications'!$A$3:$A$86,0),MATCH("Power [kW]",'vehicles specifications'!$B$2:$CK$2,0))</f>
        <v>0.3</v>
      </c>
    </row>
    <row r="62" spans="1:2" x14ac:dyDescent="0.3">
      <c r="A62" t="s">
        <v>139</v>
      </c>
      <c r="B62">
        <f>INDEX('vehicles specifications'!$B$3:$CK$86,MATCH(B50,'vehicles specifications'!$A$3:$A$86,0),MATCH("Energy battery mass [kg]",'vehicles specifications'!$B$2:$CK$2,0))</f>
        <v>3.4666666666666668</v>
      </c>
    </row>
    <row r="63" spans="1:2" x14ac:dyDescent="0.3">
      <c r="A63" t="s">
        <v>140</v>
      </c>
      <c r="B63">
        <f>INDEX('vehicles specifications'!$B$3:$CK$86,MATCH(B50,'vehicles specifications'!$A$3:$A$86,0),MATCH("Electric energy stored [kWh]",'vehicles specifications'!$B$2:$CK$2,0))</f>
        <v>0.8</v>
      </c>
    </row>
    <row r="64" spans="1:2" s="21" customFormat="1" x14ac:dyDescent="0.3">
      <c r="A64" s="21" t="s">
        <v>654</v>
      </c>
      <c r="B64" s="21">
        <f>INDEX('vehicles specifications'!$B$3:$CK$86,MATCH(B50,'vehicles specifications'!$A$3:$A$86,0),MATCH("Electric energy available [kWh]",'vehicles specifications'!$B$2:$CK$2,0))</f>
        <v>0.64000000000000012</v>
      </c>
    </row>
    <row r="65" spans="1:8" x14ac:dyDescent="0.3">
      <c r="A65" t="s">
        <v>143</v>
      </c>
      <c r="B65">
        <f>INDEX('vehicles specifications'!$B$3:$CK$86,MATCH(B50,'vehicles specifications'!$A$3:$A$86,0),MATCH("Oxydation energy stored [kWh]",'vehicles specifications'!$B$2:$CK$2,0))</f>
        <v>0</v>
      </c>
    </row>
    <row r="66" spans="1:8" x14ac:dyDescent="0.3">
      <c r="A66" t="s">
        <v>145</v>
      </c>
      <c r="B66">
        <f>INDEX('vehicles specifications'!$B$3:$CK$86,MATCH(B50,'vehicles specifications'!$A$3:$A$86,0),MATCH("Fuel mass [kg]",'vehicles specifications'!$B$2:$CK$2,0))</f>
        <v>0</v>
      </c>
    </row>
    <row r="67" spans="1:8" x14ac:dyDescent="0.3">
      <c r="A67" t="s">
        <v>141</v>
      </c>
      <c r="B67" s="2">
        <f>INDEX('vehicles specifications'!$B$3:$CK$86,MATCH(B50,'vehicles specifications'!$A$3:$A$86,0),MATCH("Range [km]",'vehicles specifications'!$B$2:$CK$2,0))</f>
        <v>93.390365203118606</v>
      </c>
    </row>
    <row r="68" spans="1:8" x14ac:dyDescent="0.3">
      <c r="A68" t="s">
        <v>142</v>
      </c>
      <c r="B68" t="str">
        <f>INDEX('vehicles specifications'!$B$3:$CK$86,MATCH(B50,'vehicles specifications'!$A$3:$A$86,0),MATCH("Emission standard",'vehicles specifications'!$B$2:$CK$2,0))</f>
        <v>None</v>
      </c>
    </row>
    <row r="69" spans="1:8" x14ac:dyDescent="0.3">
      <c r="A69" t="s">
        <v>144</v>
      </c>
      <c r="B69" s="6">
        <f>INDEX('vehicles specifications'!$B$3:$CK$86,MATCH(B50,'vehicles specifications'!$A$3:$A$86,0),MATCH("Lightweighting rate [%]",'vehicles specifications'!$B$2:$CK$2,0))</f>
        <v>0.03</v>
      </c>
    </row>
    <row r="70" spans="1:8" s="21" customFormat="1" x14ac:dyDescent="0.3">
      <c r="A70" s="21" t="s">
        <v>513</v>
      </c>
      <c r="B70" s="6" t="s">
        <v>514</v>
      </c>
    </row>
    <row r="71" spans="1:8" s="21" customFormat="1" x14ac:dyDescent="0.3">
      <c r="A71" s="21" t="s">
        <v>515</v>
      </c>
      <c r="B71" s="2">
        <v>15900</v>
      </c>
    </row>
    <row r="72" spans="1:8" s="21" customFormat="1" x14ac:dyDescent="0.3">
      <c r="A72" s="21" t="s">
        <v>516</v>
      </c>
      <c r="B72" s="2">
        <v>1000</v>
      </c>
    </row>
    <row r="73" spans="1:8" s="21" customFormat="1" x14ac:dyDescent="0.3">
      <c r="A73" s="21" t="s">
        <v>84</v>
      </c>
      <c r="B73" s="21" t="str">
        <f>"Power: "&amp;B61&amp;" kW. Lifetime: "&amp;B55&amp;" km. Annual kilometers: "&amp;ROUND(B59,0)&amp;" km. Number of passengers: "&amp;ROUND(B56,1)&amp;". Curb mass: "&amp;ROUND(B60,1)&amp;" kg. Lightweighting of glider: "&amp;ROUND(B69*100,0)&amp;"%. Emission standard: "&amp;B68&amp;". Service visits throughout lifetime: "&amp;ROUND(B57,1)&amp;". Range: "&amp;ROUND(B67,0)&amp;" km. Battery capacity: "&amp;ROUND(B63,1)&amp;" kWh. Available battery capacity: "&amp;B64&amp;" kWh. Battery mass: "&amp;ROUND(B62,1)&amp; " kg. Battery replacement throughout lifetime: "&amp;ROUND(B58,1)&amp;". Fuel tank capacity: "&amp;ROUND(B65,1)&amp;" kWh. Fuel mass: "&amp;ROUND(B66,1)&amp;" kg. Origin of manufacture: "&amp;B70&amp;". Shipping distance: "&amp;B71&amp;" km. Lorry distribution distance: "&amp;B72&amp;" km. Documentation: "&amp;Readmefirst!$B$2&amp;", "&amp;Readmefirst!$B$3&amp;". "&amp;'lci-kick scooter'!B54</f>
        <v>Power: 0.3 kW. Lifetime: 20000 km. Annual kilometers: 2060 km. Number of passengers: 1. Curb mass: 22.9 kg. Lightweighting of glider: 3%. Emission standard: None. Service visits throughout lifetime: 5. Range: 93 km. Battery capacity: 0.8 kWh. Available battery capacity: 0.64 kWh. Battery mass: 3.5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unit</v>
      </c>
    </row>
    <row r="74" spans="1:8" ht="15.6" x14ac:dyDescent="0.3">
      <c r="A74" s="11" t="s">
        <v>80</v>
      </c>
    </row>
    <row r="75" spans="1:8" x14ac:dyDescent="0.3">
      <c r="A75" t="s">
        <v>81</v>
      </c>
      <c r="B75" t="s">
        <v>82</v>
      </c>
      <c r="C75" t="s">
        <v>73</v>
      </c>
      <c r="D75" t="s">
        <v>77</v>
      </c>
      <c r="E75" t="s">
        <v>83</v>
      </c>
      <c r="F75" t="s">
        <v>75</v>
      </c>
      <c r="G75" t="s">
        <v>84</v>
      </c>
      <c r="H75" t="s">
        <v>74</v>
      </c>
    </row>
    <row r="76" spans="1:8" x14ac:dyDescent="0.3">
      <c r="A76" s="12" t="str">
        <f>B45</f>
        <v>Bicycle, electric (&lt;25 km/h), 2030</v>
      </c>
      <c r="B76" s="12">
        <v>1</v>
      </c>
      <c r="C76" s="12" t="str">
        <f>B46</f>
        <v>CH</v>
      </c>
      <c r="D76" s="12" t="str">
        <f>B53</f>
        <v>unit</v>
      </c>
      <c r="E76" s="12"/>
      <c r="F76" s="12" t="s">
        <v>85</v>
      </c>
      <c r="G76" s="12" t="s">
        <v>86</v>
      </c>
      <c r="H76" s="12" t="str">
        <f>B47</f>
        <v>Bicycle, electric (&lt;25 km/h)</v>
      </c>
    </row>
    <row r="77" spans="1:8" x14ac:dyDescent="0.3">
      <c r="A77" s="12" t="str">
        <f>INDEX('ei names mapping'!$B$4:$R$33,MATCH($B$3,'ei names mapping'!$A$4:$A$33,0),MATCH(G77,'ei names mapping'!$B$3:$R$3,0))</f>
        <v>electric bicycle production, without battery and motor</v>
      </c>
      <c r="B77" s="14">
        <f>INDEX('vehicles specifications'!$B$3:$CK$86,MATCH(B50,'vehicles specifications'!$A$3:$A$86,0),MATCH(G77,'vehicles specifications'!$B$2:$CK$2,0))*INDEX('ei names mapping'!$B$137:$BK$220,MATCH(B50,'ei names mapping'!$A$137:$A$220,0),MATCH(G77,'ei names mapping'!$B$136:$BK$136,0))</f>
        <v>0.94117647058823528</v>
      </c>
      <c r="C77" s="12" t="str">
        <f>INDEX('ei names mapping'!$B$38:$R$67,MATCH($B$3,'ei names mapping'!$A$4:$A$33,0),MATCH(G77,'ei names mapping'!$B$3:$R$3,0))</f>
        <v>RER</v>
      </c>
      <c r="D77" s="12" t="str">
        <f>INDEX('ei names mapping'!$B$104:$R$133,MATCH(B47,'ei names mapping'!$A$104:$A$133,0),MATCH(G77,'ei names mapping'!$B$3:$R$3,0))</f>
        <v>unit</v>
      </c>
      <c r="E77" s="12"/>
      <c r="F77" s="12" t="s">
        <v>91</v>
      </c>
      <c r="G77" s="21" t="s">
        <v>15</v>
      </c>
      <c r="H77" s="12" t="str">
        <f>INDEX('ei names mapping'!$B$71:$R$100,MATCH($B$3,'ei names mapping'!$A$4:$A$33,0),MATCH(G77,'ei names mapping'!$B$3:$R$3,0))</f>
        <v>electric bicycle, without battery and motor</v>
      </c>
    </row>
    <row r="78" spans="1:8" x14ac:dyDescent="0.3">
      <c r="A78" s="12" t="str">
        <f>INDEX('ei names mapping'!$B$4:$R$33,MATCH($B$3,'ei names mapping'!$A$4:$A$33,0),MATCH(G78,'ei names mapping'!$B$3:$R$3,0))</f>
        <v>market for electric motor, vehicle</v>
      </c>
      <c r="B78" s="14">
        <f>INDEX('vehicles specifications'!$B$3:$CK$86,MATCH(B50,'vehicles specifications'!$A$3:$A$86,0),MATCH(G78,'vehicles specifications'!$B$2:$CK$2,0))*INDEX('ei names mapping'!$B$137:$BK$220,MATCH(B50,'ei names mapping'!$A$137:$A$220,0),MATCH(G78,'ei names mapping'!$B$136:$BK$136,0))</f>
        <v>3.9</v>
      </c>
      <c r="C78" s="12" t="str">
        <f>INDEX('ei names mapping'!$B$38:$R$67,MATCH($B$3,'ei names mapping'!$A$4:$A$33,0),MATCH(G78,'ei names mapping'!$B$3:$R$3,0))</f>
        <v>GLO</v>
      </c>
      <c r="D78" s="12" t="str">
        <f>INDEX('ei names mapping'!$B$104:$R$133,MATCH(B47,'ei names mapping'!$A$104:$A$133,0),MATCH(G78,'ei names mapping'!$B$3:$R$3,0))</f>
        <v>kilogram</v>
      </c>
      <c r="E78" s="12"/>
      <c r="F78" s="12" t="s">
        <v>91</v>
      </c>
      <c r="G78" t="s">
        <v>557</v>
      </c>
      <c r="H78" s="12" t="str">
        <f>INDEX('ei names mapping'!$B$71:$R$100,MATCH($B$3,'ei names mapping'!$A$4:$A$33,0),MATCH(G78,'ei names mapping'!$B$3:$R$3,0))</f>
        <v>electric motor, vehicle</v>
      </c>
    </row>
    <row r="79" spans="1:8" s="21" customFormat="1" x14ac:dyDescent="0.3">
      <c r="A79" s="12" t="str">
        <f>INDEX('ei names mapping'!$B$4:$R$33,MATCH(B47,'ei names mapping'!$A$4:$A$33,0),MATCH(G79,'ei names mapping'!$B$3:$R$3,0))</f>
        <v>glider lightweighting</v>
      </c>
      <c r="B79" s="16">
        <f>INDEX('vehicles specifications'!$B$3:$CK$86,MATCH(B50,'vehicles specifications'!$A$3:$A$86,0),MATCH(G79,'vehicles specifications'!$B$2:$CK$2,0))*INDEX('ei names mapping'!$B$137:$BK$220,MATCH(B50,'ei names mapping'!$A$137:$A$220,0),MATCH(G79,'ei names mapping'!$B$136:$BK$136,0))</f>
        <v>0.48</v>
      </c>
      <c r="C79" s="12" t="str">
        <f>INDEX('ei names mapping'!$B$38:$R$67,MATCH(B47,'ei names mapping'!$A$4:$A$33,0),MATCH(G79,'ei names mapping'!$B$3:$R$3,0))</f>
        <v>GLO</v>
      </c>
      <c r="D79" s="12" t="str">
        <f>INDEX('ei names mapping'!$B$104:$R$133,MATCH(B47,'ei names mapping'!$A$104:$A$133,0),MATCH(G79,'ei names mapping'!$B$3:$R$3,0))</f>
        <v>kilogram</v>
      </c>
      <c r="E79" s="12"/>
      <c r="F79" s="12" t="s">
        <v>91</v>
      </c>
      <c r="G79" s="21" t="s">
        <v>14</v>
      </c>
      <c r="H79" s="12" t="str">
        <f>INDEX('ei names mapping'!$B$71:$R$100,MATCH(B47,'ei names mapping'!$A$4:$A$33,0),MATCH(G79,'ei names mapping'!$B$3:$R$3,0))</f>
        <v>glider lightweighting</v>
      </c>
    </row>
    <row r="80" spans="1:8" x14ac:dyDescent="0.3">
      <c r="A80" s="12" t="str">
        <f>INDEX('ei names mapping'!$B$4:$R$33,MATCH($B$3,'ei names mapping'!$A$4:$A$33,0),MATCH(G80,'ei names mapping'!$B$3:$R$3,0))</f>
        <v>Battery cell, NMC</v>
      </c>
      <c r="B80" s="14">
        <f>INDEX('vehicles specifications'!$B$3:$CK$86,MATCH(B50,'vehicles specifications'!$A$3:$A$86,0),MATCH(G80,'vehicles specifications'!$B$2:$CK$2,0))*INDEX('ei names mapping'!$B$137:$BK$220,MATCH(B50,'ei names mapping'!$A$137:$A$220,0),MATCH(G80,'ei names mapping'!$B$136:$BK$136,0))</f>
        <v>4</v>
      </c>
      <c r="C80" s="12" t="str">
        <f>INDEX('ei names mapping'!$B$38:$R$67,MATCH($B$3,'ei names mapping'!$A$4:$A$33,0),MATCH(G80,'ei names mapping'!$B$3:$R$3,0))</f>
        <v>GLO</v>
      </c>
      <c r="D80" s="12" t="str">
        <f>INDEX('ei names mapping'!$B$104:$R$133,MATCH(B47,'ei names mapping'!$A$104:$A$133,0),MATCH(G80,'ei names mapping'!$B$3:$R$3,0))</f>
        <v>kilogram</v>
      </c>
      <c r="E80" s="12"/>
      <c r="F80" s="12" t="s">
        <v>91</v>
      </c>
      <c r="G80" t="s">
        <v>19</v>
      </c>
      <c r="H80" s="12" t="str">
        <f>INDEX('ei names mapping'!$B$71:$R$100,MATCH($B$3,'ei names mapping'!$A$4:$A$33,0),MATCH(G80,'ei names mapping'!$B$3:$R$3,0))</f>
        <v>Battery cell</v>
      </c>
    </row>
    <row r="81" spans="1:8" x14ac:dyDescent="0.3">
      <c r="A81" s="12" t="str">
        <f>INDEX('ei names mapping'!$B$4:$R$33,MATCH($B$3,'ei names mapping'!$A$4:$A$33,0),MATCH(G81,'ei names mapping'!$B$3:$R$3,0))</f>
        <v>Battery BoP</v>
      </c>
      <c r="B81" s="14">
        <f>INDEX('vehicles specifications'!$B$3:$CK$86,MATCH(B50,'vehicles specifications'!$A$3:$A$86,0),MATCH(G81,'vehicles specifications'!$B$2:$CK$2,0))*INDEX('ei names mapping'!$B$137:$BK$220,MATCH(B50,'ei names mapping'!$A$137:$A$220,0),MATCH(G81,'ei names mapping'!$B$136:$BK$136,0))</f>
        <v>1.2000000000000002</v>
      </c>
      <c r="C81" s="12" t="str">
        <f>INDEX('ei names mapping'!$B$38:$R$67,MATCH($B$3,'ei names mapping'!$A$4:$A$33,0),MATCH(G81,'ei names mapping'!$B$3:$R$3,0))</f>
        <v>GLO</v>
      </c>
      <c r="D81" s="12" t="str">
        <f>INDEX('ei names mapping'!$B$104:$R$133,MATCH(B47,'ei names mapping'!$A$104:$A$133,0),MATCH(G81,'ei names mapping'!$B$3:$R$3,0))</f>
        <v>kilogram</v>
      </c>
      <c r="E81" s="12"/>
      <c r="F81" s="12" t="s">
        <v>91</v>
      </c>
      <c r="G81" t="s">
        <v>20</v>
      </c>
      <c r="H81" s="12" t="str">
        <f>INDEX('ei names mapping'!$B$71:$R$100,MATCH($B$3,'ei names mapping'!$A$4:$A$33,0),MATCH(G81,'ei names mapping'!$B$3:$R$3,0))</f>
        <v>Battery BoP</v>
      </c>
    </row>
    <row r="82" spans="1:8" x14ac:dyDescent="0.3">
      <c r="A82" s="12" t="str">
        <f>INDEX('ei names mapping'!$B$4:$R$33,MATCH($B$3,'ei names mapping'!$A$4:$A$33,0),MATCH(G82,'ei names mapping'!$B$3:$R$3,0))</f>
        <v>charging station, 500W</v>
      </c>
      <c r="B82" s="14">
        <f>INDEX('vehicles specifications'!$B$3:$CK$86,MATCH(B50,'vehicles specifications'!$A$3:$A$86,0),MATCH(G82,'vehicles specifications'!$B$2:$CK$2,0))*INDEX('ei names mapping'!$B$137:$BK$220,MATCH(B50,'ei names mapping'!$A$137:$A$220,0),MATCH(G82,'ei names mapping'!$B$136:$BK$136,0))</f>
        <v>1</v>
      </c>
      <c r="C82" s="12" t="str">
        <f>INDEX('ei names mapping'!$B$38:$R$67,MATCH($B$3,'ei names mapping'!$A$4:$A$33,0),MATCH(G82,'ei names mapping'!$B$3:$R$3,0))</f>
        <v>GLO</v>
      </c>
      <c r="D82" s="12" t="str">
        <f>INDEX('ei names mapping'!$B$104:$R$133,MATCH(B47,'ei names mapping'!$A$104:$A$133,0),MATCH(G82,'ei names mapping'!$B$3:$R$3,0))</f>
        <v>unit</v>
      </c>
      <c r="E82" s="12"/>
      <c r="F82" s="12" t="s">
        <v>91</v>
      </c>
      <c r="G82" t="s">
        <v>53</v>
      </c>
      <c r="H82" s="12" t="str">
        <f>INDEX('ei names mapping'!$B$71:$R$100,MATCH($B$3,'ei names mapping'!$A$4:$A$33,0),MATCH(G82,'ei names mapping'!$B$3:$R$3,0))</f>
        <v>charging station, 500W</v>
      </c>
    </row>
    <row r="83" spans="1:8" x14ac:dyDescent="0.3">
      <c r="A83" s="12" t="str">
        <f>INDEX('ei names mapping'!$B$4:$R$33,MATCH($B$3,'ei names mapping'!$A$4:$A$33,0),MATCH(G83,'ei names mapping'!$B$3:$R$3,0))</f>
        <v>treatment of used electric bicycle</v>
      </c>
      <c r="B83" s="14">
        <f>INDEX('vehicles specifications'!$B$3:$CK$86,MATCH(B50,'vehicles specifications'!$A$3:$A$86,0),MATCH(G83,'vehicles specifications'!$B$2:$CK$2,0))*INDEX('ei names mapping'!$B$137:$BK$220,MATCH(B50,'ei names mapping'!$A$137:$A$220,0),MATCH(G83,'ei names mapping'!$B$136:$BK$136,0))</f>
        <v>-0.64666666666666661</v>
      </c>
      <c r="C83" s="12" t="str">
        <f>INDEX('ei names mapping'!$B$38:$R$67,MATCH($B$3,'ei names mapping'!$A$4:$A$33,0),MATCH(G83,'ei names mapping'!$B$3:$R$3,0))</f>
        <v>CH</v>
      </c>
      <c r="D83" s="12" t="str">
        <f>INDEX('ei names mapping'!$B$104:$R$133,MATCH(B47,'ei names mapping'!$A$104:$A$133,0),MATCH(G83,'ei names mapping'!$B$3:$R$3,0))</f>
        <v>unit</v>
      </c>
      <c r="E83" s="12"/>
      <c r="F83" s="12" t="s">
        <v>91</v>
      </c>
      <c r="G83" t="s">
        <v>150</v>
      </c>
      <c r="H83" s="12" t="str">
        <f>INDEX('ei names mapping'!$B$71:$R$100,MATCH($B$3,'ei names mapping'!$A$4:$A$33,0),MATCH(G83,'ei names mapping'!$B$3:$R$3,0))</f>
        <v>used electric bicycle</v>
      </c>
    </row>
    <row r="84" spans="1:8" x14ac:dyDescent="0.3">
      <c r="A84" s="12" t="str">
        <f>INDEX('ei names mapping'!$B$4:$R$33,MATCH($B$3,'ei names mapping'!$A$4:$A$33,0),MATCH(G84,'ei names mapping'!$B$3:$R$3,0))</f>
        <v>treatment of used electric bicycle</v>
      </c>
      <c r="B84" s="14">
        <f>INDEX('vehicles specifications'!$B$3:$CK$86,MATCH(B50,'vehicles specifications'!$A$3:$A$86,0),MATCH(G84,'vehicles specifications'!$B$2:$CK$2,0))*INDEX('ei names mapping'!$B$137:$BK$220,MATCH(B50,'ei names mapping'!$A$137:$A$220,0),MATCH(G84,'ei names mapping'!$B$136:$BK$136,0))</f>
        <v>-0.16249999999999998</v>
      </c>
      <c r="C84" s="12" t="str">
        <f>INDEX('ei names mapping'!$B$38:$R$67,MATCH($B$3,'ei names mapping'!$A$4:$A$33,0),MATCH(G84,'ei names mapping'!$B$3:$R$3,0))</f>
        <v>CH</v>
      </c>
      <c r="D84" s="12" t="str">
        <f>INDEX('ei names mapping'!$B$104:$R$133,MATCH(B47,'ei names mapping'!$A$104:$A$133,0),MATCH(G84,'ei names mapping'!$B$3:$R$3,0))</f>
        <v>unit</v>
      </c>
      <c r="E84" s="12"/>
      <c r="F84" s="12" t="s">
        <v>91</v>
      </c>
      <c r="G84" t="s">
        <v>151</v>
      </c>
      <c r="H84" s="12" t="str">
        <f>INDEX('ei names mapping'!$B$71:$R$100,MATCH($B$3,'ei names mapping'!$A$4:$A$33,0),MATCH(G84,'ei names mapping'!$B$3:$R$3,0))</f>
        <v>used electric bicycle</v>
      </c>
    </row>
    <row r="85" spans="1:8" x14ac:dyDescent="0.3">
      <c r="A85" s="12" t="str">
        <f>INDEX('ei names mapping'!$B$4:$R$33,MATCH($B$3,'ei names mapping'!$A$4:$A$33,0),MATCH(G85,'ei names mapping'!$B$3:$R$3,0))</f>
        <v>market for used Li-ion battery</v>
      </c>
      <c r="B85" s="14">
        <f>INDEX('vehicles specifications'!$B$3:$CK$86,MATCH(B50,'vehicles specifications'!$A$3:$A$86,0),MATCH(G85,'vehicles specifications'!$B$2:$CK$2,0))*INDEX('ei names mapping'!$B$137:$BK$220,MATCH(B50,'ei names mapping'!$A$137:$A$220,0),MATCH(G85,'ei names mapping'!$B$136:$BK$136,0))</f>
        <v>-5.2</v>
      </c>
      <c r="C85" s="12" t="str">
        <f>INDEX('ei names mapping'!$B$38:$R$67,MATCH($B$3,'ei names mapping'!$A$4:$A$33,0),MATCH(G85,'ei names mapping'!$B$3:$R$3,0))</f>
        <v>GLO</v>
      </c>
      <c r="D85" s="12" t="str">
        <f>INDEX('ei names mapping'!$B$104:$R$133,MATCH(B47,'ei names mapping'!$A$104:$A$133,0),MATCH(G85,'ei names mapping'!$B$3:$R$3,0))</f>
        <v>kilogram</v>
      </c>
      <c r="E85" s="12"/>
      <c r="F85" s="12" t="s">
        <v>91</v>
      </c>
      <c r="G85" t="s">
        <v>152</v>
      </c>
      <c r="H85" s="12" t="str">
        <f>INDEX('ei names mapping'!$B$71:$R$100,MATCH($B$3,'ei names mapping'!$A$4:$A$33,0),MATCH(G85,'ei names mapping'!$B$3:$R$3,0))</f>
        <v>used Li-ion battery</v>
      </c>
    </row>
    <row r="86" spans="1:8" s="21" customFormat="1" x14ac:dyDescent="0.3">
      <c r="A86" s="22" t="s">
        <v>468</v>
      </c>
      <c r="B86" s="21">
        <f>(B60/1000)*B72</f>
        <v>22.886666666666663</v>
      </c>
      <c r="C86" s="21" t="s">
        <v>94</v>
      </c>
      <c r="D86" s="21" t="s">
        <v>243</v>
      </c>
      <c r="F86" s="21" t="s">
        <v>91</v>
      </c>
      <c r="H86" s="22" t="s">
        <v>469</v>
      </c>
    </row>
    <row r="87" spans="1:8" s="21" customFormat="1" x14ac:dyDescent="0.3">
      <c r="A87" s="22" t="s">
        <v>467</v>
      </c>
      <c r="B87" s="2">
        <f>(B60/1000)*B71</f>
        <v>363.89799999999991</v>
      </c>
      <c r="C87" s="21" t="s">
        <v>98</v>
      </c>
      <c r="D87" s="21" t="s">
        <v>243</v>
      </c>
      <c r="F87" s="21" t="s">
        <v>91</v>
      </c>
      <c r="H87" s="22" t="s">
        <v>467</v>
      </c>
    </row>
    <row r="88" spans="1:8" x14ac:dyDescent="0.3">
      <c r="B88" s="12"/>
    </row>
    <row r="89" spans="1:8" ht="15.6" x14ac:dyDescent="0.3">
      <c r="A89" s="11" t="s">
        <v>72</v>
      </c>
      <c r="B89" s="9" t="str">
        <f>B91&amp;", "&amp;B93</f>
        <v>Bicycle, electric (&lt;25 km/h), 2040</v>
      </c>
    </row>
    <row r="90" spans="1:8" x14ac:dyDescent="0.3">
      <c r="A90" t="s">
        <v>73</v>
      </c>
      <c r="B90" t="s">
        <v>37</v>
      </c>
    </row>
    <row r="91" spans="1:8" x14ac:dyDescent="0.3">
      <c r="A91" t="s">
        <v>87</v>
      </c>
      <c r="B91" s="21" t="s">
        <v>517</v>
      </c>
    </row>
    <row r="92" spans="1:8" x14ac:dyDescent="0.3">
      <c r="A92" t="s">
        <v>88</v>
      </c>
      <c r="B92" s="12"/>
    </row>
    <row r="93" spans="1:8" x14ac:dyDescent="0.3">
      <c r="A93" t="s">
        <v>89</v>
      </c>
      <c r="B93" s="12">
        <v>2040</v>
      </c>
    </row>
    <row r="94" spans="1:8" x14ac:dyDescent="0.3">
      <c r="A94" t="s">
        <v>131</v>
      </c>
      <c r="B94" s="12" t="str">
        <f>B91&amp;" - "&amp;B93&amp;" - "&amp;B90</f>
        <v>Bicycle, electric (&lt;25 km/h) - 2040 - CH</v>
      </c>
    </row>
    <row r="95" spans="1:8" x14ac:dyDescent="0.3">
      <c r="A95" t="s">
        <v>74</v>
      </c>
      <c r="B95" t="str">
        <f>B91</f>
        <v>Bicycle, electric (&lt;25 km/h)</v>
      </c>
    </row>
    <row r="96" spans="1:8" x14ac:dyDescent="0.3">
      <c r="A96" t="s">
        <v>75</v>
      </c>
      <c r="B96" t="s">
        <v>76</v>
      </c>
    </row>
    <row r="97" spans="1:2" x14ac:dyDescent="0.3">
      <c r="A97" t="s">
        <v>77</v>
      </c>
      <c r="B97" t="s">
        <v>77</v>
      </c>
    </row>
    <row r="98" spans="1:2" x14ac:dyDescent="0.3">
      <c r="A98" t="s">
        <v>79</v>
      </c>
      <c r="B98" t="s">
        <v>90</v>
      </c>
    </row>
    <row r="99" spans="1:2" x14ac:dyDescent="0.3">
      <c r="A99" t="s">
        <v>132</v>
      </c>
      <c r="B99">
        <f>INDEX('vehicles specifications'!$B$3:$CK$86,MATCH(B94,'vehicles specifications'!$A$3:$A$86,0),MATCH("Lifetime [km]",'vehicles specifications'!$B$2:$CK$2,0))</f>
        <v>20000</v>
      </c>
    </row>
    <row r="100" spans="1:2" x14ac:dyDescent="0.3">
      <c r="A100" t="s">
        <v>133</v>
      </c>
      <c r="B100">
        <f>INDEX('vehicles specifications'!$B$3:$CK$86,MATCH(B94,'vehicles specifications'!$A$3:$A$86,0),MATCH("Passengers [unit]",'vehicles specifications'!$B$2:$CK$2,0))</f>
        <v>1</v>
      </c>
    </row>
    <row r="101" spans="1:2" x14ac:dyDescent="0.3">
      <c r="A101" t="s">
        <v>134</v>
      </c>
      <c r="B101">
        <f>INDEX('vehicles specifications'!$B$3:$CK$86,MATCH(B94,'vehicles specifications'!$A$3:$A$86,0),MATCH("Servicing [unit]",'vehicles specifications'!$B$2:$CK$2,0))</f>
        <v>5</v>
      </c>
    </row>
    <row r="102" spans="1:2" x14ac:dyDescent="0.3">
      <c r="A102" t="s">
        <v>135</v>
      </c>
      <c r="B102">
        <f>INDEX('vehicles specifications'!$B$3:$CK$86,MATCH(B94,'vehicles specifications'!$A$3:$A$86,0),MATCH("Energy battery replacement [unit]",'vehicles specifications'!$B$2:$CK$2,0))</f>
        <v>0.25</v>
      </c>
    </row>
    <row r="103" spans="1:2" x14ac:dyDescent="0.3">
      <c r="A103" t="s">
        <v>136</v>
      </c>
      <c r="B103">
        <f>INDEX('vehicles specifications'!$B$3:$CK$86,MATCH(B94,'vehicles specifications'!$A$3:$A$86,0),MATCH("Annual kilometers [km]",'vehicles specifications'!$B$2:$CK$2,0))</f>
        <v>2060</v>
      </c>
    </row>
    <row r="104" spans="1:2" x14ac:dyDescent="0.3">
      <c r="A104" t="s">
        <v>137</v>
      </c>
      <c r="B104">
        <f>INDEX('vehicles specifications'!$B$3:$CK$86,MATCH(B94,'vehicles specifications'!$A$3:$A$86,0),MATCH("Curb mass [kg]",'vehicles specifications'!$B$2:$CK$2,0))</f>
        <v>22.9</v>
      </c>
    </row>
    <row r="105" spans="1:2" x14ac:dyDescent="0.3">
      <c r="A105" t="s">
        <v>138</v>
      </c>
      <c r="B105">
        <f>INDEX('vehicles specifications'!$B$3:$CK$86,MATCH(B94,'vehicles specifications'!$A$3:$A$86,0),MATCH("Power [kW]",'vehicles specifications'!$B$2:$CK$2,0))</f>
        <v>0.3</v>
      </c>
    </row>
    <row r="106" spans="1:2" x14ac:dyDescent="0.3">
      <c r="A106" t="s">
        <v>139</v>
      </c>
      <c r="B106">
        <f>INDEX('vehicles specifications'!$B$3:$CK$86,MATCH(B94,'vehicles specifications'!$A$3:$A$86,0),MATCH("Energy battery mass [kg]",'vehicles specifications'!$B$2:$CK$2,0))</f>
        <v>3.8999999999999995</v>
      </c>
    </row>
    <row r="107" spans="1:2" x14ac:dyDescent="0.3">
      <c r="A107" t="s">
        <v>140</v>
      </c>
      <c r="B107">
        <f>INDEX('vehicles specifications'!$B$3:$CK$86,MATCH(B94,'vehicles specifications'!$A$3:$A$86,0),MATCH("Electric energy stored [kWh]",'vehicles specifications'!$B$2:$CK$2,0))</f>
        <v>1.2</v>
      </c>
    </row>
    <row r="108" spans="1:2" s="21" customFormat="1" x14ac:dyDescent="0.3">
      <c r="A108" s="21" t="s">
        <v>654</v>
      </c>
      <c r="B108" s="21">
        <f>INDEX('vehicles specifications'!$B$3:$CK$86,MATCH(B94,'vehicles specifications'!$A$3:$A$86,0),MATCH("Electric energy available [kWh]",'vehicles specifications'!$B$2:$CK$2,0))</f>
        <v>0.96</v>
      </c>
    </row>
    <row r="109" spans="1:2" x14ac:dyDescent="0.3">
      <c r="A109" t="s">
        <v>143</v>
      </c>
      <c r="B109">
        <f>INDEX('vehicles specifications'!$B$3:$CK$86,MATCH(B94,'vehicles specifications'!$A$3:$A$86,0),MATCH("Oxydation energy stored [kWh]",'vehicles specifications'!$B$2:$CK$2,0))</f>
        <v>0</v>
      </c>
    </row>
    <row r="110" spans="1:2" x14ac:dyDescent="0.3">
      <c r="A110" t="s">
        <v>145</v>
      </c>
      <c r="B110">
        <f>INDEX('vehicles specifications'!$B$3:$CK$86,MATCH(B94,'vehicles specifications'!$A$3:$A$86,0),MATCH("Fuel mass [kg]",'vehicles specifications'!$B$2:$CK$2,0))</f>
        <v>0</v>
      </c>
    </row>
    <row r="111" spans="1:2" x14ac:dyDescent="0.3">
      <c r="A111" t="s">
        <v>141</v>
      </c>
      <c r="B111" s="2">
        <f>INDEX('vehicles specifications'!$B$3:$CK$86,MATCH(B94,'vehicles specifications'!$A$3:$A$86,0),MATCH("Range [km]",'vehicles specifications'!$B$2:$CK$2,0))</f>
        <v>140.08554780467787</v>
      </c>
    </row>
    <row r="112" spans="1:2" x14ac:dyDescent="0.3">
      <c r="A112" t="s">
        <v>142</v>
      </c>
      <c r="B112" t="str">
        <f>INDEX('vehicles specifications'!$B$3:$CK$86,MATCH(B94,'vehicles specifications'!$A$3:$A$86,0),MATCH("Emission standard",'vehicles specifications'!$B$2:$CK$2,0))</f>
        <v>None</v>
      </c>
    </row>
    <row r="113" spans="1:8" x14ac:dyDescent="0.3">
      <c r="A113" t="s">
        <v>144</v>
      </c>
      <c r="B113" s="6">
        <f>INDEX('vehicles specifications'!$B$3:$CK$86,MATCH(B94,'vehicles specifications'!$A$3:$A$86,0),MATCH("Lightweighting rate [%]",'vehicles specifications'!$B$2:$CK$2,0))</f>
        <v>0.05</v>
      </c>
    </row>
    <row r="114" spans="1:8" s="21" customFormat="1" x14ac:dyDescent="0.3">
      <c r="A114" s="21" t="s">
        <v>513</v>
      </c>
      <c r="B114" s="6" t="s">
        <v>514</v>
      </c>
    </row>
    <row r="115" spans="1:8" s="21" customFormat="1" x14ac:dyDescent="0.3">
      <c r="A115" s="21" t="s">
        <v>515</v>
      </c>
      <c r="B115" s="2">
        <v>15900</v>
      </c>
    </row>
    <row r="116" spans="1:8" s="21" customFormat="1" x14ac:dyDescent="0.3">
      <c r="A116" s="21" t="s">
        <v>516</v>
      </c>
      <c r="B116" s="2">
        <v>1000</v>
      </c>
    </row>
    <row r="117" spans="1:8" s="21" customFormat="1" x14ac:dyDescent="0.3">
      <c r="A117" s="21" t="s">
        <v>84</v>
      </c>
      <c r="B117" s="21" t="str">
        <f>"Power: "&amp;B105&amp;" kW. Lifetime: "&amp;B99&amp;" km. Annual kilometers: "&amp;ROUND(B103,0)&amp;" km. Number of passengers: "&amp;ROUND(B100,1)&amp;". Curb mass: "&amp;ROUND(B104,1)&amp;" kg. Lightweighting of glider: "&amp;ROUND(B113*100,0)&amp;"%. Emission standard: "&amp;B112&amp;". Service visits throughout lifetime: "&amp;ROUND(B101,1)&amp;". Range: "&amp;ROUND(B111,0)&amp;" km. Battery capacity: "&amp;ROUND(B107,1)&amp;" kWh. Available battery capacity: "&amp;B108&amp;" kWh. Battery mass: "&amp;ROUND(B106,1)&amp; " kg. Battery replacement throughout lifetime: "&amp;ROUND(B102,1)&amp;". Fuel tank capacity: "&amp;ROUND(B109,1)&amp;" kWh. Fuel mass: "&amp;ROUND(B110,1)&amp;" kg. Origin of manufacture: "&amp;B114&amp;". Shipping distance: "&amp;B115&amp;" km. Lorry distribution distance: "&amp;B116&amp;" km. Documentation: "&amp;Readmefirst!$B$2&amp;", "&amp;Readmefirst!$B$3&amp;". "&amp;'lci-kick scooter'!B98</f>
        <v>Power: 0.3 kW. Lifetime: 20000 km. Annual kilometers: 2060 km. Number of passengers: 1. Curb mass: 22.9 kg. Lightweighting of glider: 5%. Emission standard: None. Service visits throughout lifetime: 5. Range: 140 km. Battery capacity: 1.2 kWh. Available battery capacity: 0.96 kWh. Battery mass: 3.9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18" spans="1:8" ht="15.6" x14ac:dyDescent="0.3">
      <c r="A118" s="11" t="s">
        <v>80</v>
      </c>
    </row>
    <row r="119" spans="1:8" x14ac:dyDescent="0.3">
      <c r="A119" t="s">
        <v>81</v>
      </c>
      <c r="B119" t="s">
        <v>82</v>
      </c>
      <c r="C119" t="s">
        <v>73</v>
      </c>
      <c r="D119" t="s">
        <v>77</v>
      </c>
      <c r="E119" t="s">
        <v>83</v>
      </c>
      <c r="F119" t="s">
        <v>75</v>
      </c>
      <c r="G119" t="s">
        <v>84</v>
      </c>
      <c r="H119" t="s">
        <v>74</v>
      </c>
    </row>
    <row r="120" spans="1:8" x14ac:dyDescent="0.3">
      <c r="A120" s="12" t="str">
        <f>B89</f>
        <v>Bicycle, electric (&lt;25 km/h), 2040</v>
      </c>
      <c r="B120" s="12">
        <v>1</v>
      </c>
      <c r="C120" s="12" t="str">
        <f>B90</f>
        <v>CH</v>
      </c>
      <c r="D120" s="12" t="str">
        <f>B97</f>
        <v>unit</v>
      </c>
      <c r="E120" s="12"/>
      <c r="F120" s="12" t="s">
        <v>85</v>
      </c>
      <c r="G120" s="12" t="s">
        <v>86</v>
      </c>
      <c r="H120" s="12" t="str">
        <f>B91</f>
        <v>Bicycle, electric (&lt;25 km/h)</v>
      </c>
    </row>
    <row r="121" spans="1:8" x14ac:dyDescent="0.3">
      <c r="A121" s="12" t="str">
        <f>INDEX('ei names mapping'!$B$4:$R$33,MATCH($B$3,'ei names mapping'!$A$4:$A$33,0),MATCH(G121,'ei names mapping'!$B$3:$R$3,0))</f>
        <v>electric bicycle production, without battery and motor</v>
      </c>
      <c r="B121" s="14">
        <f>INDEX('vehicles specifications'!$B$3:$CK$86,MATCH(B94,'vehicles specifications'!$A$3:$A$86,0),MATCH(G121,'vehicles specifications'!$B$2:$CK$2,0))*INDEX('ei names mapping'!$B$137:$BK$220,MATCH(B94,'ei names mapping'!$A$137:$A$220,0),MATCH(G121,'ei names mapping'!$B$136:$BK$136,0))</f>
        <v>0.94117647058823528</v>
      </c>
      <c r="C121" s="12" t="str">
        <f>INDEX('ei names mapping'!$B$38:$R$67,MATCH($B$3,'ei names mapping'!$A$4:$A$33,0),MATCH(G121,'ei names mapping'!$B$3:$R$3,0))</f>
        <v>RER</v>
      </c>
      <c r="D121" s="12" t="str">
        <f>INDEX('ei names mapping'!$B$104:$R$133,MATCH(B91,'ei names mapping'!$A$104:$A$133,0),MATCH(G121,'ei names mapping'!$B$3:$R$3,0))</f>
        <v>unit</v>
      </c>
      <c r="E121" s="12"/>
      <c r="F121" s="12" t="s">
        <v>91</v>
      </c>
      <c r="G121" s="21" t="s">
        <v>15</v>
      </c>
      <c r="H121" s="12" t="str">
        <f>INDEX('ei names mapping'!$B$71:$R$100,MATCH($B$3,'ei names mapping'!$A$4:$A$33,0),MATCH(G121,'ei names mapping'!$B$3:$R$3,0))</f>
        <v>electric bicycle, without battery and motor</v>
      </c>
    </row>
    <row r="122" spans="1:8" x14ac:dyDescent="0.3">
      <c r="A122" s="12" t="str">
        <f>INDEX('ei names mapping'!$B$4:$R$33,MATCH($B$3,'ei names mapping'!$A$4:$A$33,0),MATCH(G122,'ei names mapping'!$B$3:$R$3,0))</f>
        <v>market for electric motor, vehicle</v>
      </c>
      <c r="B122" s="14">
        <f>INDEX('vehicles specifications'!$B$3:$CK$86,MATCH(B94,'vehicles specifications'!$A$3:$A$86,0),MATCH(G122,'vehicles specifications'!$B$2:$CK$2,0))*INDEX('ei names mapping'!$B$137:$BK$220,MATCH(B94,'ei names mapping'!$A$137:$A$220,0),MATCH(G122,'ei names mapping'!$B$136:$BK$136,0))</f>
        <v>3.8</v>
      </c>
      <c r="C122" s="12" t="str">
        <f>INDEX('ei names mapping'!$B$38:$R$67,MATCH($B$3,'ei names mapping'!$A$4:$A$33,0),MATCH(G122,'ei names mapping'!$B$3:$R$3,0))</f>
        <v>GLO</v>
      </c>
      <c r="D122" s="12" t="str">
        <f>INDEX('ei names mapping'!$B$104:$R$133,MATCH(B91,'ei names mapping'!$A$104:$A$133,0),MATCH(G122,'ei names mapping'!$B$3:$R$3,0))</f>
        <v>kilogram</v>
      </c>
      <c r="E122" s="12"/>
      <c r="F122" s="12" t="s">
        <v>91</v>
      </c>
      <c r="G122" t="s">
        <v>557</v>
      </c>
      <c r="H122" s="12" t="str">
        <f>INDEX('ei names mapping'!$B$71:$R$100,MATCH($B$3,'ei names mapping'!$A$4:$A$33,0),MATCH(G122,'ei names mapping'!$B$3:$R$3,0))</f>
        <v>electric motor, vehicle</v>
      </c>
    </row>
    <row r="123" spans="1:8" s="21" customFormat="1" x14ac:dyDescent="0.3">
      <c r="A123" s="12" t="str">
        <f>INDEX('ei names mapping'!$B$4:$R$33,MATCH(B91,'ei names mapping'!$A$4:$A$33,0),MATCH(G123,'ei names mapping'!$B$3:$R$3,0))</f>
        <v>glider lightweighting</v>
      </c>
      <c r="B123" s="16">
        <f>INDEX('vehicles specifications'!$B$3:$CK$86,MATCH(B94,'vehicles specifications'!$A$3:$A$86,0),MATCH(G123,'vehicles specifications'!$B$2:$CK$2,0))*INDEX('ei names mapping'!$B$137:$BK$220,MATCH(B94,'ei names mapping'!$A$137:$A$220,0),MATCH(G123,'ei names mapping'!$B$136:$BK$136,0))</f>
        <v>0.8</v>
      </c>
      <c r="C123" s="12" t="str">
        <f>INDEX('ei names mapping'!$B$38:$R$67,MATCH(B91,'ei names mapping'!$A$4:$A$33,0),MATCH(G123,'ei names mapping'!$B$3:$R$3,0))</f>
        <v>GLO</v>
      </c>
      <c r="D123" s="12" t="str">
        <f>INDEX('ei names mapping'!$B$104:$R$133,MATCH(B91,'ei names mapping'!$A$104:$A$133,0),MATCH(G123,'ei names mapping'!$B$3:$R$3,0))</f>
        <v>kilogram</v>
      </c>
      <c r="E123" s="12"/>
      <c r="F123" s="12" t="s">
        <v>91</v>
      </c>
      <c r="G123" s="21" t="s">
        <v>14</v>
      </c>
      <c r="H123" s="12" t="str">
        <f>INDEX('ei names mapping'!$B$71:$R$100,MATCH(B91,'ei names mapping'!$A$4:$A$33,0),MATCH(G123,'ei names mapping'!$B$3:$R$3,0))</f>
        <v>glider lightweighting</v>
      </c>
    </row>
    <row r="124" spans="1:8" x14ac:dyDescent="0.3">
      <c r="A124" s="12" t="str">
        <f>INDEX('ei names mapping'!$B$4:$R$33,MATCH($B$3,'ei names mapping'!$A$4:$A$33,0),MATCH(G124,'ei names mapping'!$B$3:$R$3,0))</f>
        <v>Battery cell, NMC</v>
      </c>
      <c r="B124" s="14">
        <f>INDEX('vehicles specifications'!$B$3:$CK$86,MATCH(B94,'vehicles specifications'!$A$3:$A$86,0),MATCH(G124,'vehicles specifications'!$B$2:$CK$2,0))*INDEX('ei names mapping'!$B$137:$BK$220,MATCH(B94,'ei names mapping'!$A$137:$A$220,0),MATCH(G124,'ei names mapping'!$B$136:$BK$136,0))</f>
        <v>3.7499999999999996</v>
      </c>
      <c r="C124" s="12" t="str">
        <f>INDEX('ei names mapping'!$B$38:$R$67,MATCH($B$3,'ei names mapping'!$A$4:$A$33,0),MATCH(G124,'ei names mapping'!$B$3:$R$3,0))</f>
        <v>GLO</v>
      </c>
      <c r="D124" s="12" t="str">
        <f>INDEX('ei names mapping'!$B$104:$R$133,MATCH(B91,'ei names mapping'!$A$104:$A$133,0),MATCH(G124,'ei names mapping'!$B$3:$R$3,0))</f>
        <v>kilogram</v>
      </c>
      <c r="E124" s="12"/>
      <c r="F124" s="12" t="s">
        <v>91</v>
      </c>
      <c r="G124" t="s">
        <v>19</v>
      </c>
      <c r="H124" s="12" t="str">
        <f>INDEX('ei names mapping'!$B$71:$R$100,MATCH($B$3,'ei names mapping'!$A$4:$A$33,0),MATCH(G124,'ei names mapping'!$B$3:$R$3,0))</f>
        <v>Battery cell</v>
      </c>
    </row>
    <row r="125" spans="1:8" x14ac:dyDescent="0.3">
      <c r="A125" s="12" t="str">
        <f>INDEX('ei names mapping'!$B$4:$R$33,MATCH($B$3,'ei names mapping'!$A$4:$A$33,0),MATCH(G125,'ei names mapping'!$B$3:$R$3,0))</f>
        <v>Battery BoP</v>
      </c>
      <c r="B125" s="14">
        <f>INDEX('vehicles specifications'!$B$3:$CK$86,MATCH(B94,'vehicles specifications'!$A$3:$A$86,0),MATCH(G125,'vehicles specifications'!$B$2:$CK$2,0))*INDEX('ei names mapping'!$B$137:$BK$220,MATCH(B94,'ei names mapping'!$A$137:$A$220,0),MATCH(G125,'ei names mapping'!$B$136:$BK$136,0))</f>
        <v>1.1249999999999998</v>
      </c>
      <c r="C125" s="12" t="str">
        <f>INDEX('ei names mapping'!$B$38:$R$67,MATCH($B$3,'ei names mapping'!$A$4:$A$33,0),MATCH(G125,'ei names mapping'!$B$3:$R$3,0))</f>
        <v>GLO</v>
      </c>
      <c r="D125" s="12" t="str">
        <f>INDEX('ei names mapping'!$B$104:$R$133,MATCH(B91,'ei names mapping'!$A$104:$A$133,0),MATCH(G125,'ei names mapping'!$B$3:$R$3,0))</f>
        <v>kilogram</v>
      </c>
      <c r="E125" s="12"/>
      <c r="F125" s="12" t="s">
        <v>91</v>
      </c>
      <c r="G125" t="s">
        <v>20</v>
      </c>
      <c r="H125" s="12" t="str">
        <f>INDEX('ei names mapping'!$B$71:$R$100,MATCH($B$3,'ei names mapping'!$A$4:$A$33,0),MATCH(G125,'ei names mapping'!$B$3:$R$3,0))</f>
        <v>Battery BoP</v>
      </c>
    </row>
    <row r="126" spans="1:8" x14ac:dyDescent="0.3">
      <c r="A126" s="12" t="str">
        <f>INDEX('ei names mapping'!$B$4:$R$33,MATCH($B$3,'ei names mapping'!$A$4:$A$33,0),MATCH(G126,'ei names mapping'!$B$3:$R$3,0))</f>
        <v>charging station, 500W</v>
      </c>
      <c r="B126" s="14">
        <f>INDEX('vehicles specifications'!$B$3:$CK$86,MATCH(B94,'vehicles specifications'!$A$3:$A$86,0),MATCH(G126,'vehicles specifications'!$B$2:$CK$2,0))*INDEX('ei names mapping'!$B$137:$BK$220,MATCH(B94,'ei names mapping'!$A$137:$A$220,0),MATCH(G126,'ei names mapping'!$B$136:$BK$136,0))</f>
        <v>1</v>
      </c>
      <c r="C126" s="12" t="str">
        <f>INDEX('ei names mapping'!$B$38:$R$67,MATCH($B$3,'ei names mapping'!$A$4:$A$33,0),MATCH(G126,'ei names mapping'!$B$3:$R$3,0))</f>
        <v>GLO</v>
      </c>
      <c r="D126" s="12" t="str">
        <f>INDEX('ei names mapping'!$B$104:$R$133,MATCH(B91,'ei names mapping'!$A$104:$A$133,0),MATCH(G126,'ei names mapping'!$B$3:$R$3,0))</f>
        <v>unit</v>
      </c>
      <c r="E126" s="12"/>
      <c r="F126" s="12" t="s">
        <v>91</v>
      </c>
      <c r="G126" t="s">
        <v>53</v>
      </c>
      <c r="H126" s="12" t="str">
        <f>INDEX('ei names mapping'!$B$71:$R$100,MATCH($B$3,'ei names mapping'!$A$4:$A$33,0),MATCH(G126,'ei names mapping'!$B$3:$R$3,0))</f>
        <v>charging station, 500W</v>
      </c>
    </row>
    <row r="127" spans="1:8" x14ac:dyDescent="0.3">
      <c r="A127" s="12" t="str">
        <f>INDEX('ei names mapping'!$B$4:$R$33,MATCH($B$3,'ei names mapping'!$A$4:$A$33,0),MATCH(G127,'ei names mapping'!$B$3:$R$3,0))</f>
        <v>treatment of used electric bicycle</v>
      </c>
      <c r="B127" s="14">
        <f>INDEX('vehicles specifications'!$B$3:$CK$86,MATCH(B94,'vehicles specifications'!$A$3:$A$86,0),MATCH(G127,'vehicles specifications'!$B$2:$CK$2,0))*INDEX('ei names mapping'!$B$137:$BK$220,MATCH(B94,'ei names mapping'!$A$137:$A$220,0),MATCH(G127,'ei names mapping'!$B$136:$BK$136,0))</f>
        <v>-0.6333333333333333</v>
      </c>
      <c r="C127" s="12" t="str">
        <f>INDEX('ei names mapping'!$B$38:$R$67,MATCH($B$3,'ei names mapping'!$A$4:$A$33,0),MATCH(G127,'ei names mapping'!$B$3:$R$3,0))</f>
        <v>CH</v>
      </c>
      <c r="D127" s="12" t="str">
        <f>INDEX('ei names mapping'!$B$104:$R$133,MATCH(B91,'ei names mapping'!$A$104:$A$133,0),MATCH(G127,'ei names mapping'!$B$3:$R$3,0))</f>
        <v>unit</v>
      </c>
      <c r="E127" s="12"/>
      <c r="F127" s="12" t="s">
        <v>91</v>
      </c>
      <c r="G127" t="s">
        <v>150</v>
      </c>
      <c r="H127" s="12" t="str">
        <f>INDEX('ei names mapping'!$B$71:$R$100,MATCH($B$3,'ei names mapping'!$A$4:$A$33,0),MATCH(G127,'ei names mapping'!$B$3:$R$3,0))</f>
        <v>used electric bicycle</v>
      </c>
    </row>
    <row r="128" spans="1:8" x14ac:dyDescent="0.3">
      <c r="A128" s="12" t="str">
        <f>INDEX('ei names mapping'!$B$4:$R$33,MATCH($B$3,'ei names mapping'!$A$4:$A$33,0),MATCH(G128,'ei names mapping'!$B$3:$R$3,0))</f>
        <v>treatment of used electric bicycle</v>
      </c>
      <c r="B128" s="14">
        <f>INDEX('vehicles specifications'!$B$3:$CK$86,MATCH(B94,'vehicles specifications'!$A$3:$A$86,0),MATCH(G128,'vehicles specifications'!$B$2:$CK$2,0))*INDEX('ei names mapping'!$B$137:$BK$220,MATCH(B94,'ei names mapping'!$A$137:$A$220,0),MATCH(G128,'ei names mapping'!$B$136:$BK$136,0))</f>
        <v>-0.15833333333333333</v>
      </c>
      <c r="C128" s="12" t="str">
        <f>INDEX('ei names mapping'!$B$38:$R$67,MATCH($B$3,'ei names mapping'!$A$4:$A$33,0),MATCH(G128,'ei names mapping'!$B$3:$R$3,0))</f>
        <v>CH</v>
      </c>
      <c r="D128" s="12" t="str">
        <f>INDEX('ei names mapping'!$B$104:$R$133,MATCH(B91,'ei names mapping'!$A$104:$A$133,0),MATCH(G128,'ei names mapping'!$B$3:$R$3,0))</f>
        <v>unit</v>
      </c>
      <c r="E128" s="12"/>
      <c r="F128" s="12" t="s">
        <v>91</v>
      </c>
      <c r="G128" t="s">
        <v>151</v>
      </c>
      <c r="H128" s="12" t="str">
        <f>INDEX('ei names mapping'!$B$71:$R$100,MATCH($B$3,'ei names mapping'!$A$4:$A$33,0),MATCH(G128,'ei names mapping'!$B$3:$R$3,0))</f>
        <v>used electric bicycle</v>
      </c>
    </row>
    <row r="129" spans="1:8" x14ac:dyDescent="0.3">
      <c r="A129" s="12" t="str">
        <f>INDEX('ei names mapping'!$B$4:$R$33,MATCH($B$3,'ei names mapping'!$A$4:$A$33,0),MATCH(G129,'ei names mapping'!$B$3:$R$3,0))</f>
        <v>market for used Li-ion battery</v>
      </c>
      <c r="B129" s="14">
        <f>INDEX('vehicles specifications'!$B$3:$CK$86,MATCH(B94,'vehicles specifications'!$A$3:$A$86,0),MATCH(G129,'vehicles specifications'!$B$2:$CK$2,0))*INDEX('ei names mapping'!$B$137:$BK$220,MATCH(B94,'ei names mapping'!$A$137:$A$220,0),MATCH(G129,'ei names mapping'!$B$136:$BK$136,0))</f>
        <v>-4.8749999999999991</v>
      </c>
      <c r="C129" s="12" t="str">
        <f>INDEX('ei names mapping'!$B$38:$R$67,MATCH($B$3,'ei names mapping'!$A$4:$A$33,0),MATCH(G129,'ei names mapping'!$B$3:$R$3,0))</f>
        <v>GLO</v>
      </c>
      <c r="D129" s="12" t="str">
        <f>INDEX('ei names mapping'!$B$104:$R$133,MATCH(B91,'ei names mapping'!$A$104:$A$133,0),MATCH(G129,'ei names mapping'!$B$3:$R$3,0))</f>
        <v>kilogram</v>
      </c>
      <c r="E129" s="12"/>
      <c r="F129" s="12" t="s">
        <v>91</v>
      </c>
      <c r="G129" t="s">
        <v>152</v>
      </c>
      <c r="H129" s="12" t="str">
        <f>INDEX('ei names mapping'!$B$71:$R$100,MATCH($B$3,'ei names mapping'!$A$4:$A$33,0),MATCH(G129,'ei names mapping'!$B$3:$R$3,0))</f>
        <v>used Li-ion battery</v>
      </c>
    </row>
    <row r="130" spans="1:8" s="21" customFormat="1" x14ac:dyDescent="0.3">
      <c r="A130" s="22" t="s">
        <v>468</v>
      </c>
      <c r="B130" s="21">
        <f>(B104/1000)*B116</f>
        <v>22.9</v>
      </c>
      <c r="C130" s="21" t="s">
        <v>94</v>
      </c>
      <c r="D130" s="21" t="s">
        <v>243</v>
      </c>
      <c r="F130" s="21" t="s">
        <v>91</v>
      </c>
      <c r="H130" s="22" t="s">
        <v>469</v>
      </c>
    </row>
    <row r="131" spans="1:8" s="21" customFormat="1" x14ac:dyDescent="0.3">
      <c r="A131" s="22" t="s">
        <v>467</v>
      </c>
      <c r="B131" s="2">
        <f>(B104/1000)*B115</f>
        <v>364.11</v>
      </c>
      <c r="C131" s="21" t="s">
        <v>98</v>
      </c>
      <c r="D131" s="21" t="s">
        <v>243</v>
      </c>
      <c r="F131" s="21" t="s">
        <v>91</v>
      </c>
      <c r="H131" s="22" t="s">
        <v>467</v>
      </c>
    </row>
    <row r="133" spans="1:8" ht="15.6" x14ac:dyDescent="0.3">
      <c r="A133" s="11" t="s">
        <v>72</v>
      </c>
      <c r="B133" s="9" t="str">
        <f>B135&amp;", "&amp;B137</f>
        <v>Bicycle, electric (&lt;25 km/h), 2050</v>
      </c>
    </row>
    <row r="134" spans="1:8" x14ac:dyDescent="0.3">
      <c r="A134" t="s">
        <v>73</v>
      </c>
      <c r="B134" t="s">
        <v>37</v>
      </c>
    </row>
    <row r="135" spans="1:8" x14ac:dyDescent="0.3">
      <c r="A135" t="s">
        <v>87</v>
      </c>
      <c r="B135" s="21" t="s">
        <v>517</v>
      </c>
    </row>
    <row r="136" spans="1:8" x14ac:dyDescent="0.3">
      <c r="A136" t="s">
        <v>88</v>
      </c>
      <c r="B136" s="12"/>
    </row>
    <row r="137" spans="1:8" x14ac:dyDescent="0.3">
      <c r="A137" t="s">
        <v>89</v>
      </c>
      <c r="B137" s="12">
        <v>2050</v>
      </c>
    </row>
    <row r="138" spans="1:8" x14ac:dyDescent="0.3">
      <c r="A138" t="s">
        <v>131</v>
      </c>
      <c r="B138" s="12" t="str">
        <f>B135&amp;" - "&amp;B137&amp;" - "&amp;B134</f>
        <v>Bicycle, electric (&lt;25 km/h) - 2050 - CH</v>
      </c>
    </row>
    <row r="139" spans="1:8" x14ac:dyDescent="0.3">
      <c r="A139" t="s">
        <v>74</v>
      </c>
      <c r="B139" t="str">
        <f>B135</f>
        <v>Bicycle, electric (&lt;25 km/h)</v>
      </c>
    </row>
    <row r="140" spans="1:8" x14ac:dyDescent="0.3">
      <c r="A140" t="s">
        <v>75</v>
      </c>
      <c r="B140" t="s">
        <v>76</v>
      </c>
    </row>
    <row r="141" spans="1:8" x14ac:dyDescent="0.3">
      <c r="A141" t="s">
        <v>77</v>
      </c>
      <c r="B141" t="s">
        <v>77</v>
      </c>
    </row>
    <row r="142" spans="1:8" x14ac:dyDescent="0.3">
      <c r="A142" t="s">
        <v>79</v>
      </c>
      <c r="B142" t="s">
        <v>90</v>
      </c>
    </row>
    <row r="143" spans="1:8" x14ac:dyDescent="0.3">
      <c r="A143" t="s">
        <v>132</v>
      </c>
      <c r="B143">
        <f>INDEX('vehicles specifications'!$B$3:$CK$86,MATCH(B138,'vehicles specifications'!$A$3:$A$86,0),MATCH("Lifetime [km]",'vehicles specifications'!$B$2:$CK$2,0))</f>
        <v>20000</v>
      </c>
    </row>
    <row r="144" spans="1:8" x14ac:dyDescent="0.3">
      <c r="A144" t="s">
        <v>133</v>
      </c>
      <c r="B144">
        <f>INDEX('vehicles specifications'!$B$3:$CK$86,MATCH(B138,'vehicles specifications'!$A$3:$A$86,0),MATCH("Passengers [unit]",'vehicles specifications'!$B$2:$CK$2,0))</f>
        <v>1</v>
      </c>
    </row>
    <row r="145" spans="1:2" x14ac:dyDescent="0.3">
      <c r="A145" t="s">
        <v>134</v>
      </c>
      <c r="B145">
        <f>INDEX('vehicles specifications'!$B$3:$CK$86,MATCH(B138,'vehicles specifications'!$A$3:$A$86,0),MATCH("Servicing [unit]",'vehicles specifications'!$B$2:$CK$2,0))</f>
        <v>5</v>
      </c>
    </row>
    <row r="146" spans="1:2" x14ac:dyDescent="0.3">
      <c r="A146" t="s">
        <v>135</v>
      </c>
      <c r="B146">
        <f>INDEX('vehicles specifications'!$B$3:$CK$86,MATCH(B138,'vehicles specifications'!$A$3:$A$86,0),MATCH("Energy battery replacement [unit]",'vehicles specifications'!$B$2:$CK$2,0))</f>
        <v>0</v>
      </c>
    </row>
    <row r="147" spans="1:2" x14ac:dyDescent="0.3">
      <c r="A147" t="s">
        <v>136</v>
      </c>
      <c r="B147">
        <f>INDEX('vehicles specifications'!$B$3:$CK$86,MATCH(B138,'vehicles specifications'!$A$3:$A$86,0),MATCH("Annual kilometers [km]",'vehicles specifications'!$B$2:$CK$2,0))</f>
        <v>2060</v>
      </c>
    </row>
    <row r="148" spans="1:2" x14ac:dyDescent="0.3">
      <c r="A148" t="s">
        <v>137</v>
      </c>
      <c r="B148">
        <f>INDEX('vehicles specifications'!$B$3:$CK$86,MATCH(B138,'vehicles specifications'!$A$3:$A$86,0),MATCH("Curb mass [kg]",'vehicles specifications'!$B$2:$CK$2,0))</f>
        <v>22.74</v>
      </c>
    </row>
    <row r="149" spans="1:2" x14ac:dyDescent="0.3">
      <c r="A149" t="s">
        <v>138</v>
      </c>
      <c r="B149">
        <f>INDEX('vehicles specifications'!$B$3:$CK$86,MATCH(B138,'vehicles specifications'!$A$3:$A$86,0),MATCH("Power [kW]",'vehicles specifications'!$B$2:$CK$2,0))</f>
        <v>0.3</v>
      </c>
    </row>
    <row r="150" spans="1:2" x14ac:dyDescent="0.3">
      <c r="A150" t="s">
        <v>139</v>
      </c>
      <c r="B150">
        <f>INDEX('vehicles specifications'!$B$3:$CK$86,MATCH(B138,'vehicles specifications'!$A$3:$A$86,0),MATCH("Energy battery mass [kg]",'vehicles specifications'!$B$2:$CK$2,0))</f>
        <v>4.16</v>
      </c>
    </row>
    <row r="151" spans="1:2" x14ac:dyDescent="0.3">
      <c r="A151" t="s">
        <v>140</v>
      </c>
      <c r="B151">
        <f>INDEX('vehicles specifications'!$B$3:$CK$86,MATCH(B138,'vehicles specifications'!$A$3:$A$86,0),MATCH("Electric energy stored [kWh]",'vehicles specifications'!$B$2:$CK$2,0))</f>
        <v>1.6</v>
      </c>
    </row>
    <row r="152" spans="1:2" s="21" customFormat="1" x14ac:dyDescent="0.3">
      <c r="A152" s="21" t="s">
        <v>654</v>
      </c>
      <c r="B152" s="21">
        <f>INDEX('vehicles specifications'!$B$3:$CK$86,MATCH(B138,'vehicles specifications'!$A$3:$A$86,0),MATCH("Electric energy available [kWh]",'vehicles specifications'!$B$2:$CK$2,0))</f>
        <v>1.2800000000000002</v>
      </c>
    </row>
    <row r="153" spans="1:2" x14ac:dyDescent="0.3">
      <c r="A153" t="s">
        <v>143</v>
      </c>
      <c r="B153">
        <f>INDEX('vehicles specifications'!$B$3:$CK$86,MATCH(B138,'vehicles specifications'!$A$3:$A$86,0),MATCH("Oxydation energy stored [kWh]",'vehicles specifications'!$B$2:$CK$2,0))</f>
        <v>0</v>
      </c>
    </row>
    <row r="154" spans="1:2" x14ac:dyDescent="0.3">
      <c r="A154" t="s">
        <v>145</v>
      </c>
      <c r="B154">
        <f>INDEX('vehicles specifications'!$B$3:$CK$86,MATCH(B138,'vehicles specifications'!$A$3:$A$86,0),MATCH("Fuel mass [kg]",'vehicles specifications'!$B$2:$CK$2,0))</f>
        <v>0</v>
      </c>
    </row>
    <row r="155" spans="1:2" x14ac:dyDescent="0.3">
      <c r="A155" t="s">
        <v>141</v>
      </c>
      <c r="B155" s="2">
        <f>INDEX('vehicles specifications'!$B$3:$CK$86,MATCH(B138,'vehicles specifications'!$A$3:$A$86,0),MATCH("Range [km]",'vehicles specifications'!$B$2:$CK$2,0))</f>
        <v>186.78073040623721</v>
      </c>
    </row>
    <row r="156" spans="1:2" x14ac:dyDescent="0.3">
      <c r="A156" t="s">
        <v>142</v>
      </c>
      <c r="B156" t="str">
        <f>INDEX('vehicles specifications'!$B$3:$CK$86,MATCH(B138,'vehicles specifications'!$A$3:$A$86,0),MATCH("Emission standard",'vehicles specifications'!$B$2:$CK$2,0))</f>
        <v>None</v>
      </c>
    </row>
    <row r="157" spans="1:2" x14ac:dyDescent="0.3">
      <c r="A157" t="s">
        <v>144</v>
      </c>
      <c r="B157" s="6">
        <f>INDEX('vehicles specifications'!$B$3:$CK$86,MATCH(B138,'vehicles specifications'!$A$3:$A$86,0),MATCH("Lightweighting rate [%]",'vehicles specifications'!$B$2:$CK$2,0))</f>
        <v>7.0000000000000007E-2</v>
      </c>
    </row>
    <row r="158" spans="1:2" s="21" customFormat="1" x14ac:dyDescent="0.3">
      <c r="A158" s="21" t="s">
        <v>513</v>
      </c>
      <c r="B158" s="6" t="s">
        <v>514</v>
      </c>
    </row>
    <row r="159" spans="1:2" s="21" customFormat="1" x14ac:dyDescent="0.3">
      <c r="A159" s="21" t="s">
        <v>515</v>
      </c>
      <c r="B159" s="2">
        <v>15900</v>
      </c>
    </row>
    <row r="160" spans="1:2" s="21" customFormat="1" x14ac:dyDescent="0.3">
      <c r="A160" s="21" t="s">
        <v>516</v>
      </c>
      <c r="B160" s="2">
        <v>1000</v>
      </c>
    </row>
    <row r="161" spans="1:8" s="21" customFormat="1" x14ac:dyDescent="0.3">
      <c r="A161" s="21" t="s">
        <v>84</v>
      </c>
      <c r="B161" s="21" t="str">
        <f>"Power: "&amp;B149&amp;" kW. Lifetime: "&amp;B143&amp;" km. Annual kilometers: "&amp;ROUND(B147,0)&amp;" km. Number of passengers: "&amp;ROUND(B144,1)&amp;". Curb mass: "&amp;ROUND(B148,1)&amp;" kg. Lightweighting of glider: "&amp;ROUND(B157*100,0)&amp;"%. Emission standard: "&amp;B156&amp;". Service visits throughout lifetime: "&amp;ROUND(B145,1)&amp;". Range: "&amp;ROUND(B155,0)&amp;" km. Battery capacity: "&amp;ROUND(B151,1)&amp;" kWh. Available battery capacity: "&amp;B152&amp;" kWh. Battery mass: "&amp;ROUND(B150,1)&amp; " kg. Battery replacement throughout lifetime: "&amp;ROUND(B146,1)&amp;". Fuel tank capacity: "&amp;ROUND(B153,1)&amp;" kWh. Fuel mass: "&amp;ROUND(B154,1)&amp;" kg. Origin of manufacture: "&amp;B158&amp;". Shipping distance: "&amp;B159&amp;" km. Lorry distribution distance: "&amp;B160&amp;" km. Documentation: "&amp;Readmefirst!$B$2&amp;", "&amp;Readmefirst!$B$3&amp;". "&amp;'lci-kick scooter'!B142</f>
        <v>Power: 0.3 kW. Lifetime: 20000 km. Annual kilometers: 2060 km. Number of passengers: 1. Curb mass: 22.7 kg. Lightweighting of glider: 7%. Emission standard: None. Service visits throughout lifetime: 5. Range: 187 km. Battery capacity: 1.6 kWh. Available battery capacity: 1.28 kWh. Battery mass: 4.2 kg. Battery replacement throughout lifetime: 0. Fuel tank capacity: 0 kWh. Fuel mass: 0 kg. Origin of manufacture: China. Shipping distance: 15900 km. Lorry distribution distance: 1000 km. Documentation: 2021 UVEK life-cycle inventories update of on-road vehicles, Sacchi R. (PSI), Bauer C. (PSI), 2021. 1785</v>
      </c>
    </row>
    <row r="162" spans="1:8" ht="15.6" x14ac:dyDescent="0.3">
      <c r="A162" s="11" t="s">
        <v>80</v>
      </c>
    </row>
    <row r="163" spans="1:8" x14ac:dyDescent="0.3">
      <c r="A163" t="s">
        <v>81</v>
      </c>
      <c r="B163" t="s">
        <v>82</v>
      </c>
      <c r="C163" t="s">
        <v>73</v>
      </c>
      <c r="D163" t="s">
        <v>77</v>
      </c>
      <c r="E163" t="s">
        <v>83</v>
      </c>
      <c r="F163" t="s">
        <v>75</v>
      </c>
      <c r="G163" t="s">
        <v>84</v>
      </c>
      <c r="H163" t="s">
        <v>74</v>
      </c>
    </row>
    <row r="164" spans="1:8" x14ac:dyDescent="0.3">
      <c r="A164" s="12" t="str">
        <f>B133</f>
        <v>Bicycle, electric (&lt;25 km/h), 2050</v>
      </c>
      <c r="B164" s="12">
        <v>1</v>
      </c>
      <c r="C164" s="12" t="str">
        <f>B134</f>
        <v>CH</v>
      </c>
      <c r="D164" s="12" t="str">
        <f>B141</f>
        <v>unit</v>
      </c>
      <c r="E164" s="12"/>
      <c r="F164" s="12" t="s">
        <v>85</v>
      </c>
      <c r="G164" s="12" t="s">
        <v>86</v>
      </c>
      <c r="H164" s="12" t="str">
        <f>B135</f>
        <v>Bicycle, electric (&lt;25 km/h)</v>
      </c>
    </row>
    <row r="165" spans="1:8" x14ac:dyDescent="0.3">
      <c r="A165" s="12" t="str">
        <f>INDEX('ei names mapping'!$B$4:$R$33,MATCH($B$3,'ei names mapping'!$A$4:$A$33,0),MATCH(G165,'ei names mapping'!$B$3:$R$3,0))</f>
        <v>electric bicycle production, without battery and motor</v>
      </c>
      <c r="B165" s="14">
        <f>INDEX('vehicles specifications'!$B$3:$CK$86,MATCH(B138,'vehicles specifications'!$A$3:$A$86,0),MATCH(G165,'vehicles specifications'!$B$2:$CK$2,0))*INDEX('ei names mapping'!$B$137:$BK$220,MATCH(B138,'ei names mapping'!$A$137:$A$220,0),MATCH(G165,'ei names mapping'!$B$136:$BK$136,0))</f>
        <v>0.94117647058823528</v>
      </c>
      <c r="C165" s="12" t="str">
        <f>INDEX('ei names mapping'!$B$38:$R$67,MATCH($B$3,'ei names mapping'!$A$4:$A$33,0),MATCH(G165,'ei names mapping'!$B$3:$R$3,0))</f>
        <v>RER</v>
      </c>
      <c r="D165" s="12" t="str">
        <f>INDEX('ei names mapping'!$B$104:$R$133,MATCH(B135,'ei names mapping'!$A$104:$A$133,0),MATCH(G165,'ei names mapping'!$B$3:$R$3,0))</f>
        <v>unit</v>
      </c>
      <c r="E165" s="12"/>
      <c r="F165" s="12" t="s">
        <v>91</v>
      </c>
      <c r="G165" s="21" t="s">
        <v>15</v>
      </c>
      <c r="H165" s="12" t="str">
        <f>INDEX('ei names mapping'!$B$71:$R$100,MATCH($B$3,'ei names mapping'!$A$4:$A$33,0),MATCH(G165,'ei names mapping'!$B$3:$R$3,0))</f>
        <v>electric bicycle, without battery and motor</v>
      </c>
    </row>
    <row r="166" spans="1:8" x14ac:dyDescent="0.3">
      <c r="A166" s="12" t="str">
        <f>INDEX('ei names mapping'!$B$4:$R$33,MATCH($B$3,'ei names mapping'!$A$4:$A$33,0),MATCH(G166,'ei names mapping'!$B$3:$R$3,0))</f>
        <v>market for electric motor, vehicle</v>
      </c>
      <c r="B166" s="14">
        <f>INDEX('vehicles specifications'!$B$3:$CK$86,MATCH(B138,'vehicles specifications'!$A$3:$A$86,0),MATCH(G166,'vehicles specifications'!$B$2:$CK$2,0))*INDEX('ei names mapping'!$B$137:$BK$220,MATCH(B138,'ei names mapping'!$A$137:$A$220,0),MATCH(G166,'ei names mapping'!$B$136:$BK$136,0))</f>
        <v>3.7</v>
      </c>
      <c r="C166" s="12" t="str">
        <f>INDEX('ei names mapping'!$B$38:$R$67,MATCH($B$3,'ei names mapping'!$A$4:$A$33,0),MATCH(G166,'ei names mapping'!$B$3:$R$3,0))</f>
        <v>GLO</v>
      </c>
      <c r="D166" s="12" t="str">
        <f>INDEX('ei names mapping'!$B$104:$R$133,MATCH(B135,'ei names mapping'!$A$104:$A$133,0),MATCH(G166,'ei names mapping'!$B$3:$R$3,0))</f>
        <v>kilogram</v>
      </c>
      <c r="E166" s="12"/>
      <c r="F166" s="12" t="s">
        <v>91</v>
      </c>
      <c r="G166" t="s">
        <v>557</v>
      </c>
      <c r="H166" s="12" t="str">
        <f>INDEX('ei names mapping'!$B$71:$R$100,MATCH($B$3,'ei names mapping'!$A$4:$A$33,0),MATCH(G166,'ei names mapping'!$B$3:$R$3,0))</f>
        <v>electric motor, vehicle</v>
      </c>
    </row>
    <row r="167" spans="1:8" s="21" customFormat="1" x14ac:dyDescent="0.3">
      <c r="A167" s="12" t="str">
        <f>INDEX('ei names mapping'!$B$4:$R$33,MATCH(B135,'ei names mapping'!$A$4:$A$33,0),MATCH(G167,'ei names mapping'!$B$3:$R$3,0))</f>
        <v>glider lightweighting</v>
      </c>
      <c r="B167" s="16">
        <f>INDEX('vehicles specifications'!$B$3:$CK$86,MATCH(B138,'vehicles specifications'!$A$3:$A$86,0),MATCH(G167,'vehicles specifications'!$B$2:$CK$2,0))*INDEX('ei names mapping'!$B$137:$BK$220,MATCH(B138,'ei names mapping'!$A$137:$A$220,0),MATCH(G167,'ei names mapping'!$B$136:$BK$136,0))</f>
        <v>1.1200000000000001</v>
      </c>
      <c r="C167" s="12" t="str">
        <f>INDEX('ei names mapping'!$B$38:$R$67,MATCH(B135,'ei names mapping'!$A$4:$A$33,0),MATCH(G167,'ei names mapping'!$B$3:$R$3,0))</f>
        <v>GLO</v>
      </c>
      <c r="D167" s="12" t="str">
        <f>INDEX('ei names mapping'!$B$104:$R$133,MATCH(B135,'ei names mapping'!$A$104:$A$133,0),MATCH(G167,'ei names mapping'!$B$3:$R$3,0))</f>
        <v>kilogram</v>
      </c>
      <c r="E167" s="12"/>
      <c r="F167" s="12" t="s">
        <v>91</v>
      </c>
      <c r="G167" s="21" t="s">
        <v>14</v>
      </c>
      <c r="H167" s="12" t="str">
        <f>INDEX('ei names mapping'!$B$71:$R$100,MATCH(B135,'ei names mapping'!$A$4:$A$33,0),MATCH(G167,'ei names mapping'!$B$3:$R$3,0))</f>
        <v>glider lightweighting</v>
      </c>
    </row>
    <row r="168" spans="1:8" x14ac:dyDescent="0.3">
      <c r="A168" s="12" t="str">
        <f>INDEX('ei names mapping'!$B$4:$R$33,MATCH($B$3,'ei names mapping'!$A$4:$A$33,0),MATCH(G168,'ei names mapping'!$B$3:$R$3,0))</f>
        <v>Battery cell, NMC</v>
      </c>
      <c r="B168" s="14">
        <f>INDEX('vehicles specifications'!$B$3:$CK$86,MATCH(B138,'vehicles specifications'!$A$3:$A$86,0),MATCH(G168,'vehicles specifications'!$B$2:$CK$2,0))*INDEX('ei names mapping'!$B$137:$BK$220,MATCH(B138,'ei names mapping'!$A$137:$A$220,0),MATCH(G168,'ei names mapping'!$B$136:$BK$136,0))</f>
        <v>3.2</v>
      </c>
      <c r="C168" s="12" t="str">
        <f>INDEX('ei names mapping'!$B$38:$R$67,MATCH($B$3,'ei names mapping'!$A$4:$A$33,0),MATCH(G168,'ei names mapping'!$B$3:$R$3,0))</f>
        <v>GLO</v>
      </c>
      <c r="D168" s="12" t="str">
        <f>INDEX('ei names mapping'!$B$104:$R$133,MATCH(B135,'ei names mapping'!$A$104:$A$133,0),MATCH(G168,'ei names mapping'!$B$3:$R$3,0))</f>
        <v>kilogram</v>
      </c>
      <c r="E168" s="12"/>
      <c r="F168" s="12" t="s">
        <v>91</v>
      </c>
      <c r="G168" t="s">
        <v>19</v>
      </c>
      <c r="H168" s="12" t="str">
        <f>INDEX('ei names mapping'!$B$71:$R$100,MATCH($B$3,'ei names mapping'!$A$4:$A$33,0),MATCH(G168,'ei names mapping'!$B$3:$R$3,0))</f>
        <v>Battery cell</v>
      </c>
    </row>
    <row r="169" spans="1:8" x14ac:dyDescent="0.3">
      <c r="A169" s="12" t="str">
        <f>INDEX('ei names mapping'!$B$4:$R$33,MATCH($B$3,'ei names mapping'!$A$4:$A$33,0),MATCH(G169,'ei names mapping'!$B$3:$R$3,0))</f>
        <v>Battery BoP</v>
      </c>
      <c r="B169" s="14">
        <f>INDEX('vehicles specifications'!$B$3:$CK$86,MATCH(B138,'vehicles specifications'!$A$3:$A$86,0),MATCH(G169,'vehicles specifications'!$B$2:$CK$2,0))*INDEX('ei names mapping'!$B$137:$BK$220,MATCH(B138,'ei names mapping'!$A$137:$A$220,0),MATCH(G169,'ei names mapping'!$B$136:$BK$136,0))</f>
        <v>0.96</v>
      </c>
      <c r="C169" s="12" t="str">
        <f>INDEX('ei names mapping'!$B$38:$R$67,MATCH($B$3,'ei names mapping'!$A$4:$A$33,0),MATCH(G169,'ei names mapping'!$B$3:$R$3,0))</f>
        <v>GLO</v>
      </c>
      <c r="D169" s="12" t="str">
        <f>INDEX('ei names mapping'!$B$104:$R$133,MATCH(B135,'ei names mapping'!$A$104:$A$133,0),MATCH(G169,'ei names mapping'!$B$3:$R$3,0))</f>
        <v>kilogram</v>
      </c>
      <c r="E169" s="12"/>
      <c r="F169" s="12" t="s">
        <v>91</v>
      </c>
      <c r="G169" t="s">
        <v>20</v>
      </c>
      <c r="H169" s="12" t="str">
        <f>INDEX('ei names mapping'!$B$71:$R$100,MATCH($B$3,'ei names mapping'!$A$4:$A$33,0),MATCH(G169,'ei names mapping'!$B$3:$R$3,0))</f>
        <v>Battery BoP</v>
      </c>
    </row>
    <row r="170" spans="1:8" x14ac:dyDescent="0.3">
      <c r="A170" s="12" t="str">
        <f>INDEX('ei names mapping'!$B$4:$R$33,MATCH($B$3,'ei names mapping'!$A$4:$A$33,0),MATCH(G170,'ei names mapping'!$B$3:$R$3,0))</f>
        <v>charging station, 500W</v>
      </c>
      <c r="B170" s="14">
        <f>INDEX('vehicles specifications'!$B$3:$CK$86,MATCH(B138,'vehicles specifications'!$A$3:$A$86,0),MATCH(G170,'vehicles specifications'!$B$2:$CK$2,0))*INDEX('ei names mapping'!$B$137:$BK$220,MATCH(B138,'ei names mapping'!$A$137:$A$220,0),MATCH(G170,'ei names mapping'!$B$136:$BK$136,0))</f>
        <v>1</v>
      </c>
      <c r="C170" s="12" t="str">
        <f>INDEX('ei names mapping'!$B$38:$R$67,MATCH($B$3,'ei names mapping'!$A$4:$A$33,0),MATCH(G170,'ei names mapping'!$B$3:$R$3,0))</f>
        <v>GLO</v>
      </c>
      <c r="D170" s="12" t="str">
        <f>INDEX('ei names mapping'!$B$104:$R$133,MATCH(B135,'ei names mapping'!$A$104:$A$133,0),MATCH(G170,'ei names mapping'!$B$3:$R$3,0))</f>
        <v>unit</v>
      </c>
      <c r="E170" s="12"/>
      <c r="F170" s="12" t="s">
        <v>91</v>
      </c>
      <c r="G170" t="s">
        <v>53</v>
      </c>
      <c r="H170" s="12" t="str">
        <f>INDEX('ei names mapping'!$B$71:$R$100,MATCH($B$3,'ei names mapping'!$A$4:$A$33,0),MATCH(G170,'ei names mapping'!$B$3:$R$3,0))</f>
        <v>charging station, 500W</v>
      </c>
    </row>
    <row r="171" spans="1:8" x14ac:dyDescent="0.3">
      <c r="A171" s="12" t="str">
        <f>INDEX('ei names mapping'!$B$4:$R$33,MATCH($B$3,'ei names mapping'!$A$4:$A$33,0),MATCH(G171,'ei names mapping'!$B$3:$R$3,0))</f>
        <v>treatment of used electric bicycle</v>
      </c>
      <c r="B171" s="14">
        <f>INDEX('vehicles specifications'!$B$3:$CK$86,MATCH(B138,'vehicles specifications'!$A$3:$A$86,0),MATCH(G171,'vehicles specifications'!$B$2:$CK$2,0))*INDEX('ei names mapping'!$B$137:$BK$220,MATCH(B138,'ei names mapping'!$A$137:$A$220,0),MATCH(G171,'ei names mapping'!$B$136:$BK$136,0))</f>
        <v>-0.61999999999999988</v>
      </c>
      <c r="C171" s="12" t="str">
        <f>INDEX('ei names mapping'!$B$38:$R$67,MATCH($B$3,'ei names mapping'!$A$4:$A$33,0),MATCH(G171,'ei names mapping'!$B$3:$R$3,0))</f>
        <v>CH</v>
      </c>
      <c r="D171" s="12" t="str">
        <f>INDEX('ei names mapping'!$B$104:$R$133,MATCH(B135,'ei names mapping'!$A$104:$A$133,0),MATCH(G171,'ei names mapping'!$B$3:$R$3,0))</f>
        <v>unit</v>
      </c>
      <c r="E171" s="12"/>
      <c r="F171" s="12" t="s">
        <v>91</v>
      </c>
      <c r="G171" t="s">
        <v>150</v>
      </c>
      <c r="H171" s="12" t="str">
        <f>INDEX('ei names mapping'!$B$71:$R$100,MATCH($B$3,'ei names mapping'!$A$4:$A$33,0),MATCH(G171,'ei names mapping'!$B$3:$R$3,0))</f>
        <v>used electric bicycle</v>
      </c>
    </row>
    <row r="172" spans="1:8" x14ac:dyDescent="0.3">
      <c r="A172" s="12" t="str">
        <f>INDEX('ei names mapping'!$B$4:$R$33,MATCH($B$3,'ei names mapping'!$A$4:$A$33,0),MATCH(G172,'ei names mapping'!$B$3:$R$3,0))</f>
        <v>treatment of used electric bicycle</v>
      </c>
      <c r="B172" s="14">
        <f>INDEX('vehicles specifications'!$B$3:$CK$86,MATCH(B138,'vehicles specifications'!$A$3:$A$86,0),MATCH(G172,'vehicles specifications'!$B$2:$CK$2,0))*INDEX('ei names mapping'!$B$137:$BK$220,MATCH(B138,'ei names mapping'!$A$137:$A$220,0),MATCH(G172,'ei names mapping'!$B$136:$BK$136,0))</f>
        <v>-0.15416666666666667</v>
      </c>
      <c r="C172" s="12" t="str">
        <f>INDEX('ei names mapping'!$B$38:$R$67,MATCH($B$3,'ei names mapping'!$A$4:$A$33,0),MATCH(G172,'ei names mapping'!$B$3:$R$3,0))</f>
        <v>CH</v>
      </c>
      <c r="D172" s="12" t="str">
        <f>INDEX('ei names mapping'!$B$104:$R$133,MATCH(B135,'ei names mapping'!$A$104:$A$133,0),MATCH(G172,'ei names mapping'!$B$3:$R$3,0))</f>
        <v>unit</v>
      </c>
      <c r="E172" s="12"/>
      <c r="F172" s="12" t="s">
        <v>91</v>
      </c>
      <c r="G172" t="s">
        <v>151</v>
      </c>
      <c r="H172" s="12" t="str">
        <f>INDEX('ei names mapping'!$B$71:$R$100,MATCH($B$3,'ei names mapping'!$A$4:$A$33,0),MATCH(G172,'ei names mapping'!$B$3:$R$3,0))</f>
        <v>used electric bicycle</v>
      </c>
    </row>
    <row r="173" spans="1:8" x14ac:dyDescent="0.3">
      <c r="A173" s="12" t="str">
        <f>INDEX('ei names mapping'!$B$4:$R$33,MATCH($B$3,'ei names mapping'!$A$4:$A$33,0),MATCH(G173,'ei names mapping'!$B$3:$R$3,0))</f>
        <v>market for used Li-ion battery</v>
      </c>
      <c r="B173" s="14">
        <f>INDEX('vehicles specifications'!$B$3:$CK$86,MATCH(B138,'vehicles specifications'!$A$3:$A$86,0),MATCH(G173,'vehicles specifications'!$B$2:$CK$2,0))*INDEX('ei names mapping'!$B$137:$BK$220,MATCH(B138,'ei names mapping'!$A$137:$A$220,0),MATCH(G173,'ei names mapping'!$B$136:$BK$136,0))</f>
        <v>-4.16</v>
      </c>
      <c r="C173" s="12" t="str">
        <f>INDEX('ei names mapping'!$B$38:$R$67,MATCH($B$3,'ei names mapping'!$A$4:$A$33,0),MATCH(G173,'ei names mapping'!$B$3:$R$3,0))</f>
        <v>GLO</v>
      </c>
      <c r="D173" s="12" t="str">
        <f>INDEX('ei names mapping'!$B$104:$R$133,MATCH(B135,'ei names mapping'!$A$104:$A$133,0),MATCH(G173,'ei names mapping'!$B$3:$R$3,0))</f>
        <v>kilogram</v>
      </c>
      <c r="E173" s="12"/>
      <c r="F173" s="12" t="s">
        <v>91</v>
      </c>
      <c r="G173" t="s">
        <v>152</v>
      </c>
      <c r="H173" s="12" t="str">
        <f>INDEX('ei names mapping'!$B$71:$R$100,MATCH($B$3,'ei names mapping'!$A$4:$A$33,0),MATCH(G173,'ei names mapping'!$B$3:$R$3,0))</f>
        <v>used Li-ion battery</v>
      </c>
    </row>
    <row r="174" spans="1:8" s="21" customFormat="1" x14ac:dyDescent="0.3">
      <c r="A174" s="22" t="s">
        <v>468</v>
      </c>
      <c r="B174" s="21">
        <f>(B148/1000)*B160</f>
        <v>22.74</v>
      </c>
      <c r="C174" s="21" t="s">
        <v>94</v>
      </c>
      <c r="D174" s="21" t="s">
        <v>243</v>
      </c>
      <c r="F174" s="21" t="s">
        <v>91</v>
      </c>
      <c r="H174" s="22" t="s">
        <v>469</v>
      </c>
    </row>
    <row r="175" spans="1:8" s="21" customFormat="1" x14ac:dyDescent="0.3">
      <c r="A175" s="22" t="s">
        <v>467</v>
      </c>
      <c r="B175" s="2">
        <f>(B148/1000)*B159</f>
        <v>361.56599999999997</v>
      </c>
      <c r="C175" s="21" t="s">
        <v>98</v>
      </c>
      <c r="D175" s="21" t="s">
        <v>243</v>
      </c>
      <c r="F175" s="21" t="s">
        <v>91</v>
      </c>
      <c r="H175" s="22" t="s">
        <v>467</v>
      </c>
    </row>
    <row r="178" spans="1:2" ht="15.6" x14ac:dyDescent="0.3">
      <c r="A178" s="11" t="s">
        <v>72</v>
      </c>
      <c r="B178" s="9" t="str">
        <f>"transport, "&amp;B180&amp;", "&amp;B182</f>
        <v>transport, Bicycle, electric (&lt;25 km/h), 2020</v>
      </c>
    </row>
    <row r="179" spans="1:2" x14ac:dyDescent="0.3">
      <c r="A179" t="s">
        <v>73</v>
      </c>
      <c r="B179" t="s">
        <v>37</v>
      </c>
    </row>
    <row r="180" spans="1:2" x14ac:dyDescent="0.3">
      <c r="A180" t="s">
        <v>87</v>
      </c>
      <c r="B180" t="s">
        <v>517</v>
      </c>
    </row>
    <row r="181" spans="1:2" x14ac:dyDescent="0.3">
      <c r="A181" t="s">
        <v>88</v>
      </c>
      <c r="B181" s="12"/>
    </row>
    <row r="182" spans="1:2" x14ac:dyDescent="0.3">
      <c r="A182" t="s">
        <v>89</v>
      </c>
      <c r="B182" s="12">
        <v>2020</v>
      </c>
    </row>
    <row r="183" spans="1:2" x14ac:dyDescent="0.3">
      <c r="A183" t="s">
        <v>131</v>
      </c>
      <c r="B183" s="12" t="str">
        <f>B180&amp;" - "&amp;B182&amp;" - "&amp;B179</f>
        <v>Bicycle, electric (&lt;25 km/h) - 2020 - CH</v>
      </c>
    </row>
    <row r="184" spans="1:2" x14ac:dyDescent="0.3">
      <c r="A184" t="s">
        <v>74</v>
      </c>
      <c r="B184" t="str">
        <f>"transport, "&amp;B180</f>
        <v>transport, Bicycle, electric (&lt;25 km/h)</v>
      </c>
    </row>
    <row r="185" spans="1:2" x14ac:dyDescent="0.3">
      <c r="A185" t="s">
        <v>75</v>
      </c>
      <c r="B185" t="s">
        <v>76</v>
      </c>
    </row>
    <row r="186" spans="1:2" x14ac:dyDescent="0.3">
      <c r="A186" t="s">
        <v>77</v>
      </c>
      <c r="B186" t="s">
        <v>172</v>
      </c>
    </row>
    <row r="187" spans="1:2" x14ac:dyDescent="0.3">
      <c r="A187" t="s">
        <v>79</v>
      </c>
      <c r="B187" t="s">
        <v>90</v>
      </c>
    </row>
    <row r="188" spans="1:2" x14ac:dyDescent="0.3">
      <c r="A188" t="s">
        <v>132</v>
      </c>
      <c r="B188">
        <f>INDEX('vehicles specifications'!$B$3:$CK$86,MATCH(B183,'vehicles specifications'!$A$3:$A$86,0),MATCH("Lifetime [km]",'vehicles specifications'!$B$2:$CK$2,0))</f>
        <v>20000</v>
      </c>
    </row>
    <row r="189" spans="1:2" x14ac:dyDescent="0.3">
      <c r="A189" t="s">
        <v>133</v>
      </c>
      <c r="B189">
        <f>INDEX('vehicles specifications'!$B$3:$CK$86,MATCH(B183,'vehicles specifications'!$A$3:$A$86,0),MATCH("Passengers [unit]",'vehicles specifications'!$B$2:$CK$2,0))</f>
        <v>1</v>
      </c>
    </row>
    <row r="190" spans="1:2" x14ac:dyDescent="0.3">
      <c r="A190" t="s">
        <v>134</v>
      </c>
      <c r="B190">
        <f>INDEX('vehicles specifications'!$B$3:$CK$86,MATCH(B183,'vehicles specifications'!$A$3:$A$86,0),MATCH("Servicing [unit]",'vehicles specifications'!$B$2:$CK$2,0))</f>
        <v>5</v>
      </c>
    </row>
    <row r="191" spans="1:2" x14ac:dyDescent="0.3">
      <c r="A191" t="s">
        <v>135</v>
      </c>
      <c r="B191">
        <f>INDEX('vehicles specifications'!$B$3:$CK$86,MATCH(B183,'vehicles specifications'!$A$3:$A$86,0),MATCH("Energy battery replacement [unit]",'vehicles specifications'!$B$2:$CK$2,0))</f>
        <v>1</v>
      </c>
    </row>
    <row r="192" spans="1:2" x14ac:dyDescent="0.3">
      <c r="A192" t="s">
        <v>136</v>
      </c>
      <c r="B192">
        <f>INDEX('vehicles specifications'!$B$3:$CK$86,MATCH(B183,'vehicles specifications'!$A$3:$A$86,0),MATCH("Annual kilometers [km]",'vehicles specifications'!$B$2:$CK$2,0))</f>
        <v>2060</v>
      </c>
    </row>
    <row r="193" spans="1:8" x14ac:dyDescent="0.3">
      <c r="A193" t="s">
        <v>137</v>
      </c>
      <c r="B193">
        <f>INDEX('vehicles specifications'!$B$3:$CK$86,MATCH(B183,'vehicles specifications'!$A$3:$A$86,0),MATCH("Curb mass [kg]",'vehicles specifications'!$B$2:$CK$2,0))</f>
        <v>23.25</v>
      </c>
    </row>
    <row r="194" spans="1:8" x14ac:dyDescent="0.3">
      <c r="A194" t="s">
        <v>138</v>
      </c>
      <c r="B194">
        <f>INDEX('vehicles specifications'!$B$3:$CK$86,MATCH(B183,'vehicles specifications'!$A$3:$A$86,0),MATCH("Power [kW]",'vehicles specifications'!$B$2:$CK$2,0))</f>
        <v>0.3</v>
      </c>
    </row>
    <row r="195" spans="1:8" x14ac:dyDescent="0.3">
      <c r="A195" t="s">
        <v>139</v>
      </c>
      <c r="B195">
        <f>INDEX('vehicles specifications'!$B$3:$CK$86,MATCH(B183,'vehicles specifications'!$A$3:$A$86,0),MATCH("Energy battery mass [kg]",'vehicles specifications'!$B$2:$CK$2,0))</f>
        <v>3.25</v>
      </c>
    </row>
    <row r="196" spans="1:8" x14ac:dyDescent="0.3">
      <c r="A196" t="s">
        <v>140</v>
      </c>
      <c r="B196">
        <f>INDEX('vehicles specifications'!$B$3:$CK$86,MATCH(B183,'vehicles specifications'!$A$3:$A$86,0),MATCH("Electric energy stored [kWh]",'vehicles specifications'!$B$2:$CK$2,0))</f>
        <v>0.5</v>
      </c>
    </row>
    <row r="197" spans="1:8" s="21" customFormat="1" x14ac:dyDescent="0.3">
      <c r="A197" s="21" t="s">
        <v>654</v>
      </c>
      <c r="B197" s="21">
        <f>INDEX('vehicles specifications'!$B$3:$CK$86,MATCH(B183,'vehicles specifications'!$A$3:$A$86,0),MATCH("Electric energy available [kWh]",'vehicles specifications'!$B$2:$CK$2,0))</f>
        <v>0.4</v>
      </c>
    </row>
    <row r="198" spans="1:8" x14ac:dyDescent="0.3">
      <c r="A198" t="s">
        <v>143</v>
      </c>
      <c r="B198">
        <f>INDEX('vehicles specifications'!$B$3:$CK$86,MATCH(B183,'vehicles specifications'!$A$3:$A$86,0),MATCH("Oxydation energy stored [kWh]",'vehicles specifications'!$B$2:$CK$2,0))</f>
        <v>0</v>
      </c>
    </row>
    <row r="199" spans="1:8" x14ac:dyDescent="0.3">
      <c r="A199" t="s">
        <v>145</v>
      </c>
      <c r="B199">
        <f>INDEX('vehicles specifications'!$B$3:$CK$86,MATCH(B183,'vehicles specifications'!$A$3:$A$86,0),MATCH("Fuel mass [kg]",'vehicles specifications'!$B$2:$CK$2,0))</f>
        <v>0</v>
      </c>
    </row>
    <row r="200" spans="1:8" x14ac:dyDescent="0.3">
      <c r="A200" t="s">
        <v>141</v>
      </c>
      <c r="B200" s="2">
        <f>INDEX('vehicles specifications'!$B$3:$CK$86,MATCH(B183,'vehicles specifications'!$A$3:$A$86,0),MATCH("Range [km]",'vehicles specifications'!$B$2:$CK$2,0))</f>
        <v>58.368978251949123</v>
      </c>
    </row>
    <row r="201" spans="1:8" x14ac:dyDescent="0.3">
      <c r="A201" t="s">
        <v>142</v>
      </c>
      <c r="B201" t="str">
        <f>INDEX('vehicles specifications'!$B$3:$CK$86,MATCH(B183,'vehicles specifications'!$A$3:$A$86,0),MATCH("Emission standard",'vehicles specifications'!$B$2:$CK$2,0))</f>
        <v>None</v>
      </c>
    </row>
    <row r="202" spans="1:8" x14ac:dyDescent="0.3">
      <c r="A202" t="s">
        <v>144</v>
      </c>
      <c r="B202" s="6">
        <f>INDEX('vehicles specifications'!$B$3:$CK$86,MATCH(B183,'vehicles specifications'!$A$3:$A$86,0),MATCH("Lightweighting rate [%]",'vehicles specifications'!$B$2:$CK$2,0))</f>
        <v>0</v>
      </c>
    </row>
    <row r="203" spans="1:8" x14ac:dyDescent="0.3">
      <c r="A203" t="s">
        <v>84</v>
      </c>
      <c r="B203" s="21" t="str">
        <f>"Power: "&amp;B194&amp;" kW. Lifetime: "&amp;B188&amp;" km. Annual kilometers: "&amp;B192&amp;" km. Number of passengers: "&amp;B189&amp;". Curb mass: "&amp;ROUND(B193,1)&amp;" kg. Lightweighting of glider: "&amp;ROUND(B202*100,0)&amp;"%. Emission standard: "&amp;B201&amp;". Service visits throughout lifetime: "&amp;ROUND(B190,1)&amp;". Range: "&amp;ROUND(B200,0)&amp;" km. Battery capacity: "&amp;ROUND(B196,1)&amp;" kWh. Available battery capacity: "&amp;B197&amp;" kWh. Battery mass: "&amp;ROUND(B195,1)&amp; " kg. Battery replacement throughout lifetime: "&amp;ROUND(B191,1)&amp;". Fuel tank capacity: "&amp;ROUND(B198,1)&amp;" kWh. Fuel mass: "&amp;ROUND(B199,1)&amp;" kg. Documentation: "&amp;Readmefirst!$B$2&amp;", "&amp;Readmefirst!$B$3&amp;". "&amp;B187</f>
        <v>Power: 0.3 kW. Lifetime: 20000 km. Annual kilometers: 2060 km. Number of passengers: 1. Curb mass: 23.3 kg. Lightweighting of glider: 0%. Emission standard: None. Service visits throughout lifetime: 5. Range: 58 km. Battery capacity: 0.5 kWh. Available battery capacity: 0.4 kWh. Battery mass: 3.3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4" spans="1:8" ht="15.6" x14ac:dyDescent="0.3">
      <c r="A204" s="11" t="s">
        <v>80</v>
      </c>
    </row>
    <row r="205" spans="1:8" x14ac:dyDescent="0.3">
      <c r="A205" t="s">
        <v>81</v>
      </c>
      <c r="B205" t="s">
        <v>82</v>
      </c>
      <c r="C205" t="s">
        <v>73</v>
      </c>
      <c r="D205" t="s">
        <v>77</v>
      </c>
      <c r="E205" t="s">
        <v>83</v>
      </c>
      <c r="F205" t="s">
        <v>75</v>
      </c>
      <c r="G205" t="s">
        <v>84</v>
      </c>
      <c r="H205" t="s">
        <v>74</v>
      </c>
    </row>
    <row r="206" spans="1:8" x14ac:dyDescent="0.3">
      <c r="A206" s="12" t="str">
        <f>B178</f>
        <v>transport, Bicycle, electric (&lt;25 km/h), 2020</v>
      </c>
      <c r="B206" s="12">
        <v>1</v>
      </c>
      <c r="C206" s="12" t="str">
        <f>B179</f>
        <v>CH</v>
      </c>
      <c r="D206" s="12" t="s">
        <v>172</v>
      </c>
      <c r="E206" s="12"/>
      <c r="F206" s="12" t="s">
        <v>85</v>
      </c>
      <c r="G206" s="12" t="s">
        <v>86</v>
      </c>
      <c r="H206" s="12" t="str">
        <f>B184</f>
        <v>transport, Bicycle, electric (&lt;25 km/h)</v>
      </c>
    </row>
    <row r="207" spans="1:8" x14ac:dyDescent="0.3">
      <c r="A207" s="12" t="str">
        <f>RIGHT(A206,LEN(A206)-11)</f>
        <v>Bicycle, electric (&lt;25 km/h), 2020</v>
      </c>
      <c r="B207" s="12">
        <f>1/B188</f>
        <v>5.0000000000000002E-5</v>
      </c>
      <c r="C207" s="12" t="str">
        <f>B179</f>
        <v>CH</v>
      </c>
      <c r="D207" s="12" t="s">
        <v>77</v>
      </c>
      <c r="E207" s="12"/>
      <c r="F207" s="12" t="s">
        <v>91</v>
      </c>
      <c r="G207" s="12"/>
      <c r="H207" s="12" t="str">
        <f>RIGHT(H206,LEN(H206)-11)</f>
        <v>Bicycle, electric (&lt;25 km/h)</v>
      </c>
    </row>
    <row r="208" spans="1:8" s="21" customFormat="1" x14ac:dyDescent="0.3">
      <c r="A208" s="12" t="str">
        <f>INDEX('ei names mapping'!$B$4:$R$33,MATCH(B180,'ei names mapping'!$A$4:$A$33,0),MATCH(G208,'ei names mapping'!$B$3:$R$3,0))</f>
        <v>road construction</v>
      </c>
      <c r="B208" s="16">
        <f>INDEX('vehicles specifications'!$B$3:$CK$86,MATCH(B183,'vehicles specifications'!$A$3:$A$86,0),MATCH(G208,'vehicles specifications'!$B$2:$CK$2,0))*INDEX('ei names mapping'!$B$137:$BK$220,MATCH(B183,'ei names mapping'!$A$137:$A$220,0),MATCH(G208,'ei names mapping'!$B$136:$BK$136,0))</f>
        <v>5.061225E-5</v>
      </c>
      <c r="C208" s="12" t="str">
        <f>INDEX('ei names mapping'!$B$38:$R$67,MATCH(B180,'ei names mapping'!$A$4:$A$33,0),MATCH(G208,'ei names mapping'!$B$3:$R$3,0))</f>
        <v>CH</v>
      </c>
      <c r="D208" s="12" t="str">
        <f>INDEX('ei names mapping'!$B$104:$BK$133,MATCH(B180,'ei names mapping'!$A$4:$A$33,0),MATCH(G208,'ei names mapping'!$B$3:$BK$3,0))</f>
        <v>meter-year</v>
      </c>
      <c r="E208" s="12"/>
      <c r="F208" s="12" t="s">
        <v>91</v>
      </c>
      <c r="G208" s="21" t="s">
        <v>108</v>
      </c>
      <c r="H208" s="12" t="str">
        <f>INDEX('ei names mapping'!$B$71:$BK$100,MATCH(B180,'ei names mapping'!$A$4:$A$33,0),MATCH(G208,'ei names mapping'!$B$3:$BK$3,0))</f>
        <v>road</v>
      </c>
    </row>
    <row r="209" spans="1:8" x14ac:dyDescent="0.3">
      <c r="A209" s="12" t="str">
        <f>INDEX('ei names mapping'!$B$4:$R$33,MATCH($B$3,'ei names mapping'!$A$4:$A$33,0),MATCH(G209,'ei names mapping'!$B$3:$R$3,0))</f>
        <v>market for electricity, low voltage</v>
      </c>
      <c r="B209" s="14">
        <f>INDEX('vehicles specifications'!$B$3:$CK$86,MATCH(B183,'vehicles specifications'!$A$3:$A$86,0),MATCH(G209,'vehicles specifications'!$B$2:$CK$2,0))*INDEX('ei names mapping'!$B$137:$BK$220,MATCH(B183,'ei names mapping'!$A$137:$A$220,0),MATCH(G209,'ei names mapping'!$B$136:$BK$136,0))</f>
        <v>7.5382508513468297E-3</v>
      </c>
      <c r="C209" s="12" t="str">
        <f>INDEX('ei names mapping'!$B$38:$R$67,MATCH($B$3,'ei names mapping'!$A$4:$A$33,0),MATCH(G209,'ei names mapping'!$B$3:$R$3,0))</f>
        <v>CH</v>
      </c>
      <c r="D209" s="12" t="str">
        <f>INDEX('ei names mapping'!$B$104:$R$133,MATCH($B$3,'ei names mapping'!$A$4:$A$33,0),MATCH(G209,'ei names mapping'!$B$3:$R$3,0))</f>
        <v>kilowatt hour</v>
      </c>
      <c r="E209" s="12"/>
      <c r="F209" s="12" t="s">
        <v>91</v>
      </c>
      <c r="G209" t="s">
        <v>28</v>
      </c>
      <c r="H209" s="12" t="str">
        <f>INDEX('ei names mapping'!$B$71:$R$100,MATCH($B$3,'ei names mapping'!$A$4:$A$33,0),MATCH(G209,'ei names mapping'!$B$3:$R$3,0))</f>
        <v>electricity, low voltage</v>
      </c>
    </row>
    <row r="210" spans="1:8" x14ac:dyDescent="0.3">
      <c r="A210" s="12" t="str">
        <f>INDEX('ei names mapping'!$B$4:$R$33,MATCH($B$3,'ei names mapping'!$A$4:$A$33,0),MATCH(G210,'ei names mapping'!$B$3:$R$3,0))</f>
        <v>maintenance, electric bicycle, without battery</v>
      </c>
      <c r="B210" s="14">
        <f>INDEX('vehicles specifications'!$B$3:$CK$86,MATCH(B183,'vehicles specifications'!$A$3:$A$86,0),MATCH(G210,'vehicles specifications'!$B$2:$CK$2,0))*INDEX('ei names mapping'!$B$137:$BK$220,MATCH(B183,'ei names mapping'!$A$137:$A$220,0),MATCH(G210,'ei names mapping'!$B$136:$BK$136,0))</f>
        <v>2.5000000000000001E-4</v>
      </c>
      <c r="C210" s="12" t="str">
        <f>INDEX('ei names mapping'!$B$38:$R$67,MATCH($B$3,'ei names mapping'!$A$4:$A$33,0),MATCH(G210,'ei names mapping'!$B$3:$R$3,0))</f>
        <v>CH</v>
      </c>
      <c r="D210" s="12" t="str">
        <f>INDEX('ei names mapping'!$B$104:$R$133,MATCH($B$3,'ei names mapping'!$A$4:$A$33,0),MATCH(G210,'ei names mapping'!$B$3:$R$3,0))</f>
        <v>unit</v>
      </c>
      <c r="E210" s="12"/>
      <c r="F210" s="12" t="s">
        <v>91</v>
      </c>
      <c r="G210" t="s">
        <v>123</v>
      </c>
      <c r="H210" s="12" t="str">
        <f>INDEX('ei names mapping'!$B$71:$R$100,MATCH($B$3,'ei names mapping'!$A$4:$A$33,0),MATCH(G210,'ei names mapping'!$B$3:$R$3,0))</f>
        <v>maintenance, electric bicycle, without battery</v>
      </c>
    </row>
    <row r="211" spans="1:8" x14ac:dyDescent="0.3">
      <c r="A211" s="12" t="str">
        <f>INDEX('ei names mapping'!$B$4:$BK$33,MATCH($B$180,'ei names mapping'!$A$4:$A$33,0),MATCH(G211,'ei names mapping'!$B$3:$BK$3,0))</f>
        <v>treatment of road wear emissions, passenger car</v>
      </c>
      <c r="B211" s="15">
        <f>INDEX('vehicles specifications'!$B$3:$CK$86,MATCH(B183,'vehicles specifications'!$A$3:$A$86,0),MATCH(G211,'vehicles specifications'!$B$2:$CK$2,0))*INDEX('ei names mapping'!$B$137:$BK$220,MATCH(B183,'ei names mapping'!$A$137:$A$220,0),MATCH(G211,'ei names mapping'!$B$136:$BK$136,0))</f>
        <v>-3.0000000000000001E-6</v>
      </c>
      <c r="C211" s="12" t="str">
        <f>INDEX('ei names mapping'!$B$38:$BK$67,MATCH($B$180,'ei names mapping'!$A$4:$A$33,0),MATCH(G211,'ei names mapping'!$B$3:$BK$3,0))</f>
        <v>RER</v>
      </c>
      <c r="D211" s="12" t="str">
        <f>INDEX('ei names mapping'!$B$104:$BK$133,MATCH($B$180,'ei names mapping'!$A$4:$A$33,0),MATCH(G211,'ei names mapping'!$B$3:$BK$3,0))</f>
        <v>kilogram</v>
      </c>
      <c r="E211" s="12"/>
      <c r="F211" s="12" t="s">
        <v>91</v>
      </c>
      <c r="G211" t="s">
        <v>29</v>
      </c>
      <c r="H211" s="12" t="str">
        <f>INDEX('ei names mapping'!$B$71:$BK$100,MATCH(B180,'ei names mapping'!$A$4:$A$33,0),MATCH(G211,'ei names mapping'!$B$3:$BK$3,0))</f>
        <v>road wear emissions, passenger car</v>
      </c>
    </row>
    <row r="212" spans="1:8" x14ac:dyDescent="0.3">
      <c r="A212" s="12" t="str">
        <f>INDEX('ei names mapping'!$B$4:$BK$33,MATCH($B$180,'ei names mapping'!$A$4:$A$33,0),MATCH(G212,'ei names mapping'!$B$3:$BK$3,0))</f>
        <v>treatment of tyre wear emissions, passenger car</v>
      </c>
      <c r="B212" s="15">
        <f>INDEX('vehicles specifications'!$B$3:$CK$86,MATCH(B183,'vehicles specifications'!$A$3:$A$86,0),MATCH(G212,'vehicles specifications'!$B$2:$CK$2,0))*INDEX('ei names mapping'!$B$137:$BK$220,MATCH(B183,'ei names mapping'!$A$137:$A$220,0),MATCH(G212,'ei names mapping'!$B$136:$BK$136,0))</f>
        <v>-2.9189999999999999E-6</v>
      </c>
      <c r="C212" s="12" t="str">
        <f>INDEX('ei names mapping'!$B$38:$BK$67,MATCH($B$180,'ei names mapping'!$A$4:$A$33,0),MATCH(G212,'ei names mapping'!$B$3:$BK$3,0))</f>
        <v>RER</v>
      </c>
      <c r="D212" s="12" t="str">
        <f>INDEX('ei names mapping'!$B$104:$BK$133,MATCH($B$180,'ei names mapping'!$A$4:$A$33,0),MATCH(G212,'ei names mapping'!$B$3:$BK$3,0))</f>
        <v>kilogram</v>
      </c>
      <c r="E212" s="12"/>
      <c r="F212" s="12" t="s">
        <v>91</v>
      </c>
      <c r="G212" t="s">
        <v>30</v>
      </c>
      <c r="H212" s="12" t="str">
        <f>INDEX('ei names mapping'!$B$71:$BK$100,MATCH($B$180,'ei names mapping'!$A$4:$A$33,0),MATCH(G212,'ei names mapping'!$B$3:$BK$3,0))</f>
        <v>tyre wear emissions, passenger car</v>
      </c>
    </row>
    <row r="213" spans="1:8" x14ac:dyDescent="0.3">
      <c r="A213" s="12" t="str">
        <f>INDEX('ei names mapping'!$B$4:$BK$33,MATCH($B$180,'ei names mapping'!$A$4:$A$33,0),MATCH(G213,'ei names mapping'!$B$3:$BK$3,0))</f>
        <v>treatment of brake wear emissions, passenger car</v>
      </c>
      <c r="B213" s="15">
        <f>INDEX('vehicles specifications'!$B$3:$CK$86,MATCH(B183,'vehicles specifications'!$A$3:$A$86,0),MATCH(G213,'vehicles specifications'!$B$2:$CK$2,0))*INDEX('ei names mapping'!$B$137:$BK$220,MATCH(B183,'ei names mapping'!$A$137:$A$220,0),MATCH(G213,'ei names mapping'!$B$136:$BK$136,0))</f>
        <v>-1.8370000000000002E-6</v>
      </c>
      <c r="C213" s="12" t="str">
        <f>INDEX('ei names mapping'!$B$38:$BK$67,MATCH($B$180,'ei names mapping'!$A$4:$A$33,0),MATCH(G213,'ei names mapping'!$B$3:$BK$3,0))</f>
        <v>RER</v>
      </c>
      <c r="D213" s="12" t="str">
        <f>INDEX('ei names mapping'!$B$104:$BK$133,MATCH($B$180,'ei names mapping'!$A$4:$A$33,0),MATCH(G213,'ei names mapping'!$B$3:$BK$3,0))</f>
        <v>kilogram</v>
      </c>
      <c r="E213" s="12"/>
      <c r="F213" s="12" t="s">
        <v>91</v>
      </c>
      <c r="G213" t="s">
        <v>31</v>
      </c>
      <c r="H213" s="12" t="str">
        <f>INDEX('ei names mapping'!$B$71:$BK$100,MATCH($B$180,'ei names mapping'!$A$4:$A$33,0),MATCH(G213,'ei names mapping'!$B$3:$BK$3,0))</f>
        <v>brake wear emissions, passenger car</v>
      </c>
    </row>
    <row r="215" spans="1:8" ht="15.6" x14ac:dyDescent="0.3">
      <c r="A215" s="11" t="s">
        <v>72</v>
      </c>
      <c r="B215" s="9" t="str">
        <f>"transport, "&amp;B217&amp;", "&amp;B219</f>
        <v>transport, Bicycle, electric (&lt;25 km/h), 2030</v>
      </c>
    </row>
    <row r="216" spans="1:8" x14ac:dyDescent="0.3">
      <c r="A216" t="s">
        <v>73</v>
      </c>
      <c r="B216" t="s">
        <v>37</v>
      </c>
    </row>
    <row r="217" spans="1:8" x14ac:dyDescent="0.3">
      <c r="A217" t="s">
        <v>87</v>
      </c>
      <c r="B217" s="21" t="s">
        <v>517</v>
      </c>
    </row>
    <row r="218" spans="1:8" x14ac:dyDescent="0.3">
      <c r="A218" t="s">
        <v>88</v>
      </c>
      <c r="B218" s="12"/>
    </row>
    <row r="219" spans="1:8" x14ac:dyDescent="0.3">
      <c r="A219" t="s">
        <v>89</v>
      </c>
      <c r="B219" s="12">
        <v>2030</v>
      </c>
    </row>
    <row r="220" spans="1:8" x14ac:dyDescent="0.3">
      <c r="A220" t="s">
        <v>131</v>
      </c>
      <c r="B220" s="12" t="str">
        <f>B217&amp;" - "&amp;B219&amp;" - "&amp;B216</f>
        <v>Bicycle, electric (&lt;25 km/h) - 2030 - CH</v>
      </c>
    </row>
    <row r="221" spans="1:8" x14ac:dyDescent="0.3">
      <c r="A221" t="s">
        <v>74</v>
      </c>
      <c r="B221" t="str">
        <f>"transport, "&amp;B217</f>
        <v>transport, Bicycle, electric (&lt;25 km/h)</v>
      </c>
    </row>
    <row r="222" spans="1:8" x14ac:dyDescent="0.3">
      <c r="A222" t="s">
        <v>75</v>
      </c>
      <c r="B222" t="s">
        <v>76</v>
      </c>
    </row>
    <row r="223" spans="1:8" x14ac:dyDescent="0.3">
      <c r="A223" t="s">
        <v>77</v>
      </c>
      <c r="B223" t="s">
        <v>172</v>
      </c>
    </row>
    <row r="224" spans="1:8" x14ac:dyDescent="0.3">
      <c r="A224" t="s">
        <v>79</v>
      </c>
      <c r="B224" t="s">
        <v>90</v>
      </c>
    </row>
    <row r="225" spans="1:2" x14ac:dyDescent="0.3">
      <c r="A225" t="s">
        <v>132</v>
      </c>
      <c r="B225">
        <f>INDEX('vehicles specifications'!$B$3:$CK$86,MATCH(B220,'vehicles specifications'!$A$3:$A$86,0),MATCH("Lifetime [km]",'vehicles specifications'!$B$2:$CK$2,0))</f>
        <v>20000</v>
      </c>
    </row>
    <row r="226" spans="1:2" x14ac:dyDescent="0.3">
      <c r="A226" t="s">
        <v>133</v>
      </c>
      <c r="B226">
        <f>INDEX('vehicles specifications'!$B$3:$CK$86,MATCH(B220,'vehicles specifications'!$A$3:$A$86,0),MATCH("Passengers [unit]",'vehicles specifications'!$B$2:$CK$2,0))</f>
        <v>1</v>
      </c>
    </row>
    <row r="227" spans="1:2" x14ac:dyDescent="0.3">
      <c r="A227" t="s">
        <v>134</v>
      </c>
      <c r="B227">
        <f>INDEX('vehicles specifications'!$B$3:$CK$86,MATCH(B220,'vehicles specifications'!$A$3:$A$86,0),MATCH("Servicing [unit]",'vehicles specifications'!$B$2:$CK$2,0))</f>
        <v>5</v>
      </c>
    </row>
    <row r="228" spans="1:2" x14ac:dyDescent="0.3">
      <c r="A228" t="s">
        <v>135</v>
      </c>
      <c r="B228">
        <f>INDEX('vehicles specifications'!$B$3:$CK$86,MATCH(B220,'vehicles specifications'!$A$3:$A$86,0),MATCH("Energy battery replacement [unit]",'vehicles specifications'!$B$2:$CK$2,0))</f>
        <v>0.5</v>
      </c>
    </row>
    <row r="229" spans="1:2" x14ac:dyDescent="0.3">
      <c r="A229" t="s">
        <v>136</v>
      </c>
      <c r="B229">
        <f>INDEX('vehicles specifications'!$B$3:$CK$86,MATCH(B220,'vehicles specifications'!$A$3:$A$86,0),MATCH("Annual kilometers [km]",'vehicles specifications'!$B$2:$CK$2,0))</f>
        <v>2060</v>
      </c>
    </row>
    <row r="230" spans="1:2" x14ac:dyDescent="0.3">
      <c r="A230" t="s">
        <v>137</v>
      </c>
      <c r="B230">
        <f>INDEX('vehicles specifications'!$B$3:$CK$86,MATCH(B220,'vehicles specifications'!$A$3:$A$86,0),MATCH("Curb mass [kg]",'vehicles specifications'!$B$2:$CK$2,0))</f>
        <v>22.886666666666663</v>
      </c>
    </row>
    <row r="231" spans="1:2" x14ac:dyDescent="0.3">
      <c r="A231" t="s">
        <v>138</v>
      </c>
      <c r="B231">
        <f>INDEX('vehicles specifications'!$B$3:$CK$86,MATCH(B220,'vehicles specifications'!$A$3:$A$86,0),MATCH("Power [kW]",'vehicles specifications'!$B$2:$CK$2,0))</f>
        <v>0.3</v>
      </c>
    </row>
    <row r="232" spans="1:2" x14ac:dyDescent="0.3">
      <c r="A232" t="s">
        <v>139</v>
      </c>
      <c r="B232">
        <f>INDEX('vehicles specifications'!$B$3:$CK$86,MATCH(B220,'vehicles specifications'!$A$3:$A$86,0),MATCH("Energy battery mass [kg]",'vehicles specifications'!$B$2:$CK$2,0))</f>
        <v>3.4666666666666668</v>
      </c>
    </row>
    <row r="233" spans="1:2" x14ac:dyDescent="0.3">
      <c r="A233" t="s">
        <v>140</v>
      </c>
      <c r="B233">
        <f>INDEX('vehicles specifications'!$B$3:$CK$86,MATCH(B220,'vehicles specifications'!$A$3:$A$86,0),MATCH("Electric energy stored [kWh]",'vehicles specifications'!$B$2:$CK$2,0))</f>
        <v>0.8</v>
      </c>
    </row>
    <row r="234" spans="1:2" s="21" customFormat="1" x14ac:dyDescent="0.3">
      <c r="A234" s="21" t="s">
        <v>654</v>
      </c>
      <c r="B234" s="21">
        <f>INDEX('vehicles specifications'!$B$3:$CK$86,MATCH(B220,'vehicles specifications'!$A$3:$A$86,0),MATCH("Electric energy available [kWh]",'vehicles specifications'!$B$2:$CK$2,0))</f>
        <v>0.64000000000000012</v>
      </c>
    </row>
    <row r="235" spans="1:2" x14ac:dyDescent="0.3">
      <c r="A235" t="s">
        <v>143</v>
      </c>
      <c r="B235">
        <f>INDEX('vehicles specifications'!$B$3:$CK$86,MATCH(B220,'vehicles specifications'!$A$3:$A$86,0),MATCH("Oxydation energy stored [kWh]",'vehicles specifications'!$B$2:$CK$2,0))</f>
        <v>0</v>
      </c>
    </row>
    <row r="236" spans="1:2" x14ac:dyDescent="0.3">
      <c r="A236" t="s">
        <v>145</v>
      </c>
      <c r="B236">
        <f>INDEX('vehicles specifications'!$B$3:$CK$86,MATCH(B220,'vehicles specifications'!$A$3:$A$86,0),MATCH("Fuel mass [kg]",'vehicles specifications'!$B$2:$CK$2,0))</f>
        <v>0</v>
      </c>
    </row>
    <row r="237" spans="1:2" x14ac:dyDescent="0.3">
      <c r="A237" t="s">
        <v>141</v>
      </c>
      <c r="B237" s="2">
        <f>INDEX('vehicles specifications'!$B$3:$CK$86,MATCH(B220,'vehicles specifications'!$A$3:$A$86,0),MATCH("Range [km]",'vehicles specifications'!$B$2:$CK$2,0))</f>
        <v>93.390365203118606</v>
      </c>
    </row>
    <row r="238" spans="1:2" x14ac:dyDescent="0.3">
      <c r="A238" t="s">
        <v>142</v>
      </c>
      <c r="B238" t="str">
        <f>INDEX('vehicles specifications'!$B$3:$CK$86,MATCH(B220,'vehicles specifications'!$A$3:$A$86,0),MATCH("Emission standard",'vehicles specifications'!$B$2:$CK$2,0))</f>
        <v>None</v>
      </c>
    </row>
    <row r="239" spans="1:2" x14ac:dyDescent="0.3">
      <c r="A239" t="s">
        <v>144</v>
      </c>
      <c r="B239" s="6">
        <f>INDEX('vehicles specifications'!$B$3:$CK$86,MATCH(B220,'vehicles specifications'!$A$3:$A$86,0),MATCH("Lightweighting rate [%]",'vehicles specifications'!$B$2:$CK$2,0))</f>
        <v>0.03</v>
      </c>
    </row>
    <row r="240" spans="1:2" x14ac:dyDescent="0.3">
      <c r="A240" t="s">
        <v>84</v>
      </c>
      <c r="B240" s="21" t="str">
        <f>"Power: "&amp;B231&amp;" kW. Lifetime: "&amp;B225&amp;" km. Annual kilometers: "&amp;B229&amp;" km. Number of passengers: "&amp;B226&amp;". Curb mass: "&amp;ROUND(B230,1)&amp;" kg. Lightweighting of glider: "&amp;ROUND(B239*100,0)&amp;"%. Emission standard: "&amp;B238&amp;". Service visits throughout lifetime: "&amp;ROUND(B227,1)&amp;". Range: "&amp;ROUND(B237,0)&amp;" km. Battery capacity: "&amp;ROUND(B233,1)&amp;" kWh. Available battery capacity: "&amp;B234&amp;" kWh. Battery mass: "&amp;ROUND(B232,1)&amp; " kg. Battery replacement throughout lifetime: "&amp;ROUND(B228,1)&amp;". Fuel tank capacity: "&amp;ROUND(B235,1)&amp;" kWh. Fuel mass: "&amp;ROUND(B236,1)&amp;" kg. Documentation: "&amp;Readmefirst!$B$2&amp;", "&amp;Readmefirst!$B$3&amp;". "&amp;B224</f>
        <v>Power: 0.3 kW. Lifetime: 20000 km. Annual kilometers: 2060 km. Number of passengers: 1. Curb mass: 22.9 kg. Lightweighting of glider: 3%. Emission standard: None. Service visits throughout lifetime: 5. Range: 93 km. Battery capacity: 0.8 kWh. Available battery capacity: 0.64 kWh. Battery mass: 3.5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1" spans="1:8" ht="15.6" x14ac:dyDescent="0.3">
      <c r="A241" s="11" t="s">
        <v>80</v>
      </c>
    </row>
    <row r="242" spans="1:8" x14ac:dyDescent="0.3">
      <c r="A242" t="s">
        <v>81</v>
      </c>
      <c r="B242" t="s">
        <v>82</v>
      </c>
      <c r="C242" t="s">
        <v>73</v>
      </c>
      <c r="D242" t="s">
        <v>77</v>
      </c>
      <c r="E242" t="s">
        <v>83</v>
      </c>
      <c r="F242" t="s">
        <v>75</v>
      </c>
      <c r="G242" t="s">
        <v>84</v>
      </c>
      <c r="H242" t="s">
        <v>74</v>
      </c>
    </row>
    <row r="243" spans="1:8" x14ac:dyDescent="0.3">
      <c r="A243" s="12" t="str">
        <f>B215</f>
        <v>transport, Bicycle, electric (&lt;25 km/h), 2030</v>
      </c>
      <c r="B243" s="12">
        <v>1</v>
      </c>
      <c r="C243" s="12" t="str">
        <f>B216</f>
        <v>CH</v>
      </c>
      <c r="D243" s="12" t="s">
        <v>172</v>
      </c>
      <c r="E243" s="12"/>
      <c r="F243" s="12" t="s">
        <v>85</v>
      </c>
      <c r="G243" s="12" t="s">
        <v>86</v>
      </c>
      <c r="H243" s="12" t="str">
        <f>B221</f>
        <v>transport, Bicycle, electric (&lt;25 km/h)</v>
      </c>
    </row>
    <row r="244" spans="1:8" x14ac:dyDescent="0.3">
      <c r="A244" s="12" t="str">
        <f>RIGHT(A243,LEN(A243)-11)</f>
        <v>Bicycle, electric (&lt;25 km/h), 2030</v>
      </c>
      <c r="B244" s="12">
        <f>1/B225</f>
        <v>5.0000000000000002E-5</v>
      </c>
      <c r="C244" s="12" t="str">
        <f>B216</f>
        <v>CH</v>
      </c>
      <c r="D244" s="12" t="s">
        <v>77</v>
      </c>
      <c r="E244" s="12"/>
      <c r="F244" s="12" t="s">
        <v>91</v>
      </c>
      <c r="G244" s="12"/>
      <c r="H244" s="12" t="str">
        <f>RIGHT(H243,LEN(H243)-11)</f>
        <v>Bicycle, electric (&lt;25 km/h)</v>
      </c>
    </row>
    <row r="245" spans="1:8" s="21" customFormat="1" x14ac:dyDescent="0.3">
      <c r="A245" s="12" t="str">
        <f>INDEX('ei names mapping'!$B$4:$R$33,MATCH(B217,'ei names mapping'!$A$4:$A$33,0),MATCH(G245,'ei names mapping'!$B$3:$R$3,0))</f>
        <v>road construction</v>
      </c>
      <c r="B245" s="16">
        <f>INDEX('vehicles specifications'!$B$3:$CK$86,MATCH(B220,'vehicles specifications'!$A$3:$A$86,0),MATCH(G245,'vehicles specifications'!$B$2:$CK$2,0))*INDEX('ei names mapping'!$B$137:$BK$220,MATCH(B220,'ei names mapping'!$A$137:$A$220,0),MATCH(G245,'ei names mapping'!$B$136:$BK$136,0))</f>
        <v>5.0417139999999991E-5</v>
      </c>
      <c r="C245" s="12" t="str">
        <f>INDEX('ei names mapping'!$B$38:$R$67,MATCH(B217,'ei names mapping'!$A$4:$A$33,0),MATCH(G245,'ei names mapping'!$B$3:$R$3,0))</f>
        <v>CH</v>
      </c>
      <c r="D245" s="12" t="str">
        <f>INDEX('ei names mapping'!$B$104:$BK$133,MATCH(B217,'ei names mapping'!$A$4:$A$33,0),MATCH(G245,'ei names mapping'!$B$3:$BK$3,0))</f>
        <v>meter-year</v>
      </c>
      <c r="E245" s="12"/>
      <c r="F245" s="12" t="s">
        <v>91</v>
      </c>
      <c r="G245" s="21" t="s">
        <v>108</v>
      </c>
      <c r="H245" s="12" t="str">
        <f>INDEX('ei names mapping'!$B$71:$BK$100,MATCH(B217,'ei names mapping'!$A$4:$A$33,0),MATCH(G245,'ei names mapping'!$B$3:$BK$3,0))</f>
        <v>road</v>
      </c>
    </row>
    <row r="246" spans="1:8" x14ac:dyDescent="0.3">
      <c r="A246" s="12" t="str">
        <f>INDEX('ei names mapping'!$B$4:$R$33,MATCH($B$3,'ei names mapping'!$A$4:$A$33,0),MATCH(G246,'ei names mapping'!$B$3:$R$3,0))</f>
        <v>market for electricity, low voltage</v>
      </c>
      <c r="B246" s="14">
        <f>INDEX('vehicles specifications'!$B$3:$CK$86,MATCH(B220,'vehicles specifications'!$A$3:$A$86,0),MATCH(G246,'vehicles specifications'!$B$2:$CK$2,0))*INDEX('ei names mapping'!$B$137:$BK$220,MATCH(B220,'ei names mapping'!$A$137:$A$220,0),MATCH(G246,'ei names mapping'!$B$136:$BK$136,0))</f>
        <v>7.5382508513468297E-3</v>
      </c>
      <c r="C246" s="12" t="str">
        <f>INDEX('ei names mapping'!$B$38:$R$67,MATCH($B$3,'ei names mapping'!$A$4:$A$33,0),MATCH(G246,'ei names mapping'!$B$3:$R$3,0))</f>
        <v>CH</v>
      </c>
      <c r="D246" s="12" t="str">
        <f>INDEX('ei names mapping'!$B$104:$R$133,MATCH($B$3,'ei names mapping'!$A$4:$A$33,0),MATCH(G246,'ei names mapping'!$B$3:$R$3,0))</f>
        <v>kilowatt hour</v>
      </c>
      <c r="E246" s="12"/>
      <c r="F246" s="12" t="s">
        <v>91</v>
      </c>
      <c r="G246" t="s">
        <v>28</v>
      </c>
      <c r="H246" s="12" t="str">
        <f>INDEX('ei names mapping'!$B$71:$R$100,MATCH($B$3,'ei names mapping'!$A$4:$A$33,0),MATCH(G246,'ei names mapping'!$B$3:$R$3,0))</f>
        <v>electricity, low voltage</v>
      </c>
    </row>
    <row r="247" spans="1:8" x14ac:dyDescent="0.3">
      <c r="A247" s="12" t="str">
        <f>INDEX('ei names mapping'!$B$4:$R$33,MATCH($B$3,'ei names mapping'!$A$4:$A$33,0),MATCH(G247,'ei names mapping'!$B$3:$R$3,0))</f>
        <v>maintenance, electric bicycle, without battery</v>
      </c>
      <c r="B247" s="14">
        <f>INDEX('vehicles specifications'!$B$3:$CK$86,MATCH(B220,'vehicles specifications'!$A$3:$A$86,0),MATCH(G247,'vehicles specifications'!$B$2:$CK$2,0))*INDEX('ei names mapping'!$B$137:$BK$220,MATCH(B220,'ei names mapping'!$A$137:$A$220,0),MATCH(G247,'ei names mapping'!$B$136:$BK$136,0))</f>
        <v>2.5000000000000001E-4</v>
      </c>
      <c r="C247" s="12" t="str">
        <f>INDEX('ei names mapping'!$B$38:$R$67,MATCH($B$3,'ei names mapping'!$A$4:$A$33,0),MATCH(G247,'ei names mapping'!$B$3:$R$3,0))</f>
        <v>CH</v>
      </c>
      <c r="D247" s="12" t="str">
        <f>INDEX('ei names mapping'!$B$104:$R$133,MATCH($B$3,'ei names mapping'!$A$4:$A$33,0),MATCH(G247,'ei names mapping'!$B$3:$R$3,0))</f>
        <v>unit</v>
      </c>
      <c r="E247" s="12"/>
      <c r="F247" s="12" t="s">
        <v>91</v>
      </c>
      <c r="G247" t="s">
        <v>123</v>
      </c>
      <c r="H247" s="12" t="str">
        <f>INDEX('ei names mapping'!$B$71:$R$100,MATCH($B$3,'ei names mapping'!$A$4:$A$33,0),MATCH(G247,'ei names mapping'!$B$3:$R$3,0))</f>
        <v>maintenance, electric bicycle, without battery</v>
      </c>
    </row>
    <row r="248" spans="1:8" x14ac:dyDescent="0.3">
      <c r="A248" s="12" t="str">
        <f>INDEX('ei names mapping'!$B$4:$BK$33,MATCH($B$180,'ei names mapping'!$A$4:$A$33,0),MATCH(G248,'ei names mapping'!$B$3:$BK$3,0))</f>
        <v>treatment of road wear emissions, passenger car</v>
      </c>
      <c r="B248" s="15">
        <f>INDEX('vehicles specifications'!$B$3:$CK$86,MATCH(B220,'vehicles specifications'!$A$3:$A$86,0),MATCH(G248,'vehicles specifications'!$B$2:$CK$2,0))*INDEX('ei names mapping'!$B$137:$BK$220,MATCH(B220,'ei names mapping'!$A$137:$A$220,0),MATCH(G248,'ei names mapping'!$B$136:$BK$136,0))</f>
        <v>-3.0000000000000001E-6</v>
      </c>
      <c r="C248" s="12" t="str">
        <f>INDEX('ei names mapping'!$B$38:$BK$67,MATCH($B$180,'ei names mapping'!$A$4:$A$33,0),MATCH(G248,'ei names mapping'!$B$3:$BK$3,0))</f>
        <v>RER</v>
      </c>
      <c r="D248" s="12" t="str">
        <f>INDEX('ei names mapping'!$B$104:$BK$133,MATCH($B$180,'ei names mapping'!$A$4:$A$33,0),MATCH(G248,'ei names mapping'!$B$3:$BK$3,0))</f>
        <v>kilogram</v>
      </c>
      <c r="E248" s="12"/>
      <c r="F248" s="12" t="s">
        <v>91</v>
      </c>
      <c r="G248" t="s">
        <v>29</v>
      </c>
      <c r="H248" s="12" t="str">
        <f>INDEX('ei names mapping'!$B$71:$BK$100,MATCH(B217,'ei names mapping'!$A$4:$A$33,0),MATCH(G248,'ei names mapping'!$B$3:$BK$3,0))</f>
        <v>road wear emissions, passenger car</v>
      </c>
    </row>
    <row r="249" spans="1:8" x14ac:dyDescent="0.3">
      <c r="A249" s="12" t="str">
        <f>INDEX('ei names mapping'!$B$4:$BK$33,MATCH($B$180,'ei names mapping'!$A$4:$A$33,0),MATCH(G249,'ei names mapping'!$B$3:$BK$3,0))</f>
        <v>treatment of tyre wear emissions, passenger car</v>
      </c>
      <c r="B249" s="15">
        <f>INDEX('vehicles specifications'!$B$3:$CK$86,MATCH(B220,'vehicles specifications'!$A$3:$A$86,0),MATCH(G249,'vehicles specifications'!$B$2:$CK$2,0))*INDEX('ei names mapping'!$B$137:$BK$220,MATCH(B220,'ei names mapping'!$A$137:$A$220,0),MATCH(G249,'ei names mapping'!$B$136:$BK$136,0))</f>
        <v>-2.9189999999999999E-6</v>
      </c>
      <c r="C249" s="12" t="str">
        <f>INDEX('ei names mapping'!$B$38:$BK$67,MATCH($B$180,'ei names mapping'!$A$4:$A$33,0),MATCH(G249,'ei names mapping'!$B$3:$BK$3,0))</f>
        <v>RER</v>
      </c>
      <c r="D249" s="12" t="str">
        <f>INDEX('ei names mapping'!$B$104:$BK$133,MATCH($B$180,'ei names mapping'!$A$4:$A$33,0),MATCH(G249,'ei names mapping'!$B$3:$BK$3,0))</f>
        <v>kilogram</v>
      </c>
      <c r="E249" s="12"/>
      <c r="F249" s="12" t="s">
        <v>91</v>
      </c>
      <c r="G249" t="s">
        <v>30</v>
      </c>
      <c r="H249" s="12" t="str">
        <f>INDEX('ei names mapping'!$B$71:$BK$100,MATCH($B$180,'ei names mapping'!$A$4:$A$33,0),MATCH(G249,'ei names mapping'!$B$3:$BK$3,0))</f>
        <v>tyre wear emissions, passenger car</v>
      </c>
    </row>
    <row r="250" spans="1:8" x14ac:dyDescent="0.3">
      <c r="A250" s="12" t="str">
        <f>INDEX('ei names mapping'!$B$4:$BK$33,MATCH($B$180,'ei names mapping'!$A$4:$A$33,0),MATCH(G250,'ei names mapping'!$B$3:$BK$3,0))</f>
        <v>treatment of brake wear emissions, passenger car</v>
      </c>
      <c r="B250" s="15">
        <f>INDEX('vehicles specifications'!$B$3:$CK$86,MATCH(B220,'vehicles specifications'!$A$3:$A$86,0),MATCH(G250,'vehicles specifications'!$B$2:$CK$2,0))*INDEX('ei names mapping'!$B$137:$BK$220,MATCH(B220,'ei names mapping'!$A$137:$A$220,0),MATCH(G250,'ei names mapping'!$B$136:$BK$136,0))</f>
        <v>-1.8370000000000002E-6</v>
      </c>
      <c r="C250" s="12" t="str">
        <f>INDEX('ei names mapping'!$B$38:$BK$67,MATCH($B$180,'ei names mapping'!$A$4:$A$33,0),MATCH(G250,'ei names mapping'!$B$3:$BK$3,0))</f>
        <v>RER</v>
      </c>
      <c r="D250" s="12" t="str">
        <f>INDEX('ei names mapping'!$B$104:$BK$133,MATCH($B$180,'ei names mapping'!$A$4:$A$33,0),MATCH(G250,'ei names mapping'!$B$3:$BK$3,0))</f>
        <v>kilogram</v>
      </c>
      <c r="E250" s="12"/>
      <c r="F250" s="12" t="s">
        <v>91</v>
      </c>
      <c r="G250" t="s">
        <v>31</v>
      </c>
      <c r="H250" s="12" t="str">
        <f>INDEX('ei names mapping'!$B$71:$BK$100,MATCH($B$180,'ei names mapping'!$A$4:$A$33,0),MATCH(G250,'ei names mapping'!$B$3:$BK$3,0))</f>
        <v>brake wear emissions, passenger car</v>
      </c>
    </row>
    <row r="252" spans="1:8" ht="15.6" x14ac:dyDescent="0.3">
      <c r="A252" s="11" t="s">
        <v>72</v>
      </c>
      <c r="B252" s="9" t="str">
        <f>"transport, "&amp;B254&amp;", "&amp;B256</f>
        <v>transport, Bicycle, electric (&lt;25 km/h), 2040</v>
      </c>
    </row>
    <row r="253" spans="1:8" x14ac:dyDescent="0.3">
      <c r="A253" t="s">
        <v>73</v>
      </c>
      <c r="B253" t="s">
        <v>37</v>
      </c>
    </row>
    <row r="254" spans="1:8" x14ac:dyDescent="0.3">
      <c r="A254" t="s">
        <v>87</v>
      </c>
      <c r="B254" s="21" t="s">
        <v>517</v>
      </c>
    </row>
    <row r="255" spans="1:8" x14ac:dyDescent="0.3">
      <c r="A255" t="s">
        <v>88</v>
      </c>
      <c r="B255" s="12"/>
    </row>
    <row r="256" spans="1:8" x14ac:dyDescent="0.3">
      <c r="A256" t="s">
        <v>89</v>
      </c>
      <c r="B256" s="12">
        <v>2040</v>
      </c>
    </row>
    <row r="257" spans="1:2" x14ac:dyDescent="0.3">
      <c r="A257" t="s">
        <v>131</v>
      </c>
      <c r="B257" s="12" t="str">
        <f>B254&amp;" - "&amp;B256&amp;" - "&amp;B253</f>
        <v>Bicycle, electric (&lt;25 km/h) - 2040 - CH</v>
      </c>
    </row>
    <row r="258" spans="1:2" x14ac:dyDescent="0.3">
      <c r="A258" t="s">
        <v>74</v>
      </c>
      <c r="B258" t="str">
        <f>"transport, "&amp;B254</f>
        <v>transport, Bicycle, electric (&lt;25 km/h)</v>
      </c>
    </row>
    <row r="259" spans="1:2" x14ac:dyDescent="0.3">
      <c r="A259" t="s">
        <v>75</v>
      </c>
      <c r="B259" t="s">
        <v>76</v>
      </c>
    </row>
    <row r="260" spans="1:2" x14ac:dyDescent="0.3">
      <c r="A260" t="s">
        <v>77</v>
      </c>
      <c r="B260" t="s">
        <v>172</v>
      </c>
    </row>
    <row r="261" spans="1:2" x14ac:dyDescent="0.3">
      <c r="A261" t="s">
        <v>79</v>
      </c>
      <c r="B261" t="s">
        <v>90</v>
      </c>
    </row>
    <row r="262" spans="1:2" x14ac:dyDescent="0.3">
      <c r="A262" t="s">
        <v>132</v>
      </c>
      <c r="B262">
        <f>INDEX('vehicles specifications'!$B$3:$CK$86,MATCH(B257,'vehicles specifications'!$A$3:$A$86,0),MATCH("Lifetime [km]",'vehicles specifications'!$B$2:$CK$2,0))</f>
        <v>20000</v>
      </c>
    </row>
    <row r="263" spans="1:2" x14ac:dyDescent="0.3">
      <c r="A263" t="s">
        <v>133</v>
      </c>
      <c r="B263">
        <f>INDEX('vehicles specifications'!$B$3:$CK$86,MATCH(B257,'vehicles specifications'!$A$3:$A$86,0),MATCH("Passengers [unit]",'vehicles specifications'!$B$2:$CK$2,0))</f>
        <v>1</v>
      </c>
    </row>
    <row r="264" spans="1:2" x14ac:dyDescent="0.3">
      <c r="A264" t="s">
        <v>134</v>
      </c>
      <c r="B264">
        <f>INDEX('vehicles specifications'!$B$3:$CK$86,MATCH(B257,'vehicles specifications'!$A$3:$A$86,0),MATCH("Servicing [unit]",'vehicles specifications'!$B$2:$CK$2,0))</f>
        <v>5</v>
      </c>
    </row>
    <row r="265" spans="1:2" x14ac:dyDescent="0.3">
      <c r="A265" t="s">
        <v>135</v>
      </c>
      <c r="B265">
        <f>INDEX('vehicles specifications'!$B$3:$CK$86,MATCH(B257,'vehicles specifications'!$A$3:$A$86,0),MATCH("Energy battery replacement [unit]",'vehicles specifications'!$B$2:$CK$2,0))</f>
        <v>0.25</v>
      </c>
    </row>
    <row r="266" spans="1:2" x14ac:dyDescent="0.3">
      <c r="A266" t="s">
        <v>136</v>
      </c>
      <c r="B266">
        <f>INDEX('vehicles specifications'!$B$3:$CK$86,MATCH(B257,'vehicles specifications'!$A$3:$A$86,0),MATCH("Annual kilometers [km]",'vehicles specifications'!$B$2:$CK$2,0))</f>
        <v>2060</v>
      </c>
    </row>
    <row r="267" spans="1:2" x14ac:dyDescent="0.3">
      <c r="A267" t="s">
        <v>137</v>
      </c>
      <c r="B267">
        <f>INDEX('vehicles specifications'!$B$3:$CK$86,MATCH(B257,'vehicles specifications'!$A$3:$A$86,0),MATCH("Curb mass [kg]",'vehicles specifications'!$B$2:$CK$2,0))</f>
        <v>22.9</v>
      </c>
    </row>
    <row r="268" spans="1:2" x14ac:dyDescent="0.3">
      <c r="A268" t="s">
        <v>138</v>
      </c>
      <c r="B268">
        <f>INDEX('vehicles specifications'!$B$3:$CK$86,MATCH(B257,'vehicles specifications'!$A$3:$A$86,0),MATCH("Power [kW]",'vehicles specifications'!$B$2:$CK$2,0))</f>
        <v>0.3</v>
      </c>
    </row>
    <row r="269" spans="1:2" x14ac:dyDescent="0.3">
      <c r="A269" t="s">
        <v>139</v>
      </c>
      <c r="B269">
        <f>INDEX('vehicles specifications'!$B$3:$CK$86,MATCH(B257,'vehicles specifications'!$A$3:$A$86,0),MATCH("Energy battery mass [kg]",'vehicles specifications'!$B$2:$CK$2,0))</f>
        <v>3.8999999999999995</v>
      </c>
    </row>
    <row r="270" spans="1:2" x14ac:dyDescent="0.3">
      <c r="A270" t="s">
        <v>140</v>
      </c>
      <c r="B270">
        <f>INDEX('vehicles specifications'!$B$3:$CK$86,MATCH(B257,'vehicles specifications'!$A$3:$A$86,0),MATCH("Electric energy stored [kWh]",'vehicles specifications'!$B$2:$CK$2,0))</f>
        <v>1.2</v>
      </c>
    </row>
    <row r="271" spans="1:2" s="21" customFormat="1" x14ac:dyDescent="0.3">
      <c r="A271" s="21" t="s">
        <v>654</v>
      </c>
      <c r="B271" s="21">
        <f>INDEX('vehicles specifications'!$B$3:$CK$86,MATCH(B257,'vehicles specifications'!$A$3:$A$86,0),MATCH("Electric energy available [kWh]",'vehicles specifications'!$B$2:$CK$2,0))</f>
        <v>0.96</v>
      </c>
    </row>
    <row r="272" spans="1:2" x14ac:dyDescent="0.3">
      <c r="A272" t="s">
        <v>143</v>
      </c>
      <c r="B272">
        <f>INDEX('vehicles specifications'!$B$3:$CK$86,MATCH(B257,'vehicles specifications'!$A$3:$A$86,0),MATCH("Oxydation energy stored [kWh]",'vehicles specifications'!$B$2:$CK$2,0))</f>
        <v>0</v>
      </c>
    </row>
    <row r="273" spans="1:8" x14ac:dyDescent="0.3">
      <c r="A273" t="s">
        <v>145</v>
      </c>
      <c r="B273">
        <f>INDEX('vehicles specifications'!$B$3:$CK$86,MATCH(B257,'vehicles specifications'!$A$3:$A$86,0),MATCH("Fuel mass [kg]",'vehicles specifications'!$B$2:$CK$2,0))</f>
        <v>0</v>
      </c>
    </row>
    <row r="274" spans="1:8" x14ac:dyDescent="0.3">
      <c r="A274" t="s">
        <v>141</v>
      </c>
      <c r="B274" s="2">
        <f>INDEX('vehicles specifications'!$B$3:$CK$86,MATCH(B257,'vehicles specifications'!$A$3:$A$86,0),MATCH("Range [km]",'vehicles specifications'!$B$2:$CK$2,0))</f>
        <v>140.08554780467787</v>
      </c>
    </row>
    <row r="275" spans="1:8" x14ac:dyDescent="0.3">
      <c r="A275" t="s">
        <v>142</v>
      </c>
      <c r="B275" t="str">
        <f>INDEX('vehicles specifications'!$B$3:$CK$86,MATCH(B257,'vehicles specifications'!$A$3:$A$86,0),MATCH("Emission standard",'vehicles specifications'!$B$2:$CK$2,0))</f>
        <v>None</v>
      </c>
    </row>
    <row r="276" spans="1:8" x14ac:dyDescent="0.3">
      <c r="A276" t="s">
        <v>144</v>
      </c>
      <c r="B276" s="6">
        <f>INDEX('vehicles specifications'!$B$3:$CK$86,MATCH(B257,'vehicles specifications'!$A$3:$A$86,0),MATCH("Lightweighting rate [%]",'vehicles specifications'!$B$2:$CK$2,0))</f>
        <v>0.05</v>
      </c>
    </row>
    <row r="277" spans="1:8" x14ac:dyDescent="0.3">
      <c r="A277" t="s">
        <v>84</v>
      </c>
      <c r="B277" s="21" t="str">
        <f>"Power: "&amp;B268&amp;" kW. Lifetime: "&amp;B262&amp;" km. Annual kilometers: "&amp;B266&amp;" km. Number of passengers: "&amp;B263&amp;". Curb mass: "&amp;ROUND(B267,1)&amp;" kg. Lightweighting of glider: "&amp;ROUND(B276*100,0)&amp;"%. Emission standard: "&amp;B275&amp;". Service visits throughout lifetime: "&amp;ROUND(B264,1)&amp;". Range: "&amp;ROUND(B274,0)&amp;" km. Battery capacity: "&amp;ROUND(B270,1)&amp;" kWh. Available battery capacity: "&amp;B271&amp;" kWh. Battery mass: "&amp;ROUND(B269,1)&amp; " kg. Battery replacement throughout lifetime: "&amp;ROUND(B265,1)&amp;". Fuel tank capacity: "&amp;ROUND(B272,1)&amp;" kWh. Fuel mass: "&amp;ROUND(B273,1)&amp;" kg. Documentation: "&amp;Readmefirst!$B$2&amp;", "&amp;Readmefirst!$B$3&amp;". "&amp;B261</f>
        <v>Power: 0.3 kW. Lifetime: 20000 km. Annual kilometers: 2060 km. Number of passengers: 1. Curb mass: 22.9 kg. Lightweighting of glider: 5%. Emission standard: None. Service visits throughout lifetime: 5. Range: 140 km. Battery capacity: 1.2 kWh. Available battery capacity: 0.96 kWh. Battery mass: 3.9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78" spans="1:8" ht="15.6" x14ac:dyDescent="0.3">
      <c r="A278" s="11" t="s">
        <v>80</v>
      </c>
    </row>
    <row r="279" spans="1:8" x14ac:dyDescent="0.3">
      <c r="A279" t="s">
        <v>81</v>
      </c>
      <c r="B279" t="s">
        <v>82</v>
      </c>
      <c r="C279" t="s">
        <v>73</v>
      </c>
      <c r="D279" t="s">
        <v>77</v>
      </c>
      <c r="E279" t="s">
        <v>83</v>
      </c>
      <c r="F279" t="s">
        <v>75</v>
      </c>
      <c r="G279" t="s">
        <v>84</v>
      </c>
      <c r="H279" t="s">
        <v>74</v>
      </c>
    </row>
    <row r="280" spans="1:8" x14ac:dyDescent="0.3">
      <c r="A280" s="12" t="str">
        <f>B252</f>
        <v>transport, Bicycle, electric (&lt;25 km/h), 2040</v>
      </c>
      <c r="B280" s="12">
        <v>1</v>
      </c>
      <c r="C280" s="12" t="str">
        <f>B253</f>
        <v>CH</v>
      </c>
      <c r="D280" s="12" t="s">
        <v>172</v>
      </c>
      <c r="E280" s="12"/>
      <c r="F280" s="12" t="s">
        <v>85</v>
      </c>
      <c r="G280" s="12" t="s">
        <v>86</v>
      </c>
      <c r="H280" s="12" t="str">
        <f>B258</f>
        <v>transport, Bicycle, electric (&lt;25 km/h)</v>
      </c>
    </row>
    <row r="281" spans="1:8" x14ac:dyDescent="0.3">
      <c r="A281" s="12" t="str">
        <f>RIGHT(A280,LEN(A280)-11)</f>
        <v>Bicycle, electric (&lt;25 km/h), 2040</v>
      </c>
      <c r="B281" s="12">
        <f>1/B262</f>
        <v>5.0000000000000002E-5</v>
      </c>
      <c r="C281" s="12" t="str">
        <f>B253</f>
        <v>CH</v>
      </c>
      <c r="D281" s="12" t="s">
        <v>77</v>
      </c>
      <c r="E281" s="12"/>
      <c r="F281" s="12" t="s">
        <v>91</v>
      </c>
      <c r="G281" s="12"/>
      <c r="H281" s="12" t="str">
        <f>RIGHT(H280,LEN(H280)-11)</f>
        <v>Bicycle, electric (&lt;25 km/h)</v>
      </c>
    </row>
    <row r="282" spans="1:8" s="21" customFormat="1" x14ac:dyDescent="0.3">
      <c r="A282" s="12" t="str">
        <f>INDEX('ei names mapping'!$B$4:$R$33,MATCH(B254,'ei names mapping'!$A$4:$A$33,0),MATCH(G282,'ei names mapping'!$B$3:$R$3,0))</f>
        <v>road construction</v>
      </c>
      <c r="B282" s="16">
        <f>INDEX('vehicles specifications'!$B$3:$CK$86,MATCH(B257,'vehicles specifications'!$A$3:$A$86,0),MATCH(G282,'vehicles specifications'!$B$2:$CK$2,0))*INDEX('ei names mapping'!$B$137:$BK$220,MATCH(B257,'ei names mapping'!$A$137:$A$220,0),MATCH(G282,'ei names mapping'!$B$136:$BK$136,0))</f>
        <v>5.0424300000000004E-5</v>
      </c>
      <c r="C282" s="12" t="str">
        <f>INDEX('ei names mapping'!$B$38:$R$67,MATCH(B254,'ei names mapping'!$A$4:$A$33,0),MATCH(G282,'ei names mapping'!$B$3:$R$3,0))</f>
        <v>CH</v>
      </c>
      <c r="D282" s="12" t="str">
        <f>INDEX('ei names mapping'!$B$104:$BK$133,MATCH(B254,'ei names mapping'!$A$4:$A$33,0),MATCH(G282,'ei names mapping'!$B$3:$BK$3,0))</f>
        <v>meter-year</v>
      </c>
      <c r="E282" s="12"/>
      <c r="F282" s="12" t="s">
        <v>91</v>
      </c>
      <c r="G282" s="21" t="s">
        <v>108</v>
      </c>
      <c r="H282" s="12" t="str">
        <f>INDEX('ei names mapping'!$B$71:$BK$100,MATCH(B254,'ei names mapping'!$A$4:$A$33,0),MATCH(G282,'ei names mapping'!$B$3:$BK$3,0))</f>
        <v>road</v>
      </c>
    </row>
    <row r="283" spans="1:8" x14ac:dyDescent="0.3">
      <c r="A283" s="12" t="str">
        <f>INDEX('ei names mapping'!$B$4:$R$33,MATCH($B$3,'ei names mapping'!$A$4:$A$33,0),MATCH(G283,'ei names mapping'!$B$3:$R$3,0))</f>
        <v>market for electricity, low voltage</v>
      </c>
      <c r="B283" s="14">
        <f>INDEX('vehicles specifications'!$B$3:$CK$86,MATCH(B257,'vehicles specifications'!$A$3:$A$86,0),MATCH(G283,'vehicles specifications'!$B$2:$CK$2,0))*INDEX('ei names mapping'!$B$137:$BK$220,MATCH(B257,'ei names mapping'!$A$137:$A$220,0),MATCH(G283,'ei names mapping'!$B$136:$BK$136,0))</f>
        <v>7.5382508513468297E-3</v>
      </c>
      <c r="C283" s="12" t="str">
        <f>INDEX('ei names mapping'!$B$38:$R$67,MATCH($B$3,'ei names mapping'!$A$4:$A$33,0),MATCH(G283,'ei names mapping'!$B$3:$R$3,0))</f>
        <v>CH</v>
      </c>
      <c r="D283" s="12" t="str">
        <f>INDEX('ei names mapping'!$B$104:$R$133,MATCH($B$3,'ei names mapping'!$A$4:$A$33,0),MATCH(G283,'ei names mapping'!$B$3:$R$3,0))</f>
        <v>kilowatt hour</v>
      </c>
      <c r="E283" s="12"/>
      <c r="F283" s="12" t="s">
        <v>91</v>
      </c>
      <c r="G283" t="s">
        <v>28</v>
      </c>
      <c r="H283" s="12" t="str">
        <f>INDEX('ei names mapping'!$B$71:$R$100,MATCH($B$3,'ei names mapping'!$A$4:$A$33,0),MATCH(G283,'ei names mapping'!$B$3:$R$3,0))</f>
        <v>electricity, low voltage</v>
      </c>
    </row>
    <row r="284" spans="1:8" x14ac:dyDescent="0.3">
      <c r="A284" s="12" t="str">
        <f>INDEX('ei names mapping'!$B$4:$R$33,MATCH($B$3,'ei names mapping'!$A$4:$A$33,0),MATCH(G284,'ei names mapping'!$B$3:$R$3,0))</f>
        <v>maintenance, electric bicycle, without battery</v>
      </c>
      <c r="B284" s="14">
        <f>INDEX('vehicles specifications'!$B$3:$CK$86,MATCH(B257,'vehicles specifications'!$A$3:$A$86,0),MATCH(G284,'vehicles specifications'!$B$2:$CK$2,0))*INDEX('ei names mapping'!$B$137:$BK$220,MATCH(B257,'ei names mapping'!$A$137:$A$220,0),MATCH(G284,'ei names mapping'!$B$136:$BK$136,0))</f>
        <v>2.5000000000000001E-4</v>
      </c>
      <c r="C284" s="12" t="str">
        <f>INDEX('ei names mapping'!$B$38:$R$67,MATCH($B$3,'ei names mapping'!$A$4:$A$33,0),MATCH(G284,'ei names mapping'!$B$3:$R$3,0))</f>
        <v>CH</v>
      </c>
      <c r="D284" s="12" t="str">
        <f>INDEX('ei names mapping'!$B$104:$R$133,MATCH($B$3,'ei names mapping'!$A$4:$A$33,0),MATCH(G284,'ei names mapping'!$B$3:$R$3,0))</f>
        <v>unit</v>
      </c>
      <c r="E284" s="12"/>
      <c r="F284" s="12" t="s">
        <v>91</v>
      </c>
      <c r="G284" t="s">
        <v>123</v>
      </c>
      <c r="H284" s="12" t="str">
        <f>INDEX('ei names mapping'!$B$71:$R$100,MATCH($B$3,'ei names mapping'!$A$4:$A$33,0),MATCH(G284,'ei names mapping'!$B$3:$R$3,0))</f>
        <v>maintenance, electric bicycle, without battery</v>
      </c>
    </row>
    <row r="285" spans="1:8" x14ac:dyDescent="0.3">
      <c r="A285" s="12" t="str">
        <f>INDEX('ei names mapping'!$B$4:$BK$33,MATCH($B$180,'ei names mapping'!$A$4:$A$33,0),MATCH(G285,'ei names mapping'!$B$3:$BK$3,0))</f>
        <v>treatment of road wear emissions, passenger car</v>
      </c>
      <c r="B285" s="15">
        <f>INDEX('vehicles specifications'!$B$3:$CK$86,MATCH(B257,'vehicles specifications'!$A$3:$A$86,0),MATCH(G285,'vehicles specifications'!$B$2:$CK$2,0))*INDEX('ei names mapping'!$B$137:$BK$220,MATCH(B257,'ei names mapping'!$A$137:$A$220,0),MATCH(G285,'ei names mapping'!$B$136:$BK$136,0))</f>
        <v>-3.0000000000000001E-6</v>
      </c>
      <c r="C285" s="12" t="str">
        <f>INDEX('ei names mapping'!$B$38:$BK$67,MATCH($B$180,'ei names mapping'!$A$4:$A$33,0),MATCH(G285,'ei names mapping'!$B$3:$BK$3,0))</f>
        <v>RER</v>
      </c>
      <c r="D285" s="12" t="str">
        <f>INDEX('ei names mapping'!$B$104:$BK$133,MATCH($B$180,'ei names mapping'!$A$4:$A$33,0),MATCH(G285,'ei names mapping'!$B$3:$BK$3,0))</f>
        <v>kilogram</v>
      </c>
      <c r="E285" s="12"/>
      <c r="F285" s="12" t="s">
        <v>91</v>
      </c>
      <c r="G285" t="s">
        <v>29</v>
      </c>
      <c r="H285" s="12" t="str">
        <f>INDEX('ei names mapping'!$B$71:$BK$100,MATCH(B254,'ei names mapping'!$A$4:$A$33,0),MATCH(G285,'ei names mapping'!$B$3:$BK$3,0))</f>
        <v>road wear emissions, passenger car</v>
      </c>
    </row>
    <row r="286" spans="1:8" x14ac:dyDescent="0.3">
      <c r="A286" s="12" t="str">
        <f>INDEX('ei names mapping'!$B$4:$BK$33,MATCH($B$180,'ei names mapping'!$A$4:$A$33,0),MATCH(G286,'ei names mapping'!$B$3:$BK$3,0))</f>
        <v>treatment of tyre wear emissions, passenger car</v>
      </c>
      <c r="B286" s="15">
        <f>INDEX('vehicles specifications'!$B$3:$CK$86,MATCH(B257,'vehicles specifications'!$A$3:$A$86,0),MATCH(G286,'vehicles specifications'!$B$2:$CK$2,0))*INDEX('ei names mapping'!$B$137:$BK$220,MATCH(B257,'ei names mapping'!$A$137:$A$220,0),MATCH(G286,'ei names mapping'!$B$136:$BK$136,0))</f>
        <v>-2.9189999999999999E-6</v>
      </c>
      <c r="C286" s="12" t="str">
        <f>INDEX('ei names mapping'!$B$38:$BK$67,MATCH($B$180,'ei names mapping'!$A$4:$A$33,0),MATCH(G286,'ei names mapping'!$B$3:$BK$3,0))</f>
        <v>RER</v>
      </c>
      <c r="D286" s="12" t="str">
        <f>INDEX('ei names mapping'!$B$104:$BK$133,MATCH($B$180,'ei names mapping'!$A$4:$A$33,0),MATCH(G286,'ei names mapping'!$B$3:$BK$3,0))</f>
        <v>kilogram</v>
      </c>
      <c r="E286" s="12"/>
      <c r="F286" s="12" t="s">
        <v>91</v>
      </c>
      <c r="G286" t="s">
        <v>30</v>
      </c>
      <c r="H286" s="12" t="str">
        <f>INDEX('ei names mapping'!$B$71:$BK$100,MATCH($B$180,'ei names mapping'!$A$4:$A$33,0),MATCH(G286,'ei names mapping'!$B$3:$BK$3,0))</f>
        <v>tyre wear emissions, passenger car</v>
      </c>
    </row>
    <row r="287" spans="1:8" x14ac:dyDescent="0.3">
      <c r="A287" s="12" t="str">
        <f>INDEX('ei names mapping'!$B$4:$BK$33,MATCH($B$180,'ei names mapping'!$A$4:$A$33,0),MATCH(G287,'ei names mapping'!$B$3:$BK$3,0))</f>
        <v>treatment of brake wear emissions, passenger car</v>
      </c>
      <c r="B287" s="15">
        <f>INDEX('vehicles specifications'!$B$3:$CK$86,MATCH(B257,'vehicles specifications'!$A$3:$A$86,0),MATCH(G287,'vehicles specifications'!$B$2:$CK$2,0))*INDEX('ei names mapping'!$B$137:$BK$220,MATCH(B257,'ei names mapping'!$A$137:$A$220,0),MATCH(G287,'ei names mapping'!$B$136:$BK$136,0))</f>
        <v>-1.8370000000000002E-6</v>
      </c>
      <c r="C287" s="12" t="str">
        <f>INDEX('ei names mapping'!$B$38:$BK$67,MATCH($B$180,'ei names mapping'!$A$4:$A$33,0),MATCH(G287,'ei names mapping'!$B$3:$BK$3,0))</f>
        <v>RER</v>
      </c>
      <c r="D287" s="12" t="str">
        <f>INDEX('ei names mapping'!$B$104:$BK$133,MATCH($B$180,'ei names mapping'!$A$4:$A$33,0),MATCH(G287,'ei names mapping'!$B$3:$BK$3,0))</f>
        <v>kilogram</v>
      </c>
      <c r="E287" s="12"/>
      <c r="F287" s="12" t="s">
        <v>91</v>
      </c>
      <c r="G287" t="s">
        <v>31</v>
      </c>
      <c r="H287" s="12" t="str">
        <f>INDEX('ei names mapping'!$B$71:$BK$100,MATCH($B$180,'ei names mapping'!$A$4:$A$33,0),MATCH(G287,'ei names mapping'!$B$3:$BK$3,0))</f>
        <v>brake wear emissions, passenger car</v>
      </c>
    </row>
    <row r="289" spans="1:2" ht="15.6" x14ac:dyDescent="0.3">
      <c r="A289" s="11" t="s">
        <v>72</v>
      </c>
      <c r="B289" s="9" t="str">
        <f>"transport, "&amp;B291&amp;", "&amp;B293</f>
        <v>transport, Bicycle, electric (&lt;25 km/h), 2050</v>
      </c>
    </row>
    <row r="290" spans="1:2" x14ac:dyDescent="0.3">
      <c r="A290" t="s">
        <v>73</v>
      </c>
      <c r="B290" t="s">
        <v>37</v>
      </c>
    </row>
    <row r="291" spans="1:2" x14ac:dyDescent="0.3">
      <c r="A291" t="s">
        <v>87</v>
      </c>
      <c r="B291" s="21" t="s">
        <v>517</v>
      </c>
    </row>
    <row r="292" spans="1:2" x14ac:dyDescent="0.3">
      <c r="A292" t="s">
        <v>88</v>
      </c>
      <c r="B292" s="12"/>
    </row>
    <row r="293" spans="1:2" x14ac:dyDescent="0.3">
      <c r="A293" t="s">
        <v>89</v>
      </c>
      <c r="B293" s="12">
        <v>2050</v>
      </c>
    </row>
    <row r="294" spans="1:2" x14ac:dyDescent="0.3">
      <c r="A294" t="s">
        <v>131</v>
      </c>
      <c r="B294" s="12" t="str">
        <f>B291&amp;" - "&amp;B293&amp;" - "&amp;B290</f>
        <v>Bicycle, electric (&lt;25 km/h) - 2050 - CH</v>
      </c>
    </row>
    <row r="295" spans="1:2" x14ac:dyDescent="0.3">
      <c r="A295" t="s">
        <v>74</v>
      </c>
      <c r="B295" t="str">
        <f>"transport, "&amp;B291</f>
        <v>transport, Bicycle, electric (&lt;25 km/h)</v>
      </c>
    </row>
    <row r="296" spans="1:2" x14ac:dyDescent="0.3">
      <c r="A296" t="s">
        <v>75</v>
      </c>
      <c r="B296" t="s">
        <v>76</v>
      </c>
    </row>
    <row r="297" spans="1:2" x14ac:dyDescent="0.3">
      <c r="A297" t="s">
        <v>77</v>
      </c>
      <c r="B297" t="s">
        <v>172</v>
      </c>
    </row>
    <row r="298" spans="1:2" x14ac:dyDescent="0.3">
      <c r="A298" t="s">
        <v>79</v>
      </c>
      <c r="B298" t="s">
        <v>90</v>
      </c>
    </row>
    <row r="299" spans="1:2" x14ac:dyDescent="0.3">
      <c r="A299" t="s">
        <v>132</v>
      </c>
      <c r="B299">
        <f>INDEX('vehicles specifications'!$B$3:$CK$86,MATCH(B294,'vehicles specifications'!$A$3:$A$86,0),MATCH("Lifetime [km]",'vehicles specifications'!$B$2:$CK$2,0))</f>
        <v>20000</v>
      </c>
    </row>
    <row r="300" spans="1:2" x14ac:dyDescent="0.3">
      <c r="A300" t="s">
        <v>133</v>
      </c>
      <c r="B300">
        <f>INDEX('vehicles specifications'!$B$3:$CK$86,MATCH(B294,'vehicles specifications'!$A$3:$A$86,0),MATCH("Passengers [unit]",'vehicles specifications'!$B$2:$CK$2,0))</f>
        <v>1</v>
      </c>
    </row>
    <row r="301" spans="1:2" x14ac:dyDescent="0.3">
      <c r="A301" t="s">
        <v>134</v>
      </c>
      <c r="B301">
        <f>INDEX('vehicles specifications'!$B$3:$CK$86,MATCH(B294,'vehicles specifications'!$A$3:$A$86,0),MATCH("Servicing [unit]",'vehicles specifications'!$B$2:$CK$2,0))</f>
        <v>5</v>
      </c>
    </row>
    <row r="302" spans="1:2" x14ac:dyDescent="0.3">
      <c r="A302" t="s">
        <v>135</v>
      </c>
      <c r="B302">
        <f>INDEX('vehicles specifications'!$B$3:$CK$86,MATCH(B294,'vehicles specifications'!$A$3:$A$86,0),MATCH("Energy battery replacement [unit]",'vehicles specifications'!$B$2:$CK$2,0))</f>
        <v>0</v>
      </c>
    </row>
    <row r="303" spans="1:2" x14ac:dyDescent="0.3">
      <c r="A303" t="s">
        <v>136</v>
      </c>
      <c r="B303">
        <f>INDEX('vehicles specifications'!$B$3:$CK$86,MATCH(B294,'vehicles specifications'!$A$3:$A$86,0),MATCH("Annual kilometers [km]",'vehicles specifications'!$B$2:$CK$2,0))</f>
        <v>2060</v>
      </c>
    </row>
    <row r="304" spans="1:2" x14ac:dyDescent="0.3">
      <c r="A304" t="s">
        <v>137</v>
      </c>
      <c r="B304">
        <f>INDEX('vehicles specifications'!$B$3:$CK$86,MATCH(B294,'vehicles specifications'!$A$3:$A$86,0),MATCH("Curb mass [kg]",'vehicles specifications'!$B$2:$CK$2,0))</f>
        <v>22.74</v>
      </c>
    </row>
    <row r="305" spans="1:8" x14ac:dyDescent="0.3">
      <c r="A305" t="s">
        <v>138</v>
      </c>
      <c r="B305">
        <f>INDEX('vehicles specifications'!$B$3:$CK$86,MATCH(B294,'vehicles specifications'!$A$3:$A$86,0),MATCH("Power [kW]",'vehicles specifications'!$B$2:$CK$2,0))</f>
        <v>0.3</v>
      </c>
    </row>
    <row r="306" spans="1:8" x14ac:dyDescent="0.3">
      <c r="A306" t="s">
        <v>139</v>
      </c>
      <c r="B306">
        <f>INDEX('vehicles specifications'!$B$3:$CK$86,MATCH(B294,'vehicles specifications'!$A$3:$A$86,0),MATCH("Energy battery mass [kg]",'vehicles specifications'!$B$2:$CK$2,0))</f>
        <v>4.16</v>
      </c>
    </row>
    <row r="307" spans="1:8" x14ac:dyDescent="0.3">
      <c r="A307" t="s">
        <v>140</v>
      </c>
      <c r="B307">
        <f>INDEX('vehicles specifications'!$B$3:$CK$86,MATCH(B294,'vehicles specifications'!$A$3:$A$86,0),MATCH("Electric energy stored [kWh]",'vehicles specifications'!$B$2:$CK$2,0))</f>
        <v>1.6</v>
      </c>
    </row>
    <row r="308" spans="1:8" s="21" customFormat="1" x14ac:dyDescent="0.3">
      <c r="A308" s="21" t="s">
        <v>654</v>
      </c>
      <c r="B308" s="21">
        <f>INDEX('vehicles specifications'!$B$3:$CK$86,MATCH(B294,'vehicles specifications'!$A$3:$A$86,0),MATCH("Electric energy available [kWh]",'vehicles specifications'!$B$2:$CK$2,0))</f>
        <v>1.2800000000000002</v>
      </c>
    </row>
    <row r="309" spans="1:8" x14ac:dyDescent="0.3">
      <c r="A309" t="s">
        <v>143</v>
      </c>
      <c r="B309">
        <f>INDEX('vehicles specifications'!$B$3:$CK$86,MATCH(B294,'vehicles specifications'!$A$3:$A$86,0),MATCH("Oxydation energy stored [kWh]",'vehicles specifications'!$B$2:$CK$2,0))</f>
        <v>0</v>
      </c>
    </row>
    <row r="310" spans="1:8" x14ac:dyDescent="0.3">
      <c r="A310" t="s">
        <v>145</v>
      </c>
      <c r="B310">
        <f>INDEX('vehicles specifications'!$B$3:$CK$86,MATCH(B294,'vehicles specifications'!$A$3:$A$86,0),MATCH("Fuel mass [kg]",'vehicles specifications'!$B$2:$CK$2,0))</f>
        <v>0</v>
      </c>
    </row>
    <row r="311" spans="1:8" x14ac:dyDescent="0.3">
      <c r="A311" t="s">
        <v>141</v>
      </c>
      <c r="B311" s="2">
        <f>INDEX('vehicles specifications'!$B$3:$CK$86,MATCH(B294,'vehicles specifications'!$A$3:$A$86,0),MATCH("Range [km]",'vehicles specifications'!$B$2:$CK$2,0))</f>
        <v>186.78073040623721</v>
      </c>
    </row>
    <row r="312" spans="1:8" x14ac:dyDescent="0.3">
      <c r="A312" t="s">
        <v>142</v>
      </c>
      <c r="B312" t="str">
        <f>INDEX('vehicles specifications'!$B$3:$CK$86,MATCH(B294,'vehicles specifications'!$A$3:$A$86,0),MATCH("Emission standard",'vehicles specifications'!$B$2:$CK$2,0))</f>
        <v>None</v>
      </c>
    </row>
    <row r="313" spans="1:8" x14ac:dyDescent="0.3">
      <c r="A313" t="s">
        <v>144</v>
      </c>
      <c r="B313" s="6">
        <f>INDEX('vehicles specifications'!$B$3:$CK$86,MATCH(B294,'vehicles specifications'!$A$3:$A$86,0),MATCH("Lightweighting rate [%]",'vehicles specifications'!$B$2:$CK$2,0))</f>
        <v>7.0000000000000007E-2</v>
      </c>
    </row>
    <row r="314" spans="1:8" x14ac:dyDescent="0.3">
      <c r="A314" t="s">
        <v>84</v>
      </c>
      <c r="B314" s="21" t="str">
        <f>"Power: "&amp;B305&amp;" kW. Lifetime: "&amp;B299&amp;" km. Annual kilometers: "&amp;B303&amp;" km. Number of passengers: "&amp;B300&amp;". Curb mass: "&amp;ROUND(B304,1)&amp;" kg. Lightweighting of glider: "&amp;ROUND(B313*100,0)&amp;"%. Emission standard: "&amp;B312&amp;". Service visits throughout lifetime: "&amp;ROUND(B301,1)&amp;". Range: "&amp;ROUND(B311,0)&amp;" km. Battery capacity: "&amp;ROUND(B307,1)&amp;" kWh. Available battery capacity: "&amp;B308&amp;" kWh. Battery mass: "&amp;ROUND(B306,1)&amp; " kg. Battery replacement throughout lifetime: "&amp;ROUND(B302,1)&amp;". Fuel tank capacity: "&amp;ROUND(B309,1)&amp;" kWh. Fuel mass: "&amp;ROUND(B310,1)&amp;" kg. Documentation: "&amp;Readmefirst!$B$2&amp;", "&amp;Readmefirst!$B$3&amp;". "&amp;B298</f>
        <v>Power: 0.3 kW. Lifetime: 20000 km. Annual kilometers: 2060 km. Number of passengers: 1. Curb mass: 22.7 kg. Lightweighting of glider: 7%. Emission standard: None. Service visits throughout lifetime: 5. Range: 187 km. Battery capacity: 1.6 kWh. Available battery capacity: 1.28 kWh. Battery mass: 4.2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15" spans="1:8" ht="15.6" x14ac:dyDescent="0.3">
      <c r="A315" s="11" t="s">
        <v>80</v>
      </c>
    </row>
    <row r="316" spans="1:8" x14ac:dyDescent="0.3">
      <c r="A316" t="s">
        <v>81</v>
      </c>
      <c r="B316" t="s">
        <v>82</v>
      </c>
      <c r="C316" t="s">
        <v>73</v>
      </c>
      <c r="D316" t="s">
        <v>77</v>
      </c>
      <c r="E316" t="s">
        <v>83</v>
      </c>
      <c r="F316" t="s">
        <v>75</v>
      </c>
      <c r="G316" t="s">
        <v>84</v>
      </c>
      <c r="H316" t="s">
        <v>74</v>
      </c>
    </row>
    <row r="317" spans="1:8" x14ac:dyDescent="0.3">
      <c r="A317" s="12" t="str">
        <f>B289</f>
        <v>transport, Bicycle, electric (&lt;25 km/h), 2050</v>
      </c>
      <c r="B317" s="12">
        <v>1</v>
      </c>
      <c r="C317" s="12" t="str">
        <f>B290</f>
        <v>CH</v>
      </c>
      <c r="D317" s="12" t="s">
        <v>172</v>
      </c>
      <c r="E317" s="12"/>
      <c r="F317" s="12" t="s">
        <v>85</v>
      </c>
      <c r="G317" s="12" t="s">
        <v>86</v>
      </c>
      <c r="H317" s="12" t="str">
        <f>B295</f>
        <v>transport, Bicycle, electric (&lt;25 km/h)</v>
      </c>
    </row>
    <row r="318" spans="1:8" x14ac:dyDescent="0.3">
      <c r="A318" s="12" t="str">
        <f>RIGHT(A317,LEN(A317)-11)</f>
        <v>Bicycle, electric (&lt;25 km/h), 2050</v>
      </c>
      <c r="B318" s="12">
        <f>1/B299</f>
        <v>5.0000000000000002E-5</v>
      </c>
      <c r="C318" s="12" t="str">
        <f>B290</f>
        <v>CH</v>
      </c>
      <c r="D318" s="12" t="s">
        <v>77</v>
      </c>
      <c r="E318" s="12"/>
      <c r="F318" s="12" t="s">
        <v>91</v>
      </c>
      <c r="G318" s="12"/>
      <c r="H318" s="12" t="str">
        <f>RIGHT(H317,LEN(H317)-11)</f>
        <v>Bicycle, electric (&lt;25 km/h)</v>
      </c>
    </row>
    <row r="319" spans="1:8" s="21" customFormat="1" x14ac:dyDescent="0.3">
      <c r="A319" s="12" t="str">
        <f>INDEX('ei names mapping'!$B$4:$R$33,MATCH(B291,'ei names mapping'!$A$4:$A$33,0),MATCH(G319,'ei names mapping'!$B$3:$R$3,0))</f>
        <v>road construction</v>
      </c>
      <c r="B319" s="16">
        <f>INDEX('vehicles specifications'!$B$3:$CK$86,MATCH(B294,'vehicles specifications'!$A$3:$A$86,0),MATCH(G319,'vehicles specifications'!$B$2:$CK$2,0))*INDEX('ei names mapping'!$B$137:$BK$220,MATCH(B294,'ei names mapping'!$A$137:$A$220,0),MATCH(G319,'ei names mapping'!$B$136:$BK$136,0))</f>
        <v>5.0338379999999998E-5</v>
      </c>
      <c r="C319" s="12" t="str">
        <f>INDEX('ei names mapping'!$B$38:$R$67,MATCH(B291,'ei names mapping'!$A$4:$A$33,0),MATCH(G319,'ei names mapping'!$B$3:$R$3,0))</f>
        <v>CH</v>
      </c>
      <c r="D319" s="12" t="str">
        <f>INDEX('ei names mapping'!$B$104:$BK$133,MATCH(B291,'ei names mapping'!$A$4:$A$33,0),MATCH(G319,'ei names mapping'!$B$3:$BK$3,0))</f>
        <v>meter-year</v>
      </c>
      <c r="E319" s="12"/>
      <c r="F319" s="12" t="s">
        <v>91</v>
      </c>
      <c r="G319" s="21" t="s">
        <v>108</v>
      </c>
      <c r="H319" s="12" t="str">
        <f>INDEX('ei names mapping'!$B$71:$BK$100,MATCH(B291,'ei names mapping'!$A$4:$A$33,0),MATCH(G319,'ei names mapping'!$B$3:$BK$3,0))</f>
        <v>road</v>
      </c>
    </row>
    <row r="320" spans="1:8" x14ac:dyDescent="0.3">
      <c r="A320" s="12" t="str">
        <f>INDEX('ei names mapping'!$B$4:$R$33,MATCH($B$3,'ei names mapping'!$A$4:$A$33,0),MATCH(G320,'ei names mapping'!$B$3:$R$3,0))</f>
        <v>market for electricity, low voltage</v>
      </c>
      <c r="B320" s="14">
        <f>INDEX('vehicles specifications'!$B$3:$CK$86,MATCH(B294,'vehicles specifications'!$A$3:$A$86,0),MATCH(G320,'vehicles specifications'!$B$2:$CK$2,0))*INDEX('ei names mapping'!$B$137:$BK$220,MATCH(B294,'ei names mapping'!$A$137:$A$220,0),MATCH(G320,'ei names mapping'!$B$136:$BK$136,0))</f>
        <v>7.5382508513468297E-3</v>
      </c>
      <c r="C320" s="12" t="str">
        <f>INDEX('ei names mapping'!$B$38:$R$67,MATCH($B$3,'ei names mapping'!$A$4:$A$33,0),MATCH(G320,'ei names mapping'!$B$3:$R$3,0))</f>
        <v>CH</v>
      </c>
      <c r="D320" s="12" t="str">
        <f>INDEX('ei names mapping'!$B$104:$R$133,MATCH($B$3,'ei names mapping'!$A$4:$A$33,0),MATCH(G320,'ei names mapping'!$B$3:$R$3,0))</f>
        <v>kilowatt hour</v>
      </c>
      <c r="E320" s="12"/>
      <c r="F320" s="12" t="s">
        <v>91</v>
      </c>
      <c r="G320" t="s">
        <v>28</v>
      </c>
      <c r="H320" s="12" t="str">
        <f>INDEX('ei names mapping'!$B$71:$R$100,MATCH($B$3,'ei names mapping'!$A$4:$A$33,0),MATCH(G320,'ei names mapping'!$B$3:$R$3,0))</f>
        <v>electricity, low voltage</v>
      </c>
    </row>
    <row r="321" spans="1:8" x14ac:dyDescent="0.3">
      <c r="A321" s="12" t="str">
        <f>INDEX('ei names mapping'!$B$4:$R$33,MATCH($B$3,'ei names mapping'!$A$4:$A$33,0),MATCH(G321,'ei names mapping'!$B$3:$R$3,0))</f>
        <v>maintenance, electric bicycle, without battery</v>
      </c>
      <c r="B321" s="14">
        <f>INDEX('vehicles specifications'!$B$3:$CK$86,MATCH(B294,'vehicles specifications'!$A$3:$A$86,0),MATCH(G321,'vehicles specifications'!$B$2:$CK$2,0))*INDEX('ei names mapping'!$B$137:$BK$220,MATCH(B294,'ei names mapping'!$A$137:$A$220,0),MATCH(G321,'ei names mapping'!$B$136:$BK$136,0))</f>
        <v>2.5000000000000001E-4</v>
      </c>
      <c r="C321" s="12" t="str">
        <f>INDEX('ei names mapping'!$B$38:$R$67,MATCH($B$3,'ei names mapping'!$A$4:$A$33,0),MATCH(G321,'ei names mapping'!$B$3:$R$3,0))</f>
        <v>CH</v>
      </c>
      <c r="D321" s="12" t="str">
        <f>INDEX('ei names mapping'!$B$104:$R$133,MATCH($B$3,'ei names mapping'!$A$4:$A$33,0),MATCH(G321,'ei names mapping'!$B$3:$R$3,0))</f>
        <v>unit</v>
      </c>
      <c r="E321" s="12"/>
      <c r="F321" s="12" t="s">
        <v>91</v>
      </c>
      <c r="G321" t="s">
        <v>123</v>
      </c>
      <c r="H321" s="12" t="str">
        <f>INDEX('ei names mapping'!$B$71:$R$100,MATCH($B$3,'ei names mapping'!$A$4:$A$33,0),MATCH(G321,'ei names mapping'!$B$3:$R$3,0))</f>
        <v>maintenance, electric bicycle, without battery</v>
      </c>
    </row>
    <row r="322" spans="1:8" x14ac:dyDescent="0.3">
      <c r="A322" s="12" t="str">
        <f>INDEX('ei names mapping'!$B$4:$BK$33,MATCH($B$180,'ei names mapping'!$A$4:$A$33,0),MATCH(G322,'ei names mapping'!$B$3:$BK$3,0))</f>
        <v>treatment of road wear emissions, passenger car</v>
      </c>
      <c r="B322" s="15">
        <f>INDEX('vehicles specifications'!$B$3:$CK$86,MATCH(B294,'vehicles specifications'!$A$3:$A$86,0),MATCH(G322,'vehicles specifications'!$B$2:$CK$2,0))*INDEX('ei names mapping'!$B$137:$BK$220,MATCH(B294,'ei names mapping'!$A$137:$A$220,0),MATCH(G322,'ei names mapping'!$B$136:$BK$136,0))</f>
        <v>-3.0000000000000001E-6</v>
      </c>
      <c r="C322" s="12" t="str">
        <f>INDEX('ei names mapping'!$B$38:$BK$67,MATCH($B$180,'ei names mapping'!$A$4:$A$33,0),MATCH(G322,'ei names mapping'!$B$3:$BK$3,0))</f>
        <v>RER</v>
      </c>
      <c r="D322" s="12" t="str">
        <f>INDEX('ei names mapping'!$B$104:$BK$133,MATCH($B$180,'ei names mapping'!$A$4:$A$33,0),MATCH(G322,'ei names mapping'!$B$3:$BK$3,0))</f>
        <v>kilogram</v>
      </c>
      <c r="E322" s="12"/>
      <c r="F322" s="12" t="s">
        <v>91</v>
      </c>
      <c r="G322" t="s">
        <v>29</v>
      </c>
      <c r="H322" s="12" t="str">
        <f>INDEX('ei names mapping'!$B$71:$BK$100,MATCH(B291,'ei names mapping'!$A$4:$A$33,0),MATCH(G322,'ei names mapping'!$B$3:$BK$3,0))</f>
        <v>road wear emissions, passenger car</v>
      </c>
    </row>
    <row r="323" spans="1:8" x14ac:dyDescent="0.3">
      <c r="A323" s="12" t="str">
        <f>INDEX('ei names mapping'!$B$4:$BK$33,MATCH($B$180,'ei names mapping'!$A$4:$A$33,0),MATCH(G323,'ei names mapping'!$B$3:$BK$3,0))</f>
        <v>treatment of tyre wear emissions, passenger car</v>
      </c>
      <c r="B323" s="15">
        <f>INDEX('vehicles specifications'!$B$3:$CK$86,MATCH(B294,'vehicles specifications'!$A$3:$A$86,0),MATCH(G323,'vehicles specifications'!$B$2:$CK$2,0))*INDEX('ei names mapping'!$B$137:$BK$220,MATCH(B294,'ei names mapping'!$A$137:$A$220,0),MATCH(G323,'ei names mapping'!$B$136:$BK$136,0))</f>
        <v>-2.9189999999999999E-6</v>
      </c>
      <c r="C323" s="12" t="str">
        <f>INDEX('ei names mapping'!$B$38:$BK$67,MATCH($B$180,'ei names mapping'!$A$4:$A$33,0),MATCH(G323,'ei names mapping'!$B$3:$BK$3,0))</f>
        <v>RER</v>
      </c>
      <c r="D323" s="12" t="str">
        <f>INDEX('ei names mapping'!$B$104:$BK$133,MATCH($B$180,'ei names mapping'!$A$4:$A$33,0),MATCH(G323,'ei names mapping'!$B$3:$BK$3,0))</f>
        <v>kilogram</v>
      </c>
      <c r="E323" s="12"/>
      <c r="F323" s="12" t="s">
        <v>91</v>
      </c>
      <c r="G323" t="s">
        <v>30</v>
      </c>
      <c r="H323" s="12" t="str">
        <f>INDEX('ei names mapping'!$B$71:$BK$100,MATCH($B$180,'ei names mapping'!$A$4:$A$33,0),MATCH(G323,'ei names mapping'!$B$3:$BK$3,0))</f>
        <v>tyre wear emissions, passenger car</v>
      </c>
    </row>
    <row r="324" spans="1:8" x14ac:dyDescent="0.3">
      <c r="A324" s="12" t="str">
        <f>INDEX('ei names mapping'!$B$4:$BK$33,MATCH($B$180,'ei names mapping'!$A$4:$A$33,0),MATCH(G324,'ei names mapping'!$B$3:$BK$3,0))</f>
        <v>treatment of brake wear emissions, passenger car</v>
      </c>
      <c r="B324" s="15">
        <f>INDEX('vehicles specifications'!$B$3:$CK$86,MATCH(B294,'vehicles specifications'!$A$3:$A$86,0),MATCH(G324,'vehicles specifications'!$B$2:$CK$2,0))*INDEX('ei names mapping'!$B$137:$BK$220,MATCH(B294,'ei names mapping'!$A$137:$A$220,0),MATCH(G324,'ei names mapping'!$B$136:$BK$136,0))</f>
        <v>-1.8370000000000002E-6</v>
      </c>
      <c r="C324" s="12" t="str">
        <f>INDEX('ei names mapping'!$B$38:$BK$67,MATCH($B$180,'ei names mapping'!$A$4:$A$33,0),MATCH(G324,'ei names mapping'!$B$3:$BK$3,0))</f>
        <v>RER</v>
      </c>
      <c r="D324" s="12" t="str">
        <f>INDEX('ei names mapping'!$B$104:$BK$133,MATCH($B$180,'ei names mapping'!$A$4:$A$33,0),MATCH(G324,'ei names mapping'!$B$3:$BK$3,0))</f>
        <v>kilogram</v>
      </c>
      <c r="E324" s="12"/>
      <c r="F324" s="12" t="s">
        <v>91</v>
      </c>
      <c r="G324" t="s">
        <v>31</v>
      </c>
      <c r="H324" s="12" t="str">
        <f>INDEX('ei names mapping'!$B$71:$BK$100,MATCH($B$180,'ei names mapping'!$A$4:$A$33,0),MATCH(G324,'ei names mapping'!$B$3:$BK$3,0))</f>
        <v>brake wear emissions, passenger car</v>
      </c>
    </row>
    <row r="326" spans="1:8" ht="15.6" x14ac:dyDescent="0.3">
      <c r="A326" s="11" t="s">
        <v>72</v>
      </c>
      <c r="B326" s="9" t="str">
        <f>"transport, "&amp;B328&amp;", "&amp;B330&amp;", label-certified electricity"</f>
        <v>transport, Bicycle, electric (&lt;25 km/h), 2020, label-certified electricity</v>
      </c>
    </row>
    <row r="327" spans="1:8" x14ac:dyDescent="0.3">
      <c r="A327" t="s">
        <v>73</v>
      </c>
      <c r="B327" t="s">
        <v>37</v>
      </c>
    </row>
    <row r="328" spans="1:8" x14ac:dyDescent="0.3">
      <c r="A328" t="s">
        <v>87</v>
      </c>
      <c r="B328" t="s">
        <v>517</v>
      </c>
    </row>
    <row r="329" spans="1:8" x14ac:dyDescent="0.3">
      <c r="A329" t="s">
        <v>88</v>
      </c>
      <c r="B329" s="12"/>
    </row>
    <row r="330" spans="1:8" x14ac:dyDescent="0.3">
      <c r="A330" t="s">
        <v>89</v>
      </c>
      <c r="B330" s="12">
        <v>2020</v>
      </c>
    </row>
    <row r="331" spans="1:8" x14ac:dyDescent="0.3">
      <c r="A331" t="s">
        <v>131</v>
      </c>
      <c r="B331" s="12" t="str">
        <f>B328&amp;" - "&amp;B330&amp;" - "&amp;B327</f>
        <v>Bicycle, electric (&lt;25 km/h) - 2020 - CH</v>
      </c>
    </row>
    <row r="332" spans="1:8" x14ac:dyDescent="0.3">
      <c r="A332" t="s">
        <v>74</v>
      </c>
      <c r="B332" t="str">
        <f>"transport, "&amp;B328</f>
        <v>transport, Bicycle, electric (&lt;25 km/h)</v>
      </c>
    </row>
    <row r="333" spans="1:8" x14ac:dyDescent="0.3">
      <c r="A333" t="s">
        <v>75</v>
      </c>
      <c r="B333" t="s">
        <v>76</v>
      </c>
    </row>
    <row r="334" spans="1:8" x14ac:dyDescent="0.3">
      <c r="A334" t="s">
        <v>77</v>
      </c>
      <c r="B334" t="s">
        <v>172</v>
      </c>
    </row>
    <row r="335" spans="1:8" x14ac:dyDescent="0.3">
      <c r="A335" t="s">
        <v>79</v>
      </c>
      <c r="B335" t="s">
        <v>90</v>
      </c>
    </row>
    <row r="336" spans="1:8" x14ac:dyDescent="0.3">
      <c r="A336" t="s">
        <v>132</v>
      </c>
      <c r="B336">
        <f>INDEX('vehicles specifications'!$B$3:$CK$86,MATCH(B331,'vehicles specifications'!$A$3:$A$86,0),MATCH("Lifetime [km]",'vehicles specifications'!$B$2:$CK$2,0))</f>
        <v>20000</v>
      </c>
    </row>
    <row r="337" spans="1:2" x14ac:dyDescent="0.3">
      <c r="A337" t="s">
        <v>133</v>
      </c>
      <c r="B337">
        <f>INDEX('vehicles specifications'!$B$3:$CK$86,MATCH(B331,'vehicles specifications'!$A$3:$A$86,0),MATCH("Passengers [unit]",'vehicles specifications'!$B$2:$CK$2,0))</f>
        <v>1</v>
      </c>
    </row>
    <row r="338" spans="1:2" x14ac:dyDescent="0.3">
      <c r="A338" t="s">
        <v>134</v>
      </c>
      <c r="B338">
        <f>INDEX('vehicles specifications'!$B$3:$CK$86,MATCH(B331,'vehicles specifications'!$A$3:$A$86,0),MATCH("Servicing [unit]",'vehicles specifications'!$B$2:$CK$2,0))</f>
        <v>5</v>
      </c>
    </row>
    <row r="339" spans="1:2" x14ac:dyDescent="0.3">
      <c r="A339" t="s">
        <v>135</v>
      </c>
      <c r="B339">
        <f>INDEX('vehicles specifications'!$B$3:$CK$86,MATCH(B331,'vehicles specifications'!$A$3:$A$86,0),MATCH("Energy battery replacement [unit]",'vehicles specifications'!$B$2:$CK$2,0))</f>
        <v>1</v>
      </c>
    </row>
    <row r="340" spans="1:2" x14ac:dyDescent="0.3">
      <c r="A340" t="s">
        <v>136</v>
      </c>
      <c r="B340">
        <f>INDEX('vehicles specifications'!$B$3:$CK$86,MATCH(B331,'vehicles specifications'!$A$3:$A$86,0),MATCH("Annual kilometers [km]",'vehicles specifications'!$B$2:$CK$2,0))</f>
        <v>2060</v>
      </c>
    </row>
    <row r="341" spans="1:2" x14ac:dyDescent="0.3">
      <c r="A341" t="s">
        <v>137</v>
      </c>
      <c r="B341">
        <f>INDEX('vehicles specifications'!$B$3:$CK$86,MATCH(B331,'vehicles specifications'!$A$3:$A$86,0),MATCH("Curb mass [kg]",'vehicles specifications'!$B$2:$CK$2,0))</f>
        <v>23.25</v>
      </c>
    </row>
    <row r="342" spans="1:2" x14ac:dyDescent="0.3">
      <c r="A342" t="s">
        <v>138</v>
      </c>
      <c r="B342">
        <f>INDEX('vehicles specifications'!$B$3:$CK$86,MATCH(B331,'vehicles specifications'!$A$3:$A$86,0),MATCH("Power [kW]",'vehicles specifications'!$B$2:$CK$2,0))</f>
        <v>0.3</v>
      </c>
    </row>
    <row r="343" spans="1:2" x14ac:dyDescent="0.3">
      <c r="A343" t="s">
        <v>139</v>
      </c>
      <c r="B343">
        <f>INDEX('vehicles specifications'!$B$3:$CK$86,MATCH(B331,'vehicles specifications'!$A$3:$A$86,0),MATCH("Energy battery mass [kg]",'vehicles specifications'!$B$2:$CK$2,0))</f>
        <v>3.25</v>
      </c>
    </row>
    <row r="344" spans="1:2" x14ac:dyDescent="0.3">
      <c r="A344" t="s">
        <v>140</v>
      </c>
      <c r="B344">
        <f>INDEX('vehicles specifications'!$B$3:$CK$86,MATCH(B331,'vehicles specifications'!$A$3:$A$86,0),MATCH("Electric energy stored [kWh]",'vehicles specifications'!$B$2:$CK$2,0))</f>
        <v>0.5</v>
      </c>
    </row>
    <row r="345" spans="1:2" s="21" customFormat="1" x14ac:dyDescent="0.3">
      <c r="A345" s="21" t="s">
        <v>654</v>
      </c>
      <c r="B345" s="21">
        <f>INDEX('vehicles specifications'!$B$3:$CK$86,MATCH(B331,'vehicles specifications'!$A$3:$A$86,0),MATCH("Electric energy available [kWh]",'vehicles specifications'!$B$2:$CK$2,0))</f>
        <v>0.4</v>
      </c>
    </row>
    <row r="346" spans="1:2" x14ac:dyDescent="0.3">
      <c r="A346" t="s">
        <v>143</v>
      </c>
      <c r="B346">
        <f>INDEX('vehicles specifications'!$B$3:$CK$86,MATCH(B331,'vehicles specifications'!$A$3:$A$86,0),MATCH("Oxydation energy stored [kWh]",'vehicles specifications'!$B$2:$CK$2,0))</f>
        <v>0</v>
      </c>
    </row>
    <row r="347" spans="1:2" x14ac:dyDescent="0.3">
      <c r="A347" t="s">
        <v>145</v>
      </c>
      <c r="B347">
        <f>INDEX('vehicles specifications'!$B$3:$CK$86,MATCH(B331,'vehicles specifications'!$A$3:$A$86,0),MATCH("Fuel mass [kg]",'vehicles specifications'!$B$2:$CK$2,0))</f>
        <v>0</v>
      </c>
    </row>
    <row r="348" spans="1:2" x14ac:dyDescent="0.3">
      <c r="A348" t="s">
        <v>141</v>
      </c>
      <c r="B348" s="2">
        <f>INDEX('vehicles specifications'!$B$3:$CK$86,MATCH(B331,'vehicles specifications'!$A$3:$A$86,0),MATCH("Range [km]",'vehicles specifications'!$B$2:$CK$2,0))</f>
        <v>58.368978251949123</v>
      </c>
    </row>
    <row r="349" spans="1:2" x14ac:dyDescent="0.3">
      <c r="A349" t="s">
        <v>142</v>
      </c>
      <c r="B349" t="str">
        <f>INDEX('vehicles specifications'!$B$3:$CK$86,MATCH(B331,'vehicles specifications'!$A$3:$A$86,0),MATCH("Emission standard",'vehicles specifications'!$B$2:$CK$2,0))</f>
        <v>None</v>
      </c>
    </row>
    <row r="350" spans="1:2" x14ac:dyDescent="0.3">
      <c r="A350" t="s">
        <v>144</v>
      </c>
      <c r="B350" s="6">
        <f>INDEX('vehicles specifications'!$B$3:$CK$86,MATCH(B331,'vehicles specifications'!$A$3:$A$86,0),MATCH("Lightweighting rate [%]",'vehicles specifications'!$B$2:$CK$2,0))</f>
        <v>0</v>
      </c>
    </row>
    <row r="351" spans="1:2" x14ac:dyDescent="0.3">
      <c r="A351" t="s">
        <v>84</v>
      </c>
      <c r="B351" s="21" t="str">
        <f>"Power: "&amp;B342&amp;" kW. Lifetime: "&amp;B336&amp;" km. Annual kilometers: "&amp;B340&amp;" km. Number of passengers: "&amp;B337&amp;". Curb mass: "&amp;ROUND(B341,1)&amp;" kg. Lightweighting of glider: "&amp;ROUND(B350*100,0)&amp;"%. Emission standard: "&amp;B349&amp;". Service visits throughout lifetime: "&amp;ROUND(B338,1)&amp;". Range: "&amp;ROUND(B348,0)&amp;" km. Battery capacity: "&amp;ROUND(B344,1)&amp;" kWh. Available battery capacity: "&amp;B345&amp;" kWh. Battery mass: "&amp;ROUND(B343,1)&amp; " kg. Battery replacement throughout lifetime: "&amp;ROUND(B339,1)&amp;". Fuel tank capacity: "&amp;ROUND(B346,1)&amp;" kWh. Fuel mass: "&amp;ROUND(B347,1)&amp;" kg. Documentation: "&amp;Readmefirst!$B$2&amp;", "&amp;Readmefirst!$B$3&amp;". "&amp;B335</f>
        <v>Power: 0.3 kW. Lifetime: 20000 km. Annual kilometers: 2060 km. Number of passengers: 1. Curb mass: 23.3 kg. Lightweighting of glider: 0%. Emission standard: None. Service visits throughout lifetime: 5. Range: 58 km. Battery capacity: 0.5 kWh. Available battery capacity: 0.4 kWh. Battery mass: 3.3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2" spans="1:2" ht="15.6" x14ac:dyDescent="0.3">
      <c r="A352" s="11" t="s">
        <v>80</v>
      </c>
    </row>
    <row r="353" spans="1:8" x14ac:dyDescent="0.3">
      <c r="A353" t="s">
        <v>81</v>
      </c>
      <c r="B353" t="s">
        <v>82</v>
      </c>
      <c r="C353" t="s">
        <v>73</v>
      </c>
      <c r="D353" t="s">
        <v>77</v>
      </c>
      <c r="E353" t="s">
        <v>83</v>
      </c>
      <c r="F353" t="s">
        <v>75</v>
      </c>
      <c r="G353" t="s">
        <v>84</v>
      </c>
      <c r="H353" t="s">
        <v>74</v>
      </c>
    </row>
    <row r="354" spans="1:8" x14ac:dyDescent="0.3">
      <c r="A354" s="12" t="str">
        <f>B326</f>
        <v>transport, Bicycle, electric (&lt;25 km/h), 2020, label-certified electricity</v>
      </c>
      <c r="B354" s="12">
        <v>1</v>
      </c>
      <c r="C354" s="12" t="str">
        <f>B327</f>
        <v>CH</v>
      </c>
      <c r="D354" s="12" t="s">
        <v>172</v>
      </c>
      <c r="E354" s="12"/>
      <c r="F354" s="12" t="s">
        <v>85</v>
      </c>
      <c r="G354" s="12" t="s">
        <v>86</v>
      </c>
      <c r="H354" s="12" t="str">
        <f>B332</f>
        <v>transport, Bicycle, electric (&lt;25 km/h)</v>
      </c>
    </row>
    <row r="355" spans="1:8" x14ac:dyDescent="0.3">
      <c r="A355" s="12" t="str">
        <f>B328&amp;", "&amp;B330</f>
        <v>Bicycle, electric (&lt;25 km/h), 2020</v>
      </c>
      <c r="B355" s="12">
        <f>1/B336</f>
        <v>5.0000000000000002E-5</v>
      </c>
      <c r="C355" s="12" t="str">
        <f>B327</f>
        <v>CH</v>
      </c>
      <c r="D355" s="12" t="s">
        <v>77</v>
      </c>
      <c r="E355" s="12"/>
      <c r="F355" s="12" t="s">
        <v>91</v>
      </c>
      <c r="G355" s="12"/>
      <c r="H355" s="12" t="str">
        <f>RIGHT(H354,LEN(H354)-11)</f>
        <v>Bicycle, electric (&lt;25 km/h)</v>
      </c>
    </row>
    <row r="356" spans="1:8" s="21" customFormat="1" x14ac:dyDescent="0.3">
      <c r="A356" s="12" t="str">
        <f>INDEX('ei names mapping'!$B$4:$R$33,MATCH(B328,'ei names mapping'!$A$4:$A$33,0),MATCH(G356,'ei names mapping'!$B$3:$R$3,0))</f>
        <v>road construction</v>
      </c>
      <c r="B356" s="16">
        <f>INDEX('vehicles specifications'!$B$3:$CK$86,MATCH(B331,'vehicles specifications'!$A$3:$A$86,0),MATCH(G356,'vehicles specifications'!$B$2:$CK$2,0))*INDEX('ei names mapping'!$B$137:$BK$220,MATCH(B331,'ei names mapping'!$A$137:$A$220,0),MATCH(G356,'ei names mapping'!$B$136:$BK$136,0))</f>
        <v>5.061225E-5</v>
      </c>
      <c r="C356" s="12" t="str">
        <f>INDEX('ei names mapping'!$B$38:$R$67,MATCH(B328,'ei names mapping'!$A$4:$A$33,0),MATCH(G356,'ei names mapping'!$B$3:$R$3,0))</f>
        <v>CH</v>
      </c>
      <c r="D356" s="12" t="str">
        <f>INDEX('ei names mapping'!$B$104:$BK$133,MATCH(B328,'ei names mapping'!$A$4:$A$33,0),MATCH(G356,'ei names mapping'!$B$3:$BK$3,0))</f>
        <v>meter-year</v>
      </c>
      <c r="E356" s="12"/>
      <c r="F356" s="12" t="s">
        <v>91</v>
      </c>
      <c r="G356" s="21" t="s">
        <v>108</v>
      </c>
      <c r="H356" s="12" t="str">
        <f>INDEX('ei names mapping'!$B$71:$BK$100,MATCH(B328,'ei names mapping'!$A$4:$A$33,0),MATCH(G356,'ei names mapping'!$B$3:$BK$3,0))</f>
        <v>road</v>
      </c>
    </row>
    <row r="357" spans="1:8" x14ac:dyDescent="0.3">
      <c r="A357" s="12" t="s">
        <v>114</v>
      </c>
      <c r="B357" s="14">
        <f>INDEX('vehicles specifications'!$B$3:$CK$86,MATCH(B331,'vehicles specifications'!$A$3:$A$86,0),MATCH(G357,'vehicles specifications'!$B$2:$CK$2,0))*INDEX('ei names mapping'!$B$137:$BK$220,MATCH(B331,'ei names mapping'!$A$137:$A$220,0),MATCH(G357,'ei names mapping'!$B$136:$BK$136,0))</f>
        <v>7.5382508513468297E-3</v>
      </c>
      <c r="C357" s="12" t="str">
        <f>INDEX('ei names mapping'!$B$38:$R$67,MATCH($B$3,'ei names mapping'!$A$4:$A$33,0),MATCH(G357,'ei names mapping'!$B$3:$R$3,0))</f>
        <v>CH</v>
      </c>
      <c r="D357" s="12" t="str">
        <f>INDEX('ei names mapping'!$B$104:$R$133,MATCH($B$3,'ei names mapping'!$A$4:$A$33,0),MATCH(G357,'ei names mapping'!$B$3:$R$3,0))</f>
        <v>kilowatt hour</v>
      </c>
      <c r="E357" s="12"/>
      <c r="F357" s="12" t="s">
        <v>91</v>
      </c>
      <c r="G357" t="s">
        <v>28</v>
      </c>
      <c r="H357" s="12" t="s">
        <v>116</v>
      </c>
    </row>
    <row r="358" spans="1:8" x14ac:dyDescent="0.3">
      <c r="A358" s="12" t="str">
        <f>INDEX('ei names mapping'!$B$4:$R$33,MATCH($B$3,'ei names mapping'!$A$4:$A$33,0),MATCH(G358,'ei names mapping'!$B$3:$R$3,0))</f>
        <v>maintenance, electric bicycle, without battery</v>
      </c>
      <c r="B358" s="14">
        <f>INDEX('vehicles specifications'!$B$3:$CK$86,MATCH(B331,'vehicles specifications'!$A$3:$A$86,0),MATCH(G358,'vehicles specifications'!$B$2:$CK$2,0))*INDEX('ei names mapping'!$B$137:$BK$220,MATCH(B331,'ei names mapping'!$A$137:$A$220,0),MATCH(G358,'ei names mapping'!$B$136:$BK$136,0))</f>
        <v>2.5000000000000001E-4</v>
      </c>
      <c r="C358" s="12" t="str">
        <f>INDEX('ei names mapping'!$B$38:$R$67,MATCH($B$3,'ei names mapping'!$A$4:$A$33,0),MATCH(G358,'ei names mapping'!$B$3:$R$3,0))</f>
        <v>CH</v>
      </c>
      <c r="D358" s="12" t="str">
        <f>INDEX('ei names mapping'!$B$104:$R$133,MATCH($B$3,'ei names mapping'!$A$4:$A$33,0),MATCH(G358,'ei names mapping'!$B$3:$R$3,0))</f>
        <v>unit</v>
      </c>
      <c r="E358" s="12"/>
      <c r="F358" s="12" t="s">
        <v>91</v>
      </c>
      <c r="G358" t="s">
        <v>123</v>
      </c>
      <c r="H358" s="12" t="str">
        <f>INDEX('ei names mapping'!$B$71:$R$100,MATCH($B$3,'ei names mapping'!$A$4:$A$33,0),MATCH(G358,'ei names mapping'!$B$3:$R$3,0))</f>
        <v>maintenance, electric bicycle, without battery</v>
      </c>
    </row>
    <row r="359" spans="1:8" x14ac:dyDescent="0.3">
      <c r="A359" s="12" t="str">
        <f>INDEX('ei names mapping'!$B$4:$BK$33,MATCH($B$180,'ei names mapping'!$A$4:$A$33,0),MATCH(G359,'ei names mapping'!$B$3:$BK$3,0))</f>
        <v>treatment of road wear emissions, passenger car</v>
      </c>
      <c r="B359" s="15">
        <f>INDEX('vehicles specifications'!$B$3:$CK$86,MATCH(B331,'vehicles specifications'!$A$3:$A$86,0),MATCH(G359,'vehicles specifications'!$B$2:$CK$2,0))*INDEX('ei names mapping'!$B$137:$BK$220,MATCH(B331,'ei names mapping'!$A$137:$A$220,0),MATCH(G359,'ei names mapping'!$B$136:$BK$136,0))</f>
        <v>-3.0000000000000001E-6</v>
      </c>
      <c r="C359" s="12" t="str">
        <f>INDEX('ei names mapping'!$B$38:$BK$67,MATCH($B$180,'ei names mapping'!$A$4:$A$33,0),MATCH(G359,'ei names mapping'!$B$3:$BK$3,0))</f>
        <v>RER</v>
      </c>
      <c r="D359" s="12" t="str">
        <f>INDEX('ei names mapping'!$B$104:$BK$133,MATCH($B$180,'ei names mapping'!$A$4:$A$33,0),MATCH(G359,'ei names mapping'!$B$3:$BK$3,0))</f>
        <v>kilogram</v>
      </c>
      <c r="E359" s="12"/>
      <c r="F359" s="12" t="s">
        <v>91</v>
      </c>
      <c r="G359" t="s">
        <v>29</v>
      </c>
      <c r="H359" s="12" t="str">
        <f>INDEX('ei names mapping'!$B$71:$BK$100,MATCH(B328,'ei names mapping'!$A$4:$A$33,0),MATCH(G359,'ei names mapping'!$B$3:$BK$3,0))</f>
        <v>road wear emissions, passenger car</v>
      </c>
    </row>
    <row r="360" spans="1:8" x14ac:dyDescent="0.3">
      <c r="A360" s="12" t="str">
        <f>INDEX('ei names mapping'!$B$4:$BK$33,MATCH($B$180,'ei names mapping'!$A$4:$A$33,0),MATCH(G360,'ei names mapping'!$B$3:$BK$3,0))</f>
        <v>treatment of tyre wear emissions, passenger car</v>
      </c>
      <c r="B360" s="15">
        <f>INDEX('vehicles specifications'!$B$3:$CK$86,MATCH(B331,'vehicles specifications'!$A$3:$A$86,0),MATCH(G360,'vehicles specifications'!$B$2:$CK$2,0))*INDEX('ei names mapping'!$B$137:$BK$220,MATCH(B331,'ei names mapping'!$A$137:$A$220,0),MATCH(G360,'ei names mapping'!$B$136:$BK$136,0))</f>
        <v>-2.9189999999999999E-6</v>
      </c>
      <c r="C360" s="12" t="str">
        <f>INDEX('ei names mapping'!$B$38:$BK$67,MATCH($B$180,'ei names mapping'!$A$4:$A$33,0),MATCH(G360,'ei names mapping'!$B$3:$BK$3,0))</f>
        <v>RER</v>
      </c>
      <c r="D360" s="12" t="str">
        <f>INDEX('ei names mapping'!$B$104:$BK$133,MATCH($B$180,'ei names mapping'!$A$4:$A$33,0),MATCH(G360,'ei names mapping'!$B$3:$BK$3,0))</f>
        <v>kilogram</v>
      </c>
      <c r="E360" s="12"/>
      <c r="F360" s="12" t="s">
        <v>91</v>
      </c>
      <c r="G360" t="s">
        <v>30</v>
      </c>
      <c r="H360" s="12" t="str">
        <f>INDEX('ei names mapping'!$B$71:$BK$100,MATCH($B$180,'ei names mapping'!$A$4:$A$33,0),MATCH(G360,'ei names mapping'!$B$3:$BK$3,0))</f>
        <v>tyre wear emissions, passenger car</v>
      </c>
    </row>
    <row r="361" spans="1:8" x14ac:dyDescent="0.3">
      <c r="A361" s="12" t="str">
        <f>INDEX('ei names mapping'!$B$4:$BK$33,MATCH($B$180,'ei names mapping'!$A$4:$A$33,0),MATCH(G361,'ei names mapping'!$B$3:$BK$3,0))</f>
        <v>treatment of brake wear emissions, passenger car</v>
      </c>
      <c r="B361" s="15">
        <f>INDEX('vehicles specifications'!$B$3:$CK$86,MATCH(B331,'vehicles specifications'!$A$3:$A$86,0),MATCH(G361,'vehicles specifications'!$B$2:$CK$2,0))*INDEX('ei names mapping'!$B$137:$BK$220,MATCH(B331,'ei names mapping'!$A$137:$A$220,0),MATCH(G361,'ei names mapping'!$B$136:$BK$136,0))</f>
        <v>-1.8370000000000002E-6</v>
      </c>
      <c r="C361" s="12" t="str">
        <f>INDEX('ei names mapping'!$B$38:$BK$67,MATCH($B$180,'ei names mapping'!$A$4:$A$33,0),MATCH(G361,'ei names mapping'!$B$3:$BK$3,0))</f>
        <v>RER</v>
      </c>
      <c r="D361" s="12" t="str">
        <f>INDEX('ei names mapping'!$B$104:$BK$133,MATCH($B$180,'ei names mapping'!$A$4:$A$33,0),MATCH(G361,'ei names mapping'!$B$3:$BK$3,0))</f>
        <v>kilogram</v>
      </c>
      <c r="E361" s="12"/>
      <c r="F361" s="12" t="s">
        <v>91</v>
      </c>
      <c r="G361" t="s">
        <v>31</v>
      </c>
      <c r="H361" s="12" t="str">
        <f>INDEX('ei names mapping'!$B$71:$BK$100,MATCH($B$180,'ei names mapping'!$A$4:$A$33,0),MATCH(G361,'ei names mapping'!$B$3:$BK$3,0))</f>
        <v>brake wear emissions, passenger car</v>
      </c>
    </row>
    <row r="363" spans="1:8" ht="15.6" x14ac:dyDescent="0.3">
      <c r="A363" s="11" t="s">
        <v>72</v>
      </c>
      <c r="B363" s="9" t="str">
        <f>"transport, "&amp;B365&amp;", "&amp;B367&amp;", label-certified electricity"</f>
        <v>transport, Bicycle, electric (&lt;25 km/h), 2030, label-certified electricity</v>
      </c>
    </row>
    <row r="364" spans="1:8" x14ac:dyDescent="0.3">
      <c r="A364" t="s">
        <v>73</v>
      </c>
      <c r="B364" t="s">
        <v>37</v>
      </c>
    </row>
    <row r="365" spans="1:8" x14ac:dyDescent="0.3">
      <c r="A365" t="s">
        <v>87</v>
      </c>
      <c r="B365" s="21" t="s">
        <v>517</v>
      </c>
    </row>
    <row r="366" spans="1:8" x14ac:dyDescent="0.3">
      <c r="A366" t="s">
        <v>88</v>
      </c>
      <c r="B366" s="12"/>
    </row>
    <row r="367" spans="1:8" x14ac:dyDescent="0.3">
      <c r="A367" t="s">
        <v>89</v>
      </c>
      <c r="B367" s="12">
        <v>2030</v>
      </c>
    </row>
    <row r="368" spans="1:8" x14ac:dyDescent="0.3">
      <c r="A368" t="s">
        <v>131</v>
      </c>
      <c r="B368" s="12" t="str">
        <f>B365&amp;" - "&amp;B367&amp;" - "&amp;B364</f>
        <v>Bicycle, electric (&lt;25 km/h) - 2030 - CH</v>
      </c>
    </row>
    <row r="369" spans="1:2" x14ac:dyDescent="0.3">
      <c r="A369" t="s">
        <v>74</v>
      </c>
      <c r="B369" t="str">
        <f>"transport, "&amp;B365</f>
        <v>transport, Bicycle, electric (&lt;25 km/h)</v>
      </c>
    </row>
    <row r="370" spans="1:2" x14ac:dyDescent="0.3">
      <c r="A370" t="s">
        <v>75</v>
      </c>
      <c r="B370" t="s">
        <v>76</v>
      </c>
    </row>
    <row r="371" spans="1:2" x14ac:dyDescent="0.3">
      <c r="A371" t="s">
        <v>77</v>
      </c>
      <c r="B371" t="s">
        <v>172</v>
      </c>
    </row>
    <row r="372" spans="1:2" x14ac:dyDescent="0.3">
      <c r="A372" t="s">
        <v>79</v>
      </c>
      <c r="B372" t="s">
        <v>90</v>
      </c>
    </row>
    <row r="373" spans="1:2" x14ac:dyDescent="0.3">
      <c r="A373" t="s">
        <v>132</v>
      </c>
      <c r="B373">
        <f>INDEX('vehicles specifications'!$B$3:$CK$86,MATCH(B368,'vehicles specifications'!$A$3:$A$86,0),MATCH("Lifetime [km]",'vehicles specifications'!$B$2:$CK$2,0))</f>
        <v>20000</v>
      </c>
    </row>
    <row r="374" spans="1:2" x14ac:dyDescent="0.3">
      <c r="A374" t="s">
        <v>133</v>
      </c>
      <c r="B374">
        <f>INDEX('vehicles specifications'!$B$3:$CK$86,MATCH(B368,'vehicles specifications'!$A$3:$A$86,0),MATCH("Passengers [unit]",'vehicles specifications'!$B$2:$CK$2,0))</f>
        <v>1</v>
      </c>
    </row>
    <row r="375" spans="1:2" x14ac:dyDescent="0.3">
      <c r="A375" t="s">
        <v>134</v>
      </c>
      <c r="B375">
        <f>INDEX('vehicles specifications'!$B$3:$CK$86,MATCH(B368,'vehicles specifications'!$A$3:$A$86,0),MATCH("Servicing [unit]",'vehicles specifications'!$B$2:$CK$2,0))</f>
        <v>5</v>
      </c>
    </row>
    <row r="376" spans="1:2" x14ac:dyDescent="0.3">
      <c r="A376" t="s">
        <v>135</v>
      </c>
      <c r="B376">
        <f>INDEX('vehicles specifications'!$B$3:$CK$86,MATCH(B368,'vehicles specifications'!$A$3:$A$86,0),MATCH("Energy battery replacement [unit]",'vehicles specifications'!$B$2:$CK$2,0))</f>
        <v>0.5</v>
      </c>
    </row>
    <row r="377" spans="1:2" x14ac:dyDescent="0.3">
      <c r="A377" t="s">
        <v>136</v>
      </c>
      <c r="B377">
        <f>INDEX('vehicles specifications'!$B$3:$CK$86,MATCH(B368,'vehicles specifications'!$A$3:$A$86,0),MATCH("Annual kilometers [km]",'vehicles specifications'!$B$2:$CK$2,0))</f>
        <v>2060</v>
      </c>
    </row>
    <row r="378" spans="1:2" x14ac:dyDescent="0.3">
      <c r="A378" t="s">
        <v>137</v>
      </c>
      <c r="B378">
        <f>INDEX('vehicles specifications'!$B$3:$CK$86,MATCH(B368,'vehicles specifications'!$A$3:$A$86,0),MATCH("Curb mass [kg]",'vehicles specifications'!$B$2:$CK$2,0))</f>
        <v>22.886666666666663</v>
      </c>
    </row>
    <row r="379" spans="1:2" x14ac:dyDescent="0.3">
      <c r="A379" t="s">
        <v>138</v>
      </c>
      <c r="B379">
        <f>INDEX('vehicles specifications'!$B$3:$CK$86,MATCH(B368,'vehicles specifications'!$A$3:$A$86,0),MATCH("Power [kW]",'vehicles specifications'!$B$2:$CK$2,0))</f>
        <v>0.3</v>
      </c>
    </row>
    <row r="380" spans="1:2" x14ac:dyDescent="0.3">
      <c r="A380" t="s">
        <v>139</v>
      </c>
      <c r="B380">
        <f>INDEX('vehicles specifications'!$B$3:$CK$86,MATCH(B368,'vehicles specifications'!$A$3:$A$86,0),MATCH("Energy battery mass [kg]",'vehicles specifications'!$B$2:$CK$2,0))</f>
        <v>3.4666666666666668</v>
      </c>
    </row>
    <row r="381" spans="1:2" x14ac:dyDescent="0.3">
      <c r="A381" t="s">
        <v>140</v>
      </c>
      <c r="B381">
        <f>INDEX('vehicles specifications'!$B$3:$CK$86,MATCH(B368,'vehicles specifications'!$A$3:$A$86,0),MATCH("Electric energy stored [kWh]",'vehicles specifications'!$B$2:$CK$2,0))</f>
        <v>0.8</v>
      </c>
    </row>
    <row r="382" spans="1:2" s="21" customFormat="1" x14ac:dyDescent="0.3">
      <c r="A382" s="21" t="s">
        <v>654</v>
      </c>
      <c r="B382" s="21">
        <f>INDEX('vehicles specifications'!$B$3:$CK$86,MATCH(B368,'vehicles specifications'!$A$3:$A$86,0),MATCH("Electric energy available [kWh]",'vehicles specifications'!$B$2:$CK$2,0))</f>
        <v>0.64000000000000012</v>
      </c>
    </row>
    <row r="383" spans="1:2" x14ac:dyDescent="0.3">
      <c r="A383" t="s">
        <v>143</v>
      </c>
      <c r="B383">
        <f>INDEX('vehicles specifications'!$B$3:$CK$86,MATCH(B368,'vehicles specifications'!$A$3:$A$86,0),MATCH("Oxydation energy stored [kWh]",'vehicles specifications'!$B$2:$CK$2,0))</f>
        <v>0</v>
      </c>
    </row>
    <row r="384" spans="1:2" x14ac:dyDescent="0.3">
      <c r="A384" t="s">
        <v>145</v>
      </c>
      <c r="B384">
        <f>INDEX('vehicles specifications'!$B$3:$CK$86,MATCH(B368,'vehicles specifications'!$A$3:$A$86,0),MATCH("Fuel mass [kg]",'vehicles specifications'!$B$2:$CK$2,0))</f>
        <v>0</v>
      </c>
    </row>
    <row r="385" spans="1:8" x14ac:dyDescent="0.3">
      <c r="A385" t="s">
        <v>141</v>
      </c>
      <c r="B385" s="2">
        <f>INDEX('vehicles specifications'!$B$3:$CK$86,MATCH(B368,'vehicles specifications'!$A$3:$A$86,0),MATCH("Range [km]",'vehicles specifications'!$B$2:$CK$2,0))</f>
        <v>93.390365203118606</v>
      </c>
    </row>
    <row r="386" spans="1:8" x14ac:dyDescent="0.3">
      <c r="A386" t="s">
        <v>142</v>
      </c>
      <c r="B386" t="str">
        <f>INDEX('vehicles specifications'!$B$3:$CK$86,MATCH(B368,'vehicles specifications'!$A$3:$A$86,0),MATCH("Emission standard",'vehicles specifications'!$B$2:$CK$2,0))</f>
        <v>None</v>
      </c>
    </row>
    <row r="387" spans="1:8" x14ac:dyDescent="0.3">
      <c r="A387" t="s">
        <v>144</v>
      </c>
      <c r="B387" s="6">
        <f>INDEX('vehicles specifications'!$B$3:$CK$86,MATCH(B368,'vehicles specifications'!$A$3:$A$86,0),MATCH("Lightweighting rate [%]",'vehicles specifications'!$B$2:$CK$2,0))</f>
        <v>0.03</v>
      </c>
    </row>
    <row r="388" spans="1:8" x14ac:dyDescent="0.3">
      <c r="A388" t="s">
        <v>84</v>
      </c>
      <c r="B388" s="21" t="str">
        <f>"Power: "&amp;B379&amp;" kW. Lifetime: "&amp;B373&amp;" km. Annual kilometers: "&amp;B377&amp;" km. Number of passengers: "&amp;B374&amp;". Curb mass: "&amp;ROUND(B378,1)&amp;" kg. Lightweighting of glider: "&amp;ROUND(B387*100,0)&amp;"%. Emission standard: "&amp;B386&amp;". Service visits throughout lifetime: "&amp;ROUND(B375,1)&amp;". Range: "&amp;ROUND(B385,0)&amp;" km. Battery capacity: "&amp;ROUND(B381,1)&amp;" kWh. Available battery capacity: "&amp;B382&amp;" kWh. Battery mass: "&amp;ROUND(B380,1)&amp; " kg. Battery replacement throughout lifetime: "&amp;ROUND(B376,1)&amp;". Fuel tank capacity: "&amp;ROUND(B383,1)&amp;" kWh. Fuel mass: "&amp;ROUND(B384,1)&amp;" kg. Documentation: "&amp;Readmefirst!$B$2&amp;", "&amp;Readmefirst!$B$3&amp;". "&amp;B372</f>
        <v>Power: 0.3 kW. Lifetime: 20000 km. Annual kilometers: 2060 km. Number of passengers: 1. Curb mass: 22.9 kg. Lightweighting of glider: 3%. Emission standard: None. Service visits throughout lifetime: 5. Range: 93 km. Battery capacity: 0.8 kWh. Available battery capacity: 0.64 kWh. Battery mass: 3.5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89" spans="1:8" ht="15.6" x14ac:dyDescent="0.3">
      <c r="A389" s="11" t="s">
        <v>80</v>
      </c>
    </row>
    <row r="390" spans="1:8" x14ac:dyDescent="0.3">
      <c r="A390" t="s">
        <v>81</v>
      </c>
      <c r="B390" t="s">
        <v>82</v>
      </c>
      <c r="C390" t="s">
        <v>73</v>
      </c>
      <c r="D390" t="s">
        <v>77</v>
      </c>
      <c r="E390" t="s">
        <v>83</v>
      </c>
      <c r="F390" t="s">
        <v>75</v>
      </c>
      <c r="G390" t="s">
        <v>84</v>
      </c>
      <c r="H390" t="s">
        <v>74</v>
      </c>
    </row>
    <row r="391" spans="1:8" x14ac:dyDescent="0.3">
      <c r="A391" s="12" t="str">
        <f>B363</f>
        <v>transport, Bicycle, electric (&lt;25 km/h), 2030, label-certified electricity</v>
      </c>
      <c r="B391" s="12">
        <v>1</v>
      </c>
      <c r="C391" s="12" t="str">
        <f>B364</f>
        <v>CH</v>
      </c>
      <c r="D391" s="12" t="s">
        <v>172</v>
      </c>
      <c r="E391" s="12"/>
      <c r="F391" s="12" t="s">
        <v>85</v>
      </c>
      <c r="G391" s="12" t="s">
        <v>86</v>
      </c>
      <c r="H391" s="12" t="str">
        <f>B369</f>
        <v>transport, Bicycle, electric (&lt;25 km/h)</v>
      </c>
    </row>
    <row r="392" spans="1:8" x14ac:dyDescent="0.3">
      <c r="A392" s="12" t="str">
        <f>B365&amp;", "&amp;B367</f>
        <v>Bicycle, electric (&lt;25 km/h), 2030</v>
      </c>
      <c r="B392" s="12">
        <f>1/B373</f>
        <v>5.0000000000000002E-5</v>
      </c>
      <c r="C392" s="12" t="str">
        <f>B364</f>
        <v>CH</v>
      </c>
      <c r="D392" s="12" t="s">
        <v>77</v>
      </c>
      <c r="E392" s="12"/>
      <c r="F392" s="12" t="s">
        <v>91</v>
      </c>
      <c r="G392" s="12"/>
      <c r="H392" s="12" t="str">
        <f>RIGHT(H391,LEN(H391)-11)</f>
        <v>Bicycle, electric (&lt;25 km/h)</v>
      </c>
    </row>
    <row r="393" spans="1:8" s="21" customFormat="1" x14ac:dyDescent="0.3">
      <c r="A393" s="12" t="str">
        <f>INDEX('ei names mapping'!$B$4:$R$33,MATCH(B365,'ei names mapping'!$A$4:$A$33,0),MATCH(G393,'ei names mapping'!$B$3:$R$3,0))</f>
        <v>road construction</v>
      </c>
      <c r="B393" s="16">
        <f>INDEX('vehicles specifications'!$B$3:$CK$86,MATCH(B368,'vehicles specifications'!$A$3:$A$86,0),MATCH(G393,'vehicles specifications'!$B$2:$CK$2,0))*INDEX('ei names mapping'!$B$137:$BK$220,MATCH(B368,'ei names mapping'!$A$137:$A$220,0),MATCH(G393,'ei names mapping'!$B$136:$BK$136,0))</f>
        <v>5.0417139999999991E-5</v>
      </c>
      <c r="C393" s="12" t="str">
        <f>INDEX('ei names mapping'!$B$38:$R$67,MATCH(B365,'ei names mapping'!$A$4:$A$33,0),MATCH(G393,'ei names mapping'!$B$3:$R$3,0))</f>
        <v>CH</v>
      </c>
      <c r="D393" s="12" t="str">
        <f>INDEX('ei names mapping'!$B$104:$BK$133,MATCH(B365,'ei names mapping'!$A$4:$A$33,0),MATCH(G393,'ei names mapping'!$B$3:$BK$3,0))</f>
        <v>meter-year</v>
      </c>
      <c r="E393" s="12"/>
      <c r="F393" s="12" t="s">
        <v>91</v>
      </c>
      <c r="G393" s="21" t="s">
        <v>108</v>
      </c>
      <c r="H393" s="12" t="str">
        <f>INDEX('ei names mapping'!$B$71:$BK$100,MATCH(B365,'ei names mapping'!$A$4:$A$33,0),MATCH(G393,'ei names mapping'!$B$3:$BK$3,0))</f>
        <v>road</v>
      </c>
    </row>
    <row r="394" spans="1:8" x14ac:dyDescent="0.3">
      <c r="A394" s="12" t="s">
        <v>114</v>
      </c>
      <c r="B394" s="14">
        <f>INDEX('vehicles specifications'!$B$3:$CK$86,MATCH(B368,'vehicles specifications'!$A$3:$A$86,0),MATCH(G394,'vehicles specifications'!$B$2:$CK$2,0))*INDEX('ei names mapping'!$B$137:$BK$220,MATCH(B368,'ei names mapping'!$A$137:$A$220,0),MATCH(G394,'ei names mapping'!$B$136:$BK$136,0))</f>
        <v>7.5382508513468297E-3</v>
      </c>
      <c r="C394" s="12" t="str">
        <f>INDEX('ei names mapping'!$B$38:$R$67,MATCH($B$3,'ei names mapping'!$A$4:$A$33,0),MATCH(G394,'ei names mapping'!$B$3:$R$3,0))</f>
        <v>CH</v>
      </c>
      <c r="D394" s="12" t="str">
        <f>INDEX('ei names mapping'!$B$104:$R$133,MATCH($B$3,'ei names mapping'!$A$4:$A$33,0),MATCH(G394,'ei names mapping'!$B$3:$R$3,0))</f>
        <v>kilowatt hour</v>
      </c>
      <c r="E394" s="12"/>
      <c r="F394" s="12" t="s">
        <v>91</v>
      </c>
      <c r="G394" t="s">
        <v>28</v>
      </c>
      <c r="H394" s="12" t="s">
        <v>116</v>
      </c>
    </row>
    <row r="395" spans="1:8" x14ac:dyDescent="0.3">
      <c r="A395" s="12" t="str">
        <f>INDEX('ei names mapping'!$B$4:$R$33,MATCH($B$3,'ei names mapping'!$A$4:$A$33,0),MATCH(G395,'ei names mapping'!$B$3:$R$3,0))</f>
        <v>maintenance, electric bicycle, without battery</v>
      </c>
      <c r="B395" s="14">
        <f>INDEX('vehicles specifications'!$B$3:$CK$86,MATCH(B368,'vehicles specifications'!$A$3:$A$86,0),MATCH(G395,'vehicles specifications'!$B$2:$CK$2,0))*INDEX('ei names mapping'!$B$137:$BK$220,MATCH(B368,'ei names mapping'!$A$137:$A$220,0),MATCH(G395,'ei names mapping'!$B$136:$BK$136,0))</f>
        <v>2.5000000000000001E-4</v>
      </c>
      <c r="C395" s="12" t="str">
        <f>INDEX('ei names mapping'!$B$38:$R$67,MATCH($B$3,'ei names mapping'!$A$4:$A$33,0),MATCH(G395,'ei names mapping'!$B$3:$R$3,0))</f>
        <v>CH</v>
      </c>
      <c r="D395" s="12" t="str">
        <f>INDEX('ei names mapping'!$B$104:$R$133,MATCH($B$3,'ei names mapping'!$A$4:$A$33,0),MATCH(G395,'ei names mapping'!$B$3:$R$3,0))</f>
        <v>unit</v>
      </c>
      <c r="E395" s="12"/>
      <c r="F395" s="12" t="s">
        <v>91</v>
      </c>
      <c r="G395" t="s">
        <v>123</v>
      </c>
      <c r="H395" s="12" t="str">
        <f>INDEX('ei names mapping'!$B$71:$R$100,MATCH($B$3,'ei names mapping'!$A$4:$A$33,0),MATCH(G395,'ei names mapping'!$B$3:$R$3,0))</f>
        <v>maintenance, electric bicycle, without battery</v>
      </c>
    </row>
    <row r="396" spans="1:8" x14ac:dyDescent="0.3">
      <c r="A396" s="12" t="str">
        <f>INDEX('ei names mapping'!$B$4:$BK$33,MATCH($B$180,'ei names mapping'!$A$4:$A$33,0),MATCH(G396,'ei names mapping'!$B$3:$BK$3,0))</f>
        <v>treatment of road wear emissions, passenger car</v>
      </c>
      <c r="B396" s="15">
        <f>INDEX('vehicles specifications'!$B$3:$CK$86,MATCH(B368,'vehicles specifications'!$A$3:$A$86,0),MATCH(G396,'vehicles specifications'!$B$2:$CK$2,0))*INDEX('ei names mapping'!$B$137:$BK$220,MATCH(B368,'ei names mapping'!$A$137:$A$220,0),MATCH(G396,'ei names mapping'!$B$136:$BK$136,0))</f>
        <v>-3.0000000000000001E-6</v>
      </c>
      <c r="C396" s="12" t="str">
        <f>INDEX('ei names mapping'!$B$38:$BK$67,MATCH($B$180,'ei names mapping'!$A$4:$A$33,0),MATCH(G396,'ei names mapping'!$B$3:$BK$3,0))</f>
        <v>RER</v>
      </c>
      <c r="D396" s="12" t="str">
        <f>INDEX('ei names mapping'!$B$104:$BK$133,MATCH($B$180,'ei names mapping'!$A$4:$A$33,0),MATCH(G396,'ei names mapping'!$B$3:$BK$3,0))</f>
        <v>kilogram</v>
      </c>
      <c r="E396" s="12"/>
      <c r="F396" s="12" t="s">
        <v>91</v>
      </c>
      <c r="G396" t="s">
        <v>29</v>
      </c>
      <c r="H396" s="12" t="str">
        <f>INDEX('ei names mapping'!$B$71:$BK$100,MATCH(B365,'ei names mapping'!$A$4:$A$33,0),MATCH(G396,'ei names mapping'!$B$3:$BK$3,0))</f>
        <v>road wear emissions, passenger car</v>
      </c>
    </row>
    <row r="397" spans="1:8" x14ac:dyDescent="0.3">
      <c r="A397" s="12" t="str">
        <f>INDEX('ei names mapping'!$B$4:$BK$33,MATCH($B$180,'ei names mapping'!$A$4:$A$33,0),MATCH(G397,'ei names mapping'!$B$3:$BK$3,0))</f>
        <v>treatment of tyre wear emissions, passenger car</v>
      </c>
      <c r="B397" s="15">
        <f>INDEX('vehicles specifications'!$B$3:$CK$86,MATCH(B368,'vehicles specifications'!$A$3:$A$86,0),MATCH(G397,'vehicles specifications'!$B$2:$CK$2,0))*INDEX('ei names mapping'!$B$137:$BK$220,MATCH(B368,'ei names mapping'!$A$137:$A$220,0),MATCH(G397,'ei names mapping'!$B$136:$BK$136,0))</f>
        <v>-2.9189999999999999E-6</v>
      </c>
      <c r="C397" s="12" t="str">
        <f>INDEX('ei names mapping'!$B$38:$BK$67,MATCH($B$180,'ei names mapping'!$A$4:$A$33,0),MATCH(G397,'ei names mapping'!$B$3:$BK$3,0))</f>
        <v>RER</v>
      </c>
      <c r="D397" s="12" t="str">
        <f>INDEX('ei names mapping'!$B$104:$BK$133,MATCH($B$180,'ei names mapping'!$A$4:$A$33,0),MATCH(G397,'ei names mapping'!$B$3:$BK$3,0))</f>
        <v>kilogram</v>
      </c>
      <c r="E397" s="12"/>
      <c r="F397" s="12" t="s">
        <v>91</v>
      </c>
      <c r="G397" t="s">
        <v>30</v>
      </c>
      <c r="H397" s="12" t="str">
        <f>INDEX('ei names mapping'!$B$71:$BK$100,MATCH($B$180,'ei names mapping'!$A$4:$A$33,0),MATCH(G397,'ei names mapping'!$B$3:$BK$3,0))</f>
        <v>tyre wear emissions, passenger car</v>
      </c>
    </row>
    <row r="398" spans="1:8" x14ac:dyDescent="0.3">
      <c r="A398" s="12" t="str">
        <f>INDEX('ei names mapping'!$B$4:$BK$33,MATCH($B$180,'ei names mapping'!$A$4:$A$33,0),MATCH(G398,'ei names mapping'!$B$3:$BK$3,0))</f>
        <v>treatment of brake wear emissions, passenger car</v>
      </c>
      <c r="B398" s="15">
        <f>INDEX('vehicles specifications'!$B$3:$CK$86,MATCH(B368,'vehicles specifications'!$A$3:$A$86,0),MATCH(G398,'vehicles specifications'!$B$2:$CK$2,0))*INDEX('ei names mapping'!$B$137:$BK$220,MATCH(B368,'ei names mapping'!$A$137:$A$220,0),MATCH(G398,'ei names mapping'!$B$136:$BK$136,0))</f>
        <v>-1.8370000000000002E-6</v>
      </c>
      <c r="C398" s="12" t="str">
        <f>INDEX('ei names mapping'!$B$38:$BK$67,MATCH($B$180,'ei names mapping'!$A$4:$A$33,0),MATCH(G398,'ei names mapping'!$B$3:$BK$3,0))</f>
        <v>RER</v>
      </c>
      <c r="D398" s="12" t="str">
        <f>INDEX('ei names mapping'!$B$104:$BK$133,MATCH($B$180,'ei names mapping'!$A$4:$A$33,0),MATCH(G398,'ei names mapping'!$B$3:$BK$3,0))</f>
        <v>kilogram</v>
      </c>
      <c r="E398" s="12"/>
      <c r="F398" s="12" t="s">
        <v>91</v>
      </c>
      <c r="G398" t="s">
        <v>31</v>
      </c>
      <c r="H398" s="12" t="str">
        <f>INDEX('ei names mapping'!$B$71:$BK$100,MATCH($B$180,'ei names mapping'!$A$4:$A$33,0),MATCH(G398,'ei names mapping'!$B$3:$BK$3,0))</f>
        <v>brake wear emissions, passenger car</v>
      </c>
    </row>
    <row r="400" spans="1:8" ht="15.6" x14ac:dyDescent="0.3">
      <c r="A400" s="11" t="s">
        <v>72</v>
      </c>
      <c r="B400" s="9" t="str">
        <f>"transport, "&amp;B402&amp;", "&amp;B404&amp;", label-certified electricity"</f>
        <v>transport, Bicycle, electric (&lt;25 km/h), 2040, label-certified electricity</v>
      </c>
    </row>
    <row r="401" spans="1:2" x14ac:dyDescent="0.3">
      <c r="A401" t="s">
        <v>73</v>
      </c>
      <c r="B401" t="s">
        <v>37</v>
      </c>
    </row>
    <row r="402" spans="1:2" x14ac:dyDescent="0.3">
      <c r="A402" t="s">
        <v>87</v>
      </c>
      <c r="B402" s="21" t="s">
        <v>517</v>
      </c>
    </row>
    <row r="403" spans="1:2" x14ac:dyDescent="0.3">
      <c r="A403" t="s">
        <v>88</v>
      </c>
      <c r="B403" s="12"/>
    </row>
    <row r="404" spans="1:2" x14ac:dyDescent="0.3">
      <c r="A404" t="s">
        <v>89</v>
      </c>
      <c r="B404" s="12">
        <v>2040</v>
      </c>
    </row>
    <row r="405" spans="1:2" x14ac:dyDescent="0.3">
      <c r="A405" t="s">
        <v>131</v>
      </c>
      <c r="B405" s="12" t="str">
        <f>B402&amp;" - "&amp;B404&amp;" - "&amp;B401</f>
        <v>Bicycle, electric (&lt;25 km/h) - 2040 - CH</v>
      </c>
    </row>
    <row r="406" spans="1:2" x14ac:dyDescent="0.3">
      <c r="A406" t="s">
        <v>74</v>
      </c>
      <c r="B406" t="str">
        <f>"transport, "&amp;B402</f>
        <v>transport, Bicycle, electric (&lt;25 km/h)</v>
      </c>
    </row>
    <row r="407" spans="1:2" x14ac:dyDescent="0.3">
      <c r="A407" t="s">
        <v>75</v>
      </c>
      <c r="B407" t="s">
        <v>76</v>
      </c>
    </row>
    <row r="408" spans="1:2" x14ac:dyDescent="0.3">
      <c r="A408" t="s">
        <v>77</v>
      </c>
      <c r="B408" t="s">
        <v>172</v>
      </c>
    </row>
    <row r="409" spans="1:2" x14ac:dyDescent="0.3">
      <c r="A409" t="s">
        <v>79</v>
      </c>
      <c r="B409" t="s">
        <v>90</v>
      </c>
    </row>
    <row r="410" spans="1:2" x14ac:dyDescent="0.3">
      <c r="A410" t="s">
        <v>132</v>
      </c>
      <c r="B410">
        <f>INDEX('vehicles specifications'!$B$3:$CK$86,MATCH(B405,'vehicles specifications'!$A$3:$A$86,0),MATCH("Lifetime [km]",'vehicles specifications'!$B$2:$CK$2,0))</f>
        <v>20000</v>
      </c>
    </row>
    <row r="411" spans="1:2" x14ac:dyDescent="0.3">
      <c r="A411" t="s">
        <v>133</v>
      </c>
      <c r="B411">
        <f>INDEX('vehicles specifications'!$B$3:$CK$86,MATCH(B405,'vehicles specifications'!$A$3:$A$86,0),MATCH("Passengers [unit]",'vehicles specifications'!$B$2:$CK$2,0))</f>
        <v>1</v>
      </c>
    </row>
    <row r="412" spans="1:2" x14ac:dyDescent="0.3">
      <c r="A412" t="s">
        <v>134</v>
      </c>
      <c r="B412">
        <f>INDEX('vehicles specifications'!$B$3:$CK$86,MATCH(B405,'vehicles specifications'!$A$3:$A$86,0),MATCH("Servicing [unit]",'vehicles specifications'!$B$2:$CK$2,0))</f>
        <v>5</v>
      </c>
    </row>
    <row r="413" spans="1:2" x14ac:dyDescent="0.3">
      <c r="A413" t="s">
        <v>135</v>
      </c>
      <c r="B413">
        <f>INDEX('vehicles specifications'!$B$3:$CK$86,MATCH(B405,'vehicles specifications'!$A$3:$A$86,0),MATCH("Energy battery replacement [unit]",'vehicles specifications'!$B$2:$CK$2,0))</f>
        <v>0.25</v>
      </c>
    </row>
    <row r="414" spans="1:2" x14ac:dyDescent="0.3">
      <c r="A414" t="s">
        <v>136</v>
      </c>
      <c r="B414">
        <f>INDEX('vehicles specifications'!$B$3:$CK$86,MATCH(B405,'vehicles specifications'!$A$3:$A$86,0),MATCH("Annual kilometers [km]",'vehicles specifications'!$B$2:$CK$2,0))</f>
        <v>2060</v>
      </c>
    </row>
    <row r="415" spans="1:2" x14ac:dyDescent="0.3">
      <c r="A415" t="s">
        <v>137</v>
      </c>
      <c r="B415">
        <f>INDEX('vehicles specifications'!$B$3:$CK$86,MATCH(B405,'vehicles specifications'!$A$3:$A$86,0),MATCH("Curb mass [kg]",'vehicles specifications'!$B$2:$CK$2,0))</f>
        <v>22.9</v>
      </c>
    </row>
    <row r="416" spans="1:2" x14ac:dyDescent="0.3">
      <c r="A416" t="s">
        <v>138</v>
      </c>
      <c r="B416">
        <f>INDEX('vehicles specifications'!$B$3:$CK$86,MATCH(B405,'vehicles specifications'!$A$3:$A$86,0),MATCH("Power [kW]",'vehicles specifications'!$B$2:$CK$2,0))</f>
        <v>0.3</v>
      </c>
    </row>
    <row r="417" spans="1:8" x14ac:dyDescent="0.3">
      <c r="A417" t="s">
        <v>139</v>
      </c>
      <c r="B417">
        <f>INDEX('vehicles specifications'!$B$3:$CK$86,MATCH(B405,'vehicles specifications'!$A$3:$A$86,0),MATCH("Energy battery mass [kg]",'vehicles specifications'!$B$2:$CK$2,0))</f>
        <v>3.8999999999999995</v>
      </c>
    </row>
    <row r="418" spans="1:8" x14ac:dyDescent="0.3">
      <c r="A418" t="s">
        <v>140</v>
      </c>
      <c r="B418">
        <f>INDEX('vehicles specifications'!$B$3:$CK$86,MATCH(B405,'vehicles specifications'!$A$3:$A$86,0),MATCH("Electric energy stored [kWh]",'vehicles specifications'!$B$2:$CK$2,0))</f>
        <v>1.2</v>
      </c>
    </row>
    <row r="419" spans="1:8" s="21" customFormat="1" x14ac:dyDescent="0.3">
      <c r="A419" s="21" t="s">
        <v>654</v>
      </c>
      <c r="B419" s="21">
        <f>INDEX('vehicles specifications'!$B$3:$CK$86,MATCH(B405,'vehicles specifications'!$A$3:$A$86,0),MATCH("Electric energy available [kWh]",'vehicles specifications'!$B$2:$CK$2,0))</f>
        <v>0.96</v>
      </c>
    </row>
    <row r="420" spans="1:8" x14ac:dyDescent="0.3">
      <c r="A420" t="s">
        <v>143</v>
      </c>
      <c r="B420">
        <f>INDEX('vehicles specifications'!$B$3:$CK$86,MATCH(B405,'vehicles specifications'!$A$3:$A$86,0),MATCH("Oxydation energy stored [kWh]",'vehicles specifications'!$B$2:$CK$2,0))</f>
        <v>0</v>
      </c>
    </row>
    <row r="421" spans="1:8" x14ac:dyDescent="0.3">
      <c r="A421" t="s">
        <v>145</v>
      </c>
      <c r="B421">
        <f>INDEX('vehicles specifications'!$B$3:$CK$86,MATCH(B405,'vehicles specifications'!$A$3:$A$86,0),MATCH("Fuel mass [kg]",'vehicles specifications'!$B$2:$CK$2,0))</f>
        <v>0</v>
      </c>
    </row>
    <row r="422" spans="1:8" x14ac:dyDescent="0.3">
      <c r="A422" t="s">
        <v>141</v>
      </c>
      <c r="B422" s="2">
        <f>INDEX('vehicles specifications'!$B$3:$CK$86,MATCH(B405,'vehicles specifications'!$A$3:$A$86,0),MATCH("Range [km]",'vehicles specifications'!$B$2:$CK$2,0))</f>
        <v>140.08554780467787</v>
      </c>
    </row>
    <row r="423" spans="1:8" x14ac:dyDescent="0.3">
      <c r="A423" t="s">
        <v>142</v>
      </c>
      <c r="B423" t="str">
        <f>INDEX('vehicles specifications'!$B$3:$CK$86,MATCH(B405,'vehicles specifications'!$A$3:$A$86,0),MATCH("Emission standard",'vehicles specifications'!$B$2:$CK$2,0))</f>
        <v>None</v>
      </c>
    </row>
    <row r="424" spans="1:8" x14ac:dyDescent="0.3">
      <c r="A424" t="s">
        <v>144</v>
      </c>
      <c r="B424" s="6">
        <f>INDEX('vehicles specifications'!$B$3:$CK$86,MATCH(B405,'vehicles specifications'!$A$3:$A$86,0),MATCH("Lightweighting rate [%]",'vehicles specifications'!$B$2:$CK$2,0))</f>
        <v>0.05</v>
      </c>
    </row>
    <row r="425" spans="1:8" x14ac:dyDescent="0.3">
      <c r="A425" t="s">
        <v>84</v>
      </c>
      <c r="B425" s="21" t="str">
        <f>"Power: "&amp;B416&amp;" kW. Lifetime: "&amp;B410&amp;" km. Annual kilometers: "&amp;B414&amp;" km. Number of passengers: "&amp;B411&amp;". Curb mass: "&amp;ROUND(B415,1)&amp;" kg. Lightweighting of glider: "&amp;ROUND(B424*100,0)&amp;"%. Emission standard: "&amp;B423&amp;". Service visits throughout lifetime: "&amp;ROUND(B412,1)&amp;". Range: "&amp;ROUND(B422,0)&amp;" km. Battery capacity: "&amp;ROUND(B418,1)&amp;" kWh. Available battery capacity: "&amp;B419&amp;" kWh. Battery mass: "&amp;ROUND(B417,1)&amp; " kg. Battery replacement throughout lifetime: "&amp;ROUND(B413,1)&amp;". Fuel tank capacity: "&amp;ROUND(B420,1)&amp;" kWh. Fuel mass: "&amp;ROUND(B421,1)&amp;" kg. Documentation: "&amp;Readmefirst!$B$2&amp;", "&amp;Readmefirst!$B$3&amp;". "&amp;B409</f>
        <v>Power: 0.3 kW. Lifetime: 20000 km. Annual kilometers: 2060 km. Number of passengers: 1. Curb mass: 22.9 kg. Lightweighting of glider: 5%. Emission standard: None. Service visits throughout lifetime: 5. Range: 140 km. Battery capacity: 1.2 kWh. Available battery capacity: 0.96 kWh. Battery mass: 3.9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26" spans="1:8" ht="15.6" x14ac:dyDescent="0.3">
      <c r="A426" s="11" t="s">
        <v>80</v>
      </c>
    </row>
    <row r="427" spans="1:8" x14ac:dyDescent="0.3">
      <c r="A427" t="s">
        <v>81</v>
      </c>
      <c r="B427" t="s">
        <v>82</v>
      </c>
      <c r="C427" t="s">
        <v>73</v>
      </c>
      <c r="D427" t="s">
        <v>77</v>
      </c>
      <c r="E427" t="s">
        <v>83</v>
      </c>
      <c r="F427" t="s">
        <v>75</v>
      </c>
      <c r="G427" t="s">
        <v>84</v>
      </c>
      <c r="H427" t="s">
        <v>74</v>
      </c>
    </row>
    <row r="428" spans="1:8" x14ac:dyDescent="0.3">
      <c r="A428" s="12" t="str">
        <f>B400</f>
        <v>transport, Bicycle, electric (&lt;25 km/h), 2040, label-certified electricity</v>
      </c>
      <c r="B428" s="12">
        <v>1</v>
      </c>
      <c r="C428" s="12" t="str">
        <f>B401</f>
        <v>CH</v>
      </c>
      <c r="D428" s="12" t="s">
        <v>172</v>
      </c>
      <c r="E428" s="12"/>
      <c r="F428" s="12" t="s">
        <v>85</v>
      </c>
      <c r="G428" s="12" t="s">
        <v>86</v>
      </c>
      <c r="H428" s="12" t="str">
        <f>B406</f>
        <v>transport, Bicycle, electric (&lt;25 km/h)</v>
      </c>
    </row>
    <row r="429" spans="1:8" x14ac:dyDescent="0.3">
      <c r="A429" s="12" t="str">
        <f>B402&amp;", "&amp;B404</f>
        <v>Bicycle, electric (&lt;25 km/h), 2040</v>
      </c>
      <c r="B429" s="12">
        <f>1/B410</f>
        <v>5.0000000000000002E-5</v>
      </c>
      <c r="C429" s="12" t="str">
        <f>B401</f>
        <v>CH</v>
      </c>
      <c r="D429" s="12" t="s">
        <v>77</v>
      </c>
      <c r="E429" s="12"/>
      <c r="F429" s="12" t="s">
        <v>91</v>
      </c>
      <c r="G429" s="12"/>
      <c r="H429" s="12" t="str">
        <f>RIGHT(H428,LEN(H428)-11)</f>
        <v>Bicycle, electric (&lt;25 km/h)</v>
      </c>
    </row>
    <row r="430" spans="1:8" s="21" customFormat="1" x14ac:dyDescent="0.3">
      <c r="A430" s="12" t="str">
        <f>INDEX('ei names mapping'!$B$4:$R$33,MATCH(B402,'ei names mapping'!$A$4:$A$33,0),MATCH(G430,'ei names mapping'!$B$3:$R$3,0))</f>
        <v>road construction</v>
      </c>
      <c r="B430" s="16">
        <f>INDEX('vehicles specifications'!$B$3:$CK$86,MATCH(B405,'vehicles specifications'!$A$3:$A$86,0),MATCH(G430,'vehicles specifications'!$B$2:$CK$2,0))*INDEX('ei names mapping'!$B$137:$BK$220,MATCH(B405,'ei names mapping'!$A$137:$A$220,0),MATCH(G430,'ei names mapping'!$B$136:$BK$136,0))</f>
        <v>5.0424300000000004E-5</v>
      </c>
      <c r="C430" s="12" t="str">
        <f>INDEX('ei names mapping'!$B$38:$R$67,MATCH(B402,'ei names mapping'!$A$4:$A$33,0),MATCH(G430,'ei names mapping'!$B$3:$R$3,0))</f>
        <v>CH</v>
      </c>
      <c r="D430" s="12" t="str">
        <f>INDEX('ei names mapping'!$B$104:$BK$133,MATCH(B402,'ei names mapping'!$A$4:$A$33,0),MATCH(G430,'ei names mapping'!$B$3:$BK$3,0))</f>
        <v>meter-year</v>
      </c>
      <c r="E430" s="12"/>
      <c r="F430" s="12" t="s">
        <v>91</v>
      </c>
      <c r="G430" s="21" t="s">
        <v>108</v>
      </c>
      <c r="H430" s="12" t="str">
        <f>INDEX('ei names mapping'!$B$71:$BK$100,MATCH(B402,'ei names mapping'!$A$4:$A$33,0),MATCH(G430,'ei names mapping'!$B$3:$BK$3,0))</f>
        <v>road</v>
      </c>
    </row>
    <row r="431" spans="1:8" x14ac:dyDescent="0.3">
      <c r="A431" s="12" t="s">
        <v>114</v>
      </c>
      <c r="B431" s="14">
        <f>INDEX('vehicles specifications'!$B$3:$CK$86,MATCH(B405,'vehicles specifications'!$A$3:$A$86,0),MATCH(G431,'vehicles specifications'!$B$2:$CK$2,0))*INDEX('ei names mapping'!$B$137:$BK$220,MATCH(B405,'ei names mapping'!$A$137:$A$220,0),MATCH(G431,'ei names mapping'!$B$136:$BK$136,0))</f>
        <v>7.5382508513468297E-3</v>
      </c>
      <c r="C431" s="12" t="str">
        <f>INDEX('ei names mapping'!$B$38:$R$67,MATCH($B$3,'ei names mapping'!$A$4:$A$33,0),MATCH(G431,'ei names mapping'!$B$3:$R$3,0))</f>
        <v>CH</v>
      </c>
      <c r="D431" s="12" t="str">
        <f>INDEX('ei names mapping'!$B$104:$R$133,MATCH($B$3,'ei names mapping'!$A$4:$A$33,0),MATCH(G431,'ei names mapping'!$B$3:$R$3,0))</f>
        <v>kilowatt hour</v>
      </c>
      <c r="E431" s="12"/>
      <c r="F431" s="12" t="s">
        <v>91</v>
      </c>
      <c r="G431" t="s">
        <v>28</v>
      </c>
      <c r="H431" s="12" t="s">
        <v>116</v>
      </c>
    </row>
    <row r="432" spans="1:8" x14ac:dyDescent="0.3">
      <c r="A432" s="12" t="str">
        <f>INDEX('ei names mapping'!$B$4:$R$33,MATCH($B$3,'ei names mapping'!$A$4:$A$33,0),MATCH(G432,'ei names mapping'!$B$3:$R$3,0))</f>
        <v>maintenance, electric bicycle, without battery</v>
      </c>
      <c r="B432" s="14">
        <f>INDEX('vehicles specifications'!$B$3:$CK$86,MATCH(B405,'vehicles specifications'!$A$3:$A$86,0),MATCH(G432,'vehicles specifications'!$B$2:$CK$2,0))*INDEX('ei names mapping'!$B$137:$BK$220,MATCH(B405,'ei names mapping'!$A$137:$A$220,0),MATCH(G432,'ei names mapping'!$B$136:$BK$136,0))</f>
        <v>2.5000000000000001E-4</v>
      </c>
      <c r="C432" s="12" t="str">
        <f>INDEX('ei names mapping'!$B$38:$R$67,MATCH($B$3,'ei names mapping'!$A$4:$A$33,0),MATCH(G432,'ei names mapping'!$B$3:$R$3,0))</f>
        <v>CH</v>
      </c>
      <c r="D432" s="12" t="str">
        <f>INDEX('ei names mapping'!$B$104:$R$133,MATCH($B$3,'ei names mapping'!$A$4:$A$33,0),MATCH(G432,'ei names mapping'!$B$3:$R$3,0))</f>
        <v>unit</v>
      </c>
      <c r="E432" s="12"/>
      <c r="F432" s="12" t="s">
        <v>91</v>
      </c>
      <c r="G432" t="s">
        <v>123</v>
      </c>
      <c r="H432" s="12" t="str">
        <f>INDEX('ei names mapping'!$B$71:$R$100,MATCH($B$3,'ei names mapping'!$A$4:$A$33,0),MATCH(G432,'ei names mapping'!$B$3:$R$3,0))</f>
        <v>maintenance, electric bicycle, without battery</v>
      </c>
    </row>
    <row r="433" spans="1:8" x14ac:dyDescent="0.3">
      <c r="A433" s="12" t="str">
        <f>INDEX('ei names mapping'!$B$4:$BK$33,MATCH($B$180,'ei names mapping'!$A$4:$A$33,0),MATCH(G433,'ei names mapping'!$B$3:$BK$3,0))</f>
        <v>treatment of road wear emissions, passenger car</v>
      </c>
      <c r="B433" s="15">
        <f>INDEX('vehicles specifications'!$B$3:$CK$86,MATCH(B405,'vehicles specifications'!$A$3:$A$86,0),MATCH(G433,'vehicles specifications'!$B$2:$CK$2,0))*INDEX('ei names mapping'!$B$137:$BK$220,MATCH(B405,'ei names mapping'!$A$137:$A$220,0),MATCH(G433,'ei names mapping'!$B$136:$BK$136,0))</f>
        <v>-3.0000000000000001E-6</v>
      </c>
      <c r="C433" s="12" t="str">
        <f>INDEX('ei names mapping'!$B$38:$BK$67,MATCH($B$180,'ei names mapping'!$A$4:$A$33,0),MATCH(G433,'ei names mapping'!$B$3:$BK$3,0))</f>
        <v>RER</v>
      </c>
      <c r="D433" s="12" t="str">
        <f>INDEX('ei names mapping'!$B$104:$BK$133,MATCH($B$180,'ei names mapping'!$A$4:$A$33,0),MATCH(G433,'ei names mapping'!$B$3:$BK$3,0))</f>
        <v>kilogram</v>
      </c>
      <c r="E433" s="12"/>
      <c r="F433" s="12" t="s">
        <v>91</v>
      </c>
      <c r="G433" t="s">
        <v>29</v>
      </c>
      <c r="H433" s="12" t="str">
        <f>INDEX('ei names mapping'!$B$71:$BK$100,MATCH(B402,'ei names mapping'!$A$4:$A$33,0),MATCH(G433,'ei names mapping'!$B$3:$BK$3,0))</f>
        <v>road wear emissions, passenger car</v>
      </c>
    </row>
    <row r="434" spans="1:8" x14ac:dyDescent="0.3">
      <c r="A434" s="12" t="str">
        <f>INDEX('ei names mapping'!$B$4:$BK$33,MATCH($B$180,'ei names mapping'!$A$4:$A$33,0),MATCH(G434,'ei names mapping'!$B$3:$BK$3,0))</f>
        <v>treatment of tyre wear emissions, passenger car</v>
      </c>
      <c r="B434" s="15">
        <f>INDEX('vehicles specifications'!$B$3:$CK$86,MATCH(B405,'vehicles specifications'!$A$3:$A$86,0),MATCH(G434,'vehicles specifications'!$B$2:$CK$2,0))*INDEX('ei names mapping'!$B$137:$BK$220,MATCH(B405,'ei names mapping'!$A$137:$A$220,0),MATCH(G434,'ei names mapping'!$B$136:$BK$136,0))</f>
        <v>-2.9189999999999999E-6</v>
      </c>
      <c r="C434" s="12" t="str">
        <f>INDEX('ei names mapping'!$B$38:$BK$67,MATCH($B$180,'ei names mapping'!$A$4:$A$33,0),MATCH(G434,'ei names mapping'!$B$3:$BK$3,0))</f>
        <v>RER</v>
      </c>
      <c r="D434" s="12" t="str">
        <f>INDEX('ei names mapping'!$B$104:$BK$133,MATCH($B$180,'ei names mapping'!$A$4:$A$33,0),MATCH(G434,'ei names mapping'!$B$3:$BK$3,0))</f>
        <v>kilogram</v>
      </c>
      <c r="E434" s="12"/>
      <c r="F434" s="12" t="s">
        <v>91</v>
      </c>
      <c r="G434" t="s">
        <v>30</v>
      </c>
      <c r="H434" s="12" t="str">
        <f>INDEX('ei names mapping'!$B$71:$BK$100,MATCH($B$180,'ei names mapping'!$A$4:$A$33,0),MATCH(G434,'ei names mapping'!$B$3:$BK$3,0))</f>
        <v>tyre wear emissions, passenger car</v>
      </c>
    </row>
    <row r="435" spans="1:8" x14ac:dyDescent="0.3">
      <c r="A435" s="12" t="str">
        <f>INDEX('ei names mapping'!$B$4:$BK$33,MATCH($B$180,'ei names mapping'!$A$4:$A$33,0),MATCH(G435,'ei names mapping'!$B$3:$BK$3,0))</f>
        <v>treatment of brake wear emissions, passenger car</v>
      </c>
      <c r="B435" s="15">
        <f>INDEX('vehicles specifications'!$B$3:$CK$86,MATCH(B405,'vehicles specifications'!$A$3:$A$86,0),MATCH(G435,'vehicles specifications'!$B$2:$CK$2,0))*INDEX('ei names mapping'!$B$137:$BK$220,MATCH(B405,'ei names mapping'!$A$137:$A$220,0),MATCH(G435,'ei names mapping'!$B$136:$BK$136,0))</f>
        <v>-1.8370000000000002E-6</v>
      </c>
      <c r="C435" s="12" t="str">
        <f>INDEX('ei names mapping'!$B$38:$BK$67,MATCH($B$180,'ei names mapping'!$A$4:$A$33,0),MATCH(G435,'ei names mapping'!$B$3:$BK$3,0))</f>
        <v>RER</v>
      </c>
      <c r="D435" s="12" t="str">
        <f>INDEX('ei names mapping'!$B$104:$BK$133,MATCH($B$180,'ei names mapping'!$A$4:$A$33,0),MATCH(G435,'ei names mapping'!$B$3:$BK$3,0))</f>
        <v>kilogram</v>
      </c>
      <c r="E435" s="12"/>
      <c r="F435" s="12" t="s">
        <v>91</v>
      </c>
      <c r="G435" t="s">
        <v>31</v>
      </c>
      <c r="H435" s="12" t="str">
        <f>INDEX('ei names mapping'!$B$71:$BK$100,MATCH($B$180,'ei names mapping'!$A$4:$A$33,0),MATCH(G435,'ei names mapping'!$B$3:$BK$3,0))</f>
        <v>brake wear emissions, passenger car</v>
      </c>
    </row>
    <row r="437" spans="1:8" ht="15.6" x14ac:dyDescent="0.3">
      <c r="A437" s="11" t="s">
        <v>72</v>
      </c>
      <c r="B437" s="9" t="str">
        <f>"transport, "&amp;B439&amp;", "&amp;B441&amp;", label-certified electricity"</f>
        <v>transport, Bicycle, electric (&lt;25 km/h), 2050, label-certified electricity</v>
      </c>
    </row>
    <row r="438" spans="1:8" x14ac:dyDescent="0.3">
      <c r="A438" t="s">
        <v>73</v>
      </c>
      <c r="B438" t="s">
        <v>37</v>
      </c>
    </row>
    <row r="439" spans="1:8" x14ac:dyDescent="0.3">
      <c r="A439" t="s">
        <v>87</v>
      </c>
      <c r="B439" s="21" t="s">
        <v>517</v>
      </c>
    </row>
    <row r="440" spans="1:8" x14ac:dyDescent="0.3">
      <c r="A440" t="s">
        <v>88</v>
      </c>
      <c r="B440" s="12"/>
    </row>
    <row r="441" spans="1:8" x14ac:dyDescent="0.3">
      <c r="A441" t="s">
        <v>89</v>
      </c>
      <c r="B441" s="12">
        <v>2050</v>
      </c>
    </row>
    <row r="442" spans="1:8" x14ac:dyDescent="0.3">
      <c r="A442" t="s">
        <v>131</v>
      </c>
      <c r="B442" s="12" t="str">
        <f>B439&amp;" - "&amp;B441&amp;" - "&amp;B438</f>
        <v>Bicycle, electric (&lt;25 km/h) - 2050 - CH</v>
      </c>
    </row>
    <row r="443" spans="1:8" x14ac:dyDescent="0.3">
      <c r="A443" t="s">
        <v>74</v>
      </c>
      <c r="B443" t="str">
        <f>"transport, "&amp;B439</f>
        <v>transport, Bicycle, electric (&lt;25 km/h)</v>
      </c>
    </row>
    <row r="444" spans="1:8" x14ac:dyDescent="0.3">
      <c r="A444" t="s">
        <v>75</v>
      </c>
      <c r="B444" t="s">
        <v>76</v>
      </c>
    </row>
    <row r="445" spans="1:8" x14ac:dyDescent="0.3">
      <c r="A445" t="s">
        <v>77</v>
      </c>
      <c r="B445" t="s">
        <v>172</v>
      </c>
    </row>
    <row r="446" spans="1:8" x14ac:dyDescent="0.3">
      <c r="A446" t="s">
        <v>79</v>
      </c>
      <c r="B446" t="s">
        <v>90</v>
      </c>
    </row>
    <row r="447" spans="1:8" x14ac:dyDescent="0.3">
      <c r="A447" t="s">
        <v>132</v>
      </c>
      <c r="B447">
        <f>INDEX('vehicles specifications'!$B$3:$CK$86,MATCH(B442,'vehicles specifications'!$A$3:$A$86,0),MATCH("Lifetime [km]",'vehicles specifications'!$B$2:$CK$2,0))</f>
        <v>20000</v>
      </c>
    </row>
    <row r="448" spans="1:8" x14ac:dyDescent="0.3">
      <c r="A448" t="s">
        <v>133</v>
      </c>
      <c r="B448">
        <f>INDEX('vehicles specifications'!$B$3:$CK$86,MATCH(B442,'vehicles specifications'!$A$3:$A$86,0),MATCH("Passengers [unit]",'vehicles specifications'!$B$2:$CK$2,0))</f>
        <v>1</v>
      </c>
    </row>
    <row r="449" spans="1:8" x14ac:dyDescent="0.3">
      <c r="A449" t="s">
        <v>134</v>
      </c>
      <c r="B449">
        <f>INDEX('vehicles specifications'!$B$3:$CK$86,MATCH(B442,'vehicles specifications'!$A$3:$A$86,0),MATCH("Servicing [unit]",'vehicles specifications'!$B$2:$CK$2,0))</f>
        <v>5</v>
      </c>
    </row>
    <row r="450" spans="1:8" x14ac:dyDescent="0.3">
      <c r="A450" t="s">
        <v>135</v>
      </c>
      <c r="B450">
        <f>INDEX('vehicles specifications'!$B$3:$CK$86,MATCH(B442,'vehicles specifications'!$A$3:$A$86,0),MATCH("Energy battery replacement [unit]",'vehicles specifications'!$B$2:$CK$2,0))</f>
        <v>0</v>
      </c>
    </row>
    <row r="451" spans="1:8" x14ac:dyDescent="0.3">
      <c r="A451" t="s">
        <v>136</v>
      </c>
      <c r="B451">
        <f>INDEX('vehicles specifications'!$B$3:$CK$86,MATCH(B442,'vehicles specifications'!$A$3:$A$86,0),MATCH("Annual kilometers [km]",'vehicles specifications'!$B$2:$CK$2,0))</f>
        <v>2060</v>
      </c>
    </row>
    <row r="452" spans="1:8" x14ac:dyDescent="0.3">
      <c r="A452" t="s">
        <v>137</v>
      </c>
      <c r="B452">
        <f>INDEX('vehicles specifications'!$B$3:$CK$86,MATCH(B442,'vehicles specifications'!$A$3:$A$86,0),MATCH("Curb mass [kg]",'vehicles specifications'!$B$2:$CK$2,0))</f>
        <v>22.74</v>
      </c>
    </row>
    <row r="453" spans="1:8" x14ac:dyDescent="0.3">
      <c r="A453" t="s">
        <v>138</v>
      </c>
      <c r="B453">
        <f>INDEX('vehicles specifications'!$B$3:$CK$86,MATCH(B442,'vehicles specifications'!$A$3:$A$86,0),MATCH("Power [kW]",'vehicles specifications'!$B$2:$CK$2,0))</f>
        <v>0.3</v>
      </c>
    </row>
    <row r="454" spans="1:8" x14ac:dyDescent="0.3">
      <c r="A454" t="s">
        <v>139</v>
      </c>
      <c r="B454">
        <f>INDEX('vehicles specifications'!$B$3:$CK$86,MATCH(B442,'vehicles specifications'!$A$3:$A$86,0),MATCH("Energy battery mass [kg]",'vehicles specifications'!$B$2:$CK$2,0))</f>
        <v>4.16</v>
      </c>
    </row>
    <row r="455" spans="1:8" x14ac:dyDescent="0.3">
      <c r="A455" t="s">
        <v>140</v>
      </c>
      <c r="B455">
        <f>INDEX('vehicles specifications'!$B$3:$CK$86,MATCH(B442,'vehicles specifications'!$A$3:$A$86,0),MATCH("Electric energy stored [kWh]",'vehicles specifications'!$B$2:$CK$2,0))</f>
        <v>1.6</v>
      </c>
    </row>
    <row r="456" spans="1:8" s="21" customFormat="1" x14ac:dyDescent="0.3">
      <c r="A456" s="21" t="s">
        <v>654</v>
      </c>
      <c r="B456" s="21">
        <f>INDEX('vehicles specifications'!$B$3:$CK$86,MATCH(B442,'vehicles specifications'!$A$3:$A$86,0),MATCH("Electric energy available [kWh]",'vehicles specifications'!$B$2:$CK$2,0))</f>
        <v>1.2800000000000002</v>
      </c>
    </row>
    <row r="457" spans="1:8" x14ac:dyDescent="0.3">
      <c r="A457" t="s">
        <v>143</v>
      </c>
      <c r="B457">
        <f>INDEX('vehicles specifications'!$B$3:$CK$86,MATCH(B442,'vehicles specifications'!$A$3:$A$86,0),MATCH("Oxydation energy stored [kWh]",'vehicles specifications'!$B$2:$CK$2,0))</f>
        <v>0</v>
      </c>
    </row>
    <row r="458" spans="1:8" x14ac:dyDescent="0.3">
      <c r="A458" t="s">
        <v>145</v>
      </c>
      <c r="B458">
        <f>INDEX('vehicles specifications'!$B$3:$CK$86,MATCH(B442,'vehicles specifications'!$A$3:$A$86,0),MATCH("Fuel mass [kg]",'vehicles specifications'!$B$2:$CK$2,0))</f>
        <v>0</v>
      </c>
    </row>
    <row r="459" spans="1:8" x14ac:dyDescent="0.3">
      <c r="A459" t="s">
        <v>141</v>
      </c>
      <c r="B459" s="2">
        <f>INDEX('vehicles specifications'!$B$3:$CK$86,MATCH(B442,'vehicles specifications'!$A$3:$A$86,0),MATCH("Range [km]",'vehicles specifications'!$B$2:$CK$2,0))</f>
        <v>186.78073040623721</v>
      </c>
    </row>
    <row r="460" spans="1:8" x14ac:dyDescent="0.3">
      <c r="A460" t="s">
        <v>142</v>
      </c>
      <c r="B460" t="str">
        <f>INDEX('vehicles specifications'!$B$3:$CK$86,MATCH(B442,'vehicles specifications'!$A$3:$A$86,0),MATCH("Emission standard",'vehicles specifications'!$B$2:$CK$2,0))</f>
        <v>None</v>
      </c>
    </row>
    <row r="461" spans="1:8" x14ac:dyDescent="0.3">
      <c r="A461" t="s">
        <v>144</v>
      </c>
      <c r="B461" s="6">
        <f>INDEX('vehicles specifications'!$B$3:$CK$86,MATCH(B442,'vehicles specifications'!$A$3:$A$86,0),MATCH("Lightweighting rate [%]",'vehicles specifications'!$B$2:$CK$2,0))</f>
        <v>7.0000000000000007E-2</v>
      </c>
    </row>
    <row r="462" spans="1:8" x14ac:dyDescent="0.3">
      <c r="A462" t="s">
        <v>84</v>
      </c>
      <c r="B462" s="21" t="str">
        <f>"Power: "&amp;B453&amp;" kW. Lifetime: "&amp;B447&amp;" km. Annual kilometers: "&amp;B451&amp;" km. Number of passengers: "&amp;B448&amp;". Curb mass: "&amp;ROUND(B452,1)&amp;" kg. Lightweighting of glider: "&amp;ROUND(B461*100,0)&amp;"%. Emission standard: "&amp;B460&amp;". Service visits throughout lifetime: "&amp;ROUND(B449,1)&amp;". Range: "&amp;ROUND(B459,0)&amp;" km. Battery capacity: "&amp;ROUND(B455,1)&amp;" kWh. Available battery capacity: "&amp;B456&amp;" kWh. Battery mass: "&amp;ROUND(B454,1)&amp; " kg. Battery replacement throughout lifetime: "&amp;ROUND(B450,1)&amp;". Fuel tank capacity: "&amp;ROUND(B457,1)&amp;" kWh. Fuel mass: "&amp;ROUND(B458,1)&amp;" kg. Documentation: "&amp;Readmefirst!$B$2&amp;", "&amp;Readmefirst!$B$3&amp;". "&amp;B446</f>
        <v>Power: 0.3 kW. Lifetime: 20000 km. Annual kilometers: 2060 km. Number of passengers: 1. Curb mass: 22.7 kg. Lightweighting of glider: 7%. Emission standard: None. Service visits throughout lifetime: 5. Range: 187 km. Battery capacity: 1.6 kWh. Available battery capacity: 1.28 kWh. Battery mass: 4.2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63" spans="1:8" ht="15.6" x14ac:dyDescent="0.3">
      <c r="A463" s="11" t="s">
        <v>80</v>
      </c>
    </row>
    <row r="464" spans="1:8" x14ac:dyDescent="0.3">
      <c r="A464" t="s">
        <v>81</v>
      </c>
      <c r="B464" t="s">
        <v>82</v>
      </c>
      <c r="C464" t="s">
        <v>73</v>
      </c>
      <c r="D464" t="s">
        <v>77</v>
      </c>
      <c r="E464" t="s">
        <v>83</v>
      </c>
      <c r="F464" t="s">
        <v>75</v>
      </c>
      <c r="G464" t="s">
        <v>84</v>
      </c>
      <c r="H464" t="s">
        <v>74</v>
      </c>
    </row>
    <row r="465" spans="1:8" x14ac:dyDescent="0.3">
      <c r="A465" s="12" t="str">
        <f>B437</f>
        <v>transport, Bicycle, electric (&lt;25 km/h), 2050, label-certified electricity</v>
      </c>
      <c r="B465" s="12">
        <v>1</v>
      </c>
      <c r="C465" s="12" t="str">
        <f>B438</f>
        <v>CH</v>
      </c>
      <c r="D465" s="12" t="s">
        <v>172</v>
      </c>
      <c r="E465" s="12"/>
      <c r="F465" s="12" t="s">
        <v>85</v>
      </c>
      <c r="G465" s="12" t="s">
        <v>86</v>
      </c>
      <c r="H465" s="12" t="str">
        <f>B443</f>
        <v>transport, Bicycle, electric (&lt;25 km/h)</v>
      </c>
    </row>
    <row r="466" spans="1:8" x14ac:dyDescent="0.3">
      <c r="A466" s="12" t="str">
        <f>B439&amp;", "&amp;B441</f>
        <v>Bicycle, electric (&lt;25 km/h), 2050</v>
      </c>
      <c r="B466" s="12">
        <f>1/B447</f>
        <v>5.0000000000000002E-5</v>
      </c>
      <c r="C466" s="12" t="str">
        <f>B438</f>
        <v>CH</v>
      </c>
      <c r="D466" s="12" t="s">
        <v>77</v>
      </c>
      <c r="E466" s="12"/>
      <c r="F466" s="12" t="s">
        <v>91</v>
      </c>
      <c r="G466" s="12"/>
      <c r="H466" s="12" t="str">
        <f>RIGHT(H465,LEN(H465)-11)</f>
        <v>Bicycle, electric (&lt;25 km/h)</v>
      </c>
    </row>
    <row r="467" spans="1:8" s="21" customFormat="1" x14ac:dyDescent="0.3">
      <c r="A467" s="12" t="str">
        <f>INDEX('ei names mapping'!$B$4:$R$33,MATCH(B439,'ei names mapping'!$A$4:$A$33,0),MATCH(G467,'ei names mapping'!$B$3:$R$3,0))</f>
        <v>road construction</v>
      </c>
      <c r="B467" s="16">
        <f>INDEX('vehicles specifications'!$B$3:$CK$86,MATCH(B442,'vehicles specifications'!$A$3:$A$86,0),MATCH(G467,'vehicles specifications'!$B$2:$CK$2,0))*INDEX('ei names mapping'!$B$137:$BK$220,MATCH(B442,'ei names mapping'!$A$137:$A$220,0),MATCH(G467,'ei names mapping'!$B$136:$BK$136,0))</f>
        <v>5.0338379999999998E-5</v>
      </c>
      <c r="C467" s="12" t="str">
        <f>INDEX('ei names mapping'!$B$38:$R$67,MATCH(B439,'ei names mapping'!$A$4:$A$33,0),MATCH(G467,'ei names mapping'!$B$3:$R$3,0))</f>
        <v>CH</v>
      </c>
      <c r="D467" s="12" t="str">
        <f>INDEX('ei names mapping'!$B$104:$BK$133,MATCH(B439,'ei names mapping'!$A$4:$A$33,0),MATCH(G467,'ei names mapping'!$B$3:$BK$3,0))</f>
        <v>meter-year</v>
      </c>
      <c r="E467" s="12"/>
      <c r="F467" s="12" t="s">
        <v>91</v>
      </c>
      <c r="G467" s="21" t="s">
        <v>108</v>
      </c>
      <c r="H467" s="12" t="str">
        <f>INDEX('ei names mapping'!$B$71:$BK$100,MATCH(B439,'ei names mapping'!$A$4:$A$33,0),MATCH(G467,'ei names mapping'!$B$3:$BK$3,0))</f>
        <v>road</v>
      </c>
    </row>
    <row r="468" spans="1:8" x14ac:dyDescent="0.3">
      <c r="A468" s="12" t="s">
        <v>114</v>
      </c>
      <c r="B468" s="14">
        <f>INDEX('vehicles specifications'!$B$3:$CK$86,MATCH(B442,'vehicles specifications'!$A$3:$A$86,0),MATCH(G468,'vehicles specifications'!$B$2:$CK$2,0))*INDEX('ei names mapping'!$B$137:$BK$220,MATCH(B442,'ei names mapping'!$A$137:$A$220,0),MATCH(G468,'ei names mapping'!$B$136:$BK$136,0))</f>
        <v>7.5382508513468297E-3</v>
      </c>
      <c r="C468" s="12" t="str">
        <f>INDEX('ei names mapping'!$B$38:$R$67,MATCH($B$3,'ei names mapping'!$A$4:$A$33,0),MATCH(G468,'ei names mapping'!$B$3:$R$3,0))</f>
        <v>CH</v>
      </c>
      <c r="D468" s="12" t="str">
        <f>INDEX('ei names mapping'!$B$104:$R$133,MATCH($B$3,'ei names mapping'!$A$4:$A$33,0),MATCH(G468,'ei names mapping'!$B$3:$R$3,0))</f>
        <v>kilowatt hour</v>
      </c>
      <c r="E468" s="12"/>
      <c r="F468" s="12" t="s">
        <v>91</v>
      </c>
      <c r="G468" t="s">
        <v>28</v>
      </c>
      <c r="H468" s="12" t="s">
        <v>116</v>
      </c>
    </row>
    <row r="469" spans="1:8" x14ac:dyDescent="0.3">
      <c r="A469" s="12" t="str">
        <f>INDEX('ei names mapping'!$B$4:$R$33,MATCH($B$3,'ei names mapping'!$A$4:$A$33,0),MATCH(G469,'ei names mapping'!$B$3:$R$3,0))</f>
        <v>maintenance, electric bicycle, without battery</v>
      </c>
      <c r="B469" s="14">
        <f>INDEX('vehicles specifications'!$B$3:$CK$86,MATCH(B442,'vehicles specifications'!$A$3:$A$86,0),MATCH(G469,'vehicles specifications'!$B$2:$CK$2,0))*INDEX('ei names mapping'!$B$137:$BK$220,MATCH(B442,'ei names mapping'!$A$137:$A$220,0),MATCH(G469,'ei names mapping'!$B$136:$BK$136,0))</f>
        <v>2.5000000000000001E-4</v>
      </c>
      <c r="C469" s="12" t="str">
        <f>INDEX('ei names mapping'!$B$38:$R$67,MATCH($B$3,'ei names mapping'!$A$4:$A$33,0),MATCH(G469,'ei names mapping'!$B$3:$R$3,0))</f>
        <v>CH</v>
      </c>
      <c r="D469" s="12" t="str">
        <f>INDEX('ei names mapping'!$B$104:$R$133,MATCH($B$3,'ei names mapping'!$A$4:$A$33,0),MATCH(G469,'ei names mapping'!$B$3:$R$3,0))</f>
        <v>unit</v>
      </c>
      <c r="E469" s="12"/>
      <c r="F469" s="12" t="s">
        <v>91</v>
      </c>
      <c r="G469" t="s">
        <v>123</v>
      </c>
      <c r="H469" s="12" t="str">
        <f>INDEX('ei names mapping'!$B$71:$R$100,MATCH($B$3,'ei names mapping'!$A$4:$A$33,0),MATCH(G469,'ei names mapping'!$B$3:$R$3,0))</f>
        <v>maintenance, electric bicycle, without battery</v>
      </c>
    </row>
    <row r="470" spans="1:8" x14ac:dyDescent="0.3">
      <c r="A470" s="12" t="str">
        <f>INDEX('ei names mapping'!$B$4:$BK$33,MATCH($B$180,'ei names mapping'!$A$4:$A$33,0),MATCH(G470,'ei names mapping'!$B$3:$BK$3,0))</f>
        <v>treatment of road wear emissions, passenger car</v>
      </c>
      <c r="B470" s="15">
        <f>INDEX('vehicles specifications'!$B$3:$CK$86,MATCH(B442,'vehicles specifications'!$A$3:$A$86,0),MATCH(G470,'vehicles specifications'!$B$2:$CK$2,0))*INDEX('ei names mapping'!$B$137:$BK$220,MATCH(B442,'ei names mapping'!$A$137:$A$220,0),MATCH(G470,'ei names mapping'!$B$136:$BK$136,0))</f>
        <v>-3.0000000000000001E-6</v>
      </c>
      <c r="C470" s="12" t="str">
        <f>INDEX('ei names mapping'!$B$38:$BK$67,MATCH($B$180,'ei names mapping'!$A$4:$A$33,0),MATCH(G470,'ei names mapping'!$B$3:$BK$3,0))</f>
        <v>RER</v>
      </c>
      <c r="D470" s="12" t="str">
        <f>INDEX('ei names mapping'!$B$104:$BK$133,MATCH($B$180,'ei names mapping'!$A$4:$A$33,0),MATCH(G470,'ei names mapping'!$B$3:$BK$3,0))</f>
        <v>kilogram</v>
      </c>
      <c r="E470" s="12"/>
      <c r="F470" s="12" t="s">
        <v>91</v>
      </c>
      <c r="G470" t="s">
        <v>29</v>
      </c>
      <c r="H470" s="12" t="str">
        <f>INDEX('ei names mapping'!$B$71:$BK$100,MATCH(B439,'ei names mapping'!$A$4:$A$33,0),MATCH(G470,'ei names mapping'!$B$3:$BK$3,0))</f>
        <v>road wear emissions, passenger car</v>
      </c>
    </row>
    <row r="471" spans="1:8" x14ac:dyDescent="0.3">
      <c r="A471" s="12" t="str">
        <f>INDEX('ei names mapping'!$B$4:$BK$33,MATCH($B$180,'ei names mapping'!$A$4:$A$33,0),MATCH(G471,'ei names mapping'!$B$3:$BK$3,0))</f>
        <v>treatment of tyre wear emissions, passenger car</v>
      </c>
      <c r="B471" s="15">
        <f>INDEX('vehicles specifications'!$B$3:$CK$86,MATCH(B442,'vehicles specifications'!$A$3:$A$86,0),MATCH(G471,'vehicles specifications'!$B$2:$CK$2,0))*INDEX('ei names mapping'!$B$137:$BK$220,MATCH(B442,'ei names mapping'!$A$137:$A$220,0),MATCH(G471,'ei names mapping'!$B$136:$BK$136,0))</f>
        <v>-2.9189999999999999E-6</v>
      </c>
      <c r="C471" s="12" t="str">
        <f>INDEX('ei names mapping'!$B$38:$BK$67,MATCH($B$180,'ei names mapping'!$A$4:$A$33,0),MATCH(G471,'ei names mapping'!$B$3:$BK$3,0))</f>
        <v>RER</v>
      </c>
      <c r="D471" s="12" t="str">
        <f>INDEX('ei names mapping'!$B$104:$BK$133,MATCH($B$180,'ei names mapping'!$A$4:$A$33,0),MATCH(G471,'ei names mapping'!$B$3:$BK$3,0))</f>
        <v>kilogram</v>
      </c>
      <c r="E471" s="12"/>
      <c r="F471" s="12" t="s">
        <v>91</v>
      </c>
      <c r="G471" t="s">
        <v>30</v>
      </c>
      <c r="H471" s="12" t="str">
        <f>INDEX('ei names mapping'!$B$71:$BK$100,MATCH($B$180,'ei names mapping'!$A$4:$A$33,0),MATCH(G471,'ei names mapping'!$B$3:$BK$3,0))</f>
        <v>tyre wear emissions, passenger car</v>
      </c>
    </row>
    <row r="472" spans="1:8" x14ac:dyDescent="0.3">
      <c r="A472" s="12" t="str">
        <f>INDEX('ei names mapping'!$B$4:$BK$33,MATCH($B$180,'ei names mapping'!$A$4:$A$33,0),MATCH(G472,'ei names mapping'!$B$3:$BK$3,0))</f>
        <v>treatment of brake wear emissions, passenger car</v>
      </c>
      <c r="B472" s="15">
        <f>INDEX('vehicles specifications'!$B$3:$CK$86,MATCH(B442,'vehicles specifications'!$A$3:$A$86,0),MATCH(G472,'vehicles specifications'!$B$2:$CK$2,0))*INDEX('ei names mapping'!$B$137:$BK$220,MATCH(B442,'ei names mapping'!$A$137:$A$220,0),MATCH(G472,'ei names mapping'!$B$136:$BK$136,0))</f>
        <v>-1.8370000000000002E-6</v>
      </c>
      <c r="C472" s="12" t="str">
        <f>INDEX('ei names mapping'!$B$38:$BK$67,MATCH($B$180,'ei names mapping'!$A$4:$A$33,0),MATCH(G472,'ei names mapping'!$B$3:$BK$3,0))</f>
        <v>RER</v>
      </c>
      <c r="D472" s="12" t="str">
        <f>INDEX('ei names mapping'!$B$104:$BK$133,MATCH($B$180,'ei names mapping'!$A$4:$A$33,0),MATCH(G472,'ei names mapping'!$B$3:$BK$3,0))</f>
        <v>kilogram</v>
      </c>
      <c r="E472" s="12"/>
      <c r="F472" s="12" t="s">
        <v>91</v>
      </c>
      <c r="G472" t="s">
        <v>31</v>
      </c>
      <c r="H472" s="12" t="str">
        <f>INDEX('ei names mapping'!$B$71:$BK$100,MATCH($B$180,'ei names mapping'!$A$4:$A$33,0),MATCH(G472,'ei names mapping'!$B$3:$BK$3,0))</f>
        <v>brake wear emissions, passenger car</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1"/>
  <sheetViews>
    <sheetView topLeftCell="A457" workbookViewId="0">
      <selection activeCell="B490" sqref="B490"/>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Bicycle, electric (&lt;45 km/h), 2020</v>
      </c>
    </row>
    <row r="2" spans="1:2" x14ac:dyDescent="0.3">
      <c r="A2" t="s">
        <v>73</v>
      </c>
      <c r="B2" t="s">
        <v>37</v>
      </c>
    </row>
    <row r="3" spans="1:2" x14ac:dyDescent="0.3">
      <c r="A3" t="s">
        <v>87</v>
      </c>
      <c r="B3" t="s">
        <v>518</v>
      </c>
    </row>
    <row r="4" spans="1:2" x14ac:dyDescent="0.3">
      <c r="A4" t="s">
        <v>88</v>
      </c>
      <c r="B4" s="12"/>
    </row>
    <row r="5" spans="1:2" x14ac:dyDescent="0.3">
      <c r="A5" t="s">
        <v>89</v>
      </c>
      <c r="B5" s="12">
        <v>2020</v>
      </c>
    </row>
    <row r="6" spans="1:2" x14ac:dyDescent="0.3">
      <c r="A6" t="s">
        <v>131</v>
      </c>
      <c r="B6" s="12" t="str">
        <f>B3&amp;" - "&amp;B5&amp;" - "&amp;B2</f>
        <v>Bicycle, electric (&lt;45 km/h) - 2020 - CH</v>
      </c>
    </row>
    <row r="7" spans="1:2" x14ac:dyDescent="0.3">
      <c r="A7" t="s">
        <v>74</v>
      </c>
      <c r="B7" t="str">
        <f>B3</f>
        <v>Bicycle, electric (&lt;45 km/h)</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30000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7.5</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3000</v>
      </c>
    </row>
    <row r="16" spans="1:2" x14ac:dyDescent="0.3">
      <c r="A16" t="s">
        <v>137</v>
      </c>
      <c r="B16">
        <f>INDEX('vehicles specifications'!$B$3:$CK$86,MATCH(B6,'vehicles specifications'!$A$3:$A$86,0),MATCH("Curb mass [kg]",'vehicles specifications'!$B$2:$CK$2,0))</f>
        <v>27.9</v>
      </c>
    </row>
    <row r="17" spans="1:8" x14ac:dyDescent="0.3">
      <c r="A17" t="s">
        <v>138</v>
      </c>
      <c r="B17">
        <f>INDEX('vehicles specifications'!$B$3:$CK$86,MATCH(B6,'vehicles specifications'!$A$3:$A$86,0),MATCH("Power [kW]",'vehicles specifications'!$B$2:$CK$2,0))</f>
        <v>0.5</v>
      </c>
    </row>
    <row r="18" spans="1:8" x14ac:dyDescent="0.3">
      <c r="A18" t="s">
        <v>139</v>
      </c>
      <c r="B18">
        <f>INDEX('vehicles specifications'!$B$3:$CK$86,MATCH(B6,'vehicles specifications'!$A$3:$A$86,0),MATCH("Energy battery mass [kg]",'vehicles specifications'!$B$2:$CK$2,0))</f>
        <v>3.8999999999999995</v>
      </c>
    </row>
    <row r="19" spans="1:8" x14ac:dyDescent="0.3">
      <c r="A19" t="s">
        <v>140</v>
      </c>
      <c r="B19">
        <f>INDEX('vehicles specifications'!$B$3:$CK$86,MATCH(B6,'vehicles specifications'!$A$3:$A$86,0),MATCH("Electric energy stored [kWh]",'vehicles specifications'!$B$2:$CK$2,0))</f>
        <v>0.6</v>
      </c>
    </row>
    <row r="20" spans="1:8" s="21" customFormat="1" x14ac:dyDescent="0.3">
      <c r="A20" s="21" t="s">
        <v>654</v>
      </c>
      <c r="B20" s="21">
        <f>INDEX('vehicles specifications'!$B$3:$CK$86,MATCH(B6,'vehicles specifications'!$A$3:$A$86,0),MATCH("Electric energy available [kWh]",'vehicles specifications'!$B$2:$CK$2,0))</f>
        <v>0.48</v>
      </c>
    </row>
    <row r="21" spans="1:8" x14ac:dyDescent="0.3">
      <c r="A21" t="s">
        <v>143</v>
      </c>
      <c r="B21">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f>INDEX('vehicles specifications'!$B$3:$CK$86,MATCH(B6,'vehicles specifications'!$A$3:$A$86,0),MATCH("Range [km]",'vehicles specifications'!$B$2:$CK$2,0))</f>
        <v>38.13816803537587</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0.5 kW. Lifetime: 30000 km. Annual kilometers: 3000 km. Number of passengers: 1. Curb mass: 27.9 kg. Lightweighting of glider: 0%. Emission standard: None. Service visits throughout lifetime: 7.5. Range: 38 km. Battery capacity: 0.6 kWh. Available battery capacity: 0.48 kWh. Battery mass: 3.9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Bicycle, electric (&lt;45 km/h), 2020</v>
      </c>
      <c r="B32" s="12">
        <v>1</v>
      </c>
      <c r="C32" s="12" t="str">
        <f>B2</f>
        <v>CH</v>
      </c>
      <c r="D32" s="12" t="str">
        <f>B9</f>
        <v>unit</v>
      </c>
      <c r="E32" s="12"/>
      <c r="F32" s="12" t="s">
        <v>85</v>
      </c>
      <c r="G32" s="12" t="s">
        <v>86</v>
      </c>
      <c r="H32" s="12" t="str">
        <f>B3</f>
        <v>Bicycle, electric (&lt;45 km/h)</v>
      </c>
    </row>
    <row r="33" spans="1:8" x14ac:dyDescent="0.3">
      <c r="A33" s="12" t="str">
        <f>INDEX('ei names mapping'!$B$4:$R$33,MATCH($B$3,'ei names mapping'!$A$4:$A$33,0),MATCH(G33,'ei names mapping'!$B$3:$R$3,0))</f>
        <v>electric bicycle production, without battery and motor</v>
      </c>
      <c r="B33" s="14">
        <f>INDEX('vehicles specifications'!$B$3:$CK$86,MATCH(B6,'vehicles specifications'!$A$3:$A$86,0),MATCH(G33,'vehicles specifications'!$B$2:$CK$2,0))*INDEX('ei names mapping'!$B$137:$BK$220,MATCH(B6,'ei names mapping'!$A$137:$A$220,0),MATCH(G33,'ei names mapping'!$B$136:$BK$136,0))</f>
        <v>1.1176470588235294</v>
      </c>
      <c r="C33" s="12" t="str">
        <f>INDEX('ei names mapping'!$B$38:$R$67,MATCH($B$3,'ei names mapping'!$A$4:$A$33,0),MATCH(G33,'ei names mapping'!$B$3:$R$3,0))</f>
        <v>RER</v>
      </c>
      <c r="D33" s="12" t="str">
        <f>INDEX('ei names mapping'!$B$104:$R$133,MATCH(B3,'ei names mapping'!$A$104:$A$133,0),MATCH(G33,'ei names mapping'!$B$3:$R$3,0))</f>
        <v>unit</v>
      </c>
      <c r="E33" s="12"/>
      <c r="F33" s="12" t="s">
        <v>91</v>
      </c>
      <c r="G33" s="21" t="s">
        <v>15</v>
      </c>
      <c r="H33" s="12" t="str">
        <f>INDEX('ei names mapping'!$B$71:$R$100,MATCH($B$3,'ei names mapping'!$A$4:$A$33,0),MATCH(G33,'ei names mapping'!$B$3:$R$3,0))</f>
        <v>electric bicycle, without battery and motor</v>
      </c>
    </row>
    <row r="34" spans="1:8" x14ac:dyDescent="0.3">
      <c r="A34" s="12" t="str">
        <f>INDEX('ei names mapping'!$B$4:$R$33,MATCH($B$3,'ei names mapping'!$A$4:$A$33,0),MATCH(G34,'ei names mapping'!$B$3:$R$3,0))</f>
        <v>market for electric motor, vehicle</v>
      </c>
      <c r="B34" s="14">
        <f>INDEX('vehicles specifications'!$B$3:$CK$86,MATCH(B6,'vehicles specifications'!$A$3:$A$86,0),MATCH(G34,'vehicles specifications'!$B$2:$CK$2,0))*INDEX('ei names mapping'!$B$137:$BK$220,MATCH(B6,'ei names mapping'!$A$137:$A$220,0),MATCH(G34,'ei names mapping'!$B$136:$BK$136,0))</f>
        <v>5</v>
      </c>
      <c r="C34" s="12" t="str">
        <f>INDEX('ei names mapping'!$B$38:$R$67,MATCH($B$3,'ei names mapping'!$A$4:$A$33,0),MATCH(G34,'ei names mapping'!$B$3:$R$3,0))</f>
        <v>GLO</v>
      </c>
      <c r="D34" s="12" t="str">
        <f>INDEX('ei names mapping'!$B$104:$R$133,MATCH(B3,'ei names mapping'!$A$104:$A$133,0),MATCH(G34,'ei names mapping'!$B$3:$R$3,0))</f>
        <v>kilogram</v>
      </c>
      <c r="E34" s="12"/>
      <c r="F34" s="12" t="s">
        <v>91</v>
      </c>
      <c r="G34" t="s">
        <v>557</v>
      </c>
      <c r="H34" s="12" t="str">
        <f>INDEX('ei names mapping'!$B$71:$R$100,MATCH($B$3,'ei names mapping'!$A$4:$A$33,0),MATCH(G34,'ei names mapping'!$B$3:$R$3,0))</f>
        <v>electric motor, vehicle</v>
      </c>
    </row>
    <row r="35" spans="1:8" s="21" customFormat="1" x14ac:dyDescent="0.3">
      <c r="A35" s="12" t="str">
        <f>INDEX('ei names mapping'!$B$4:$R$33,MATCH(B3,'ei names mapping'!$A$4:$A$33,0),MATCH(G35,'ei names mapping'!$B$3:$R$3,0))</f>
        <v>glider lightweighting</v>
      </c>
      <c r="B35" s="16">
        <f>INDEX('vehicles specifications'!$B$3:$CK$86,MATCH(B6,'vehicles specifications'!$A$3:$A$86,0),MATCH(G35,'vehicles specifications'!$B$2:$CK$2,0))*INDEX('ei names mapping'!$B$137:$BK$220,MATCH(B6,'ei names mapping'!$A$137:$A$220,0),MATCH(G35,'ei names mapping'!$B$136:$BK$136,0))</f>
        <v>0</v>
      </c>
      <c r="C35" s="12" t="str">
        <f>INDEX('ei names mapping'!$B$38:$R$67,MATCH(B3,'ei names mapping'!$A$4:$A$33,0),MATCH(G35,'ei names mapping'!$B$3:$R$3,0))</f>
        <v>GLO</v>
      </c>
      <c r="D35" s="12" t="str">
        <f>INDEX('ei names mapping'!$B$104:$R$133,MATCH(B3,'ei names mapping'!$A$104:$A$133,0),MATCH(G35,'ei names mapping'!$B$3:$R$3,0))</f>
        <v>kilogram</v>
      </c>
      <c r="E35" s="12"/>
      <c r="F35" s="12" t="s">
        <v>91</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Battery cell, NMC</v>
      </c>
      <c r="B36" s="14">
        <f>INDEX('vehicles specifications'!$B$3:$CK$86,MATCH(B6,'vehicles specifications'!$A$3:$A$86,0),MATCH(G36,'vehicles specifications'!$B$2:$CK$2,0))*INDEX('ei names mapping'!$B$137:$BK$220,MATCH(B6,'ei names mapping'!$A$137:$A$220,0),MATCH(G36,'ei names mapping'!$B$136:$BK$136,0))</f>
        <v>5.9999999999999991</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19</v>
      </c>
      <c r="H36" s="12" t="str">
        <f>INDEX('ei names mapping'!$B$71:$R$100,MATCH($B$3,'ei names mapping'!$A$4:$A$33,0),MATCH(G36,'ei names mapping'!$B$3:$R$3,0))</f>
        <v>Battery cell</v>
      </c>
    </row>
    <row r="37" spans="1:8" x14ac:dyDescent="0.3">
      <c r="A37" s="12" t="str">
        <f>INDEX('ei names mapping'!$B$4:$R$33,MATCH($B$3,'ei names mapping'!$A$4:$A$33,0),MATCH(G37,'ei names mapping'!$B$3:$R$3,0))</f>
        <v>Battery BoP</v>
      </c>
      <c r="B37" s="14">
        <f>INDEX('vehicles specifications'!$B$3:$CK$86,MATCH(B6,'vehicles specifications'!$A$3:$A$86,0),MATCH(G37,'vehicles specifications'!$B$2:$CK$2,0))*INDEX('ei names mapping'!$B$137:$BK$220,MATCH(B6,'ei names mapping'!$A$137:$A$220,0),MATCH(G37,'ei names mapping'!$B$136:$BK$136,0))</f>
        <v>1.7999999999999996</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20</v>
      </c>
      <c r="H37" s="12" t="str">
        <f>INDEX('ei names mapping'!$B$71:$R$100,MATCH($B$3,'ei names mapping'!$A$4:$A$33,0),MATCH(G37,'ei names mapping'!$B$3:$R$3,0))</f>
        <v>Battery BoP</v>
      </c>
    </row>
    <row r="38" spans="1:8" x14ac:dyDescent="0.3">
      <c r="A38" s="12" t="str">
        <f>INDEX('ei names mapping'!$B$4:$R$33,MATCH($B$3,'ei names mapping'!$A$4:$A$33,0),MATCH(G38,'ei names mapping'!$B$3:$R$3,0))</f>
        <v>charging station, 500W</v>
      </c>
      <c r="B38" s="14">
        <f>INDEX('vehicles specifications'!$B$3:$CK$86,MATCH(B6,'vehicles specifications'!$A$3:$A$86,0),MATCH(G38,'vehicles specifications'!$B$2:$CK$2,0))*INDEX('ei names mapping'!$B$137:$BK$220,MATCH(B6,'ei names mapping'!$A$137:$A$220,0),MATCH(G38,'ei names mapping'!$B$136:$BK$136,0))</f>
        <v>1</v>
      </c>
      <c r="C38" s="12" t="str">
        <f>INDEX('ei names mapping'!$B$38:$R$67,MATCH($B$3,'ei names mapping'!$A$4:$A$33,0),MATCH(G38,'ei names mapping'!$B$3:$R$3,0))</f>
        <v>GLO</v>
      </c>
      <c r="D38" s="12" t="str">
        <f>INDEX('ei names mapping'!$B$104:$R$133,MATCH(B3,'ei names mapping'!$A$104:$A$133,0),MATCH(G38,'ei names mapping'!$B$3:$R$3,0))</f>
        <v>unit</v>
      </c>
      <c r="E38" s="12"/>
      <c r="F38" s="12" t="s">
        <v>91</v>
      </c>
      <c r="G38" t="s">
        <v>53</v>
      </c>
      <c r="H38" s="12" t="str">
        <f>INDEX('ei names mapping'!$B$71:$R$100,MATCH($B$3,'ei names mapping'!$A$4:$A$33,0),MATCH(G38,'ei names mapping'!$B$3:$R$3,0))</f>
        <v>charging station, 500W</v>
      </c>
    </row>
    <row r="39" spans="1:8" x14ac:dyDescent="0.3">
      <c r="A39" s="12" t="str">
        <f>INDEX('ei names mapping'!$B$4:$R$33,MATCH($B$3,'ei names mapping'!$A$4:$A$33,0),MATCH(G39,'ei names mapping'!$B$3:$R$3,0))</f>
        <v>treatment of used electric bicycle</v>
      </c>
      <c r="B39" s="14">
        <f>INDEX('vehicles specifications'!$B$3:$CK$86,MATCH(B6,'vehicles specifications'!$A$3:$A$86,0),MATCH(G39,'vehicles specifications'!$B$2:$CK$2,0))*INDEX('ei names mapping'!$B$137:$BK$220,MATCH(B6,'ei names mapping'!$A$137:$A$220,0),MATCH(G39,'ei names mapping'!$B$136:$BK$136,0))</f>
        <v>-0.79166666666666663</v>
      </c>
      <c r="C39" s="12" t="str">
        <f>INDEX('ei names mapping'!$B$38:$R$67,MATCH($B$3,'ei names mapping'!$A$4:$A$33,0),MATCH(G39,'ei names mapping'!$B$3:$R$3,0))</f>
        <v>CH</v>
      </c>
      <c r="D39" s="12" t="str">
        <f>INDEX('ei names mapping'!$B$104:$R$133,MATCH(B3,'ei names mapping'!$A$104:$A$133,0),MATCH(G39,'ei names mapping'!$B$3:$R$3,0))</f>
        <v>unit</v>
      </c>
      <c r="E39" s="12"/>
      <c r="F39" s="12" t="s">
        <v>91</v>
      </c>
      <c r="G39" t="s">
        <v>150</v>
      </c>
      <c r="H39" s="12" t="str">
        <f>INDEX('ei names mapping'!$B$71:$R$100,MATCH($B$3,'ei names mapping'!$A$4:$A$33,0),MATCH(G39,'ei names mapping'!$B$3:$R$3,0))</f>
        <v>used electric bicycle</v>
      </c>
    </row>
    <row r="40" spans="1:8" x14ac:dyDescent="0.3">
      <c r="A40" s="12" t="str">
        <f>INDEX('ei names mapping'!$B$4:$R$33,MATCH($B$3,'ei names mapping'!$A$4:$A$33,0),MATCH(G40,'ei names mapping'!$B$3:$R$3,0))</f>
        <v>treatment of used electric bicycle</v>
      </c>
      <c r="B40" s="14">
        <f>INDEX('vehicles specifications'!$B$3:$CK$86,MATCH(B6,'vehicles specifications'!$A$3:$A$86,0),MATCH(G40,'vehicles specifications'!$B$2:$CK$2,0))*INDEX('ei names mapping'!$B$137:$BK$220,MATCH(B6,'ei names mapping'!$A$137:$A$220,0),MATCH(G40,'ei names mapping'!$B$136:$BK$136,0))</f>
        <v>-0.20833333333333331</v>
      </c>
      <c r="C40" s="12" t="str">
        <f>INDEX('ei names mapping'!$B$38:$R$67,MATCH($B$3,'ei names mapping'!$A$4:$A$33,0),MATCH(G40,'ei names mapping'!$B$3:$R$3,0))</f>
        <v>CH</v>
      </c>
      <c r="D40" s="12" t="str">
        <f>INDEX('ei names mapping'!$B$104:$R$133,MATCH(B3,'ei names mapping'!$A$104:$A$133,0),MATCH(G40,'ei names mapping'!$B$3:$R$3,0))</f>
        <v>unit</v>
      </c>
      <c r="E40" s="12"/>
      <c r="F40" s="12" t="s">
        <v>91</v>
      </c>
      <c r="G40" t="s">
        <v>151</v>
      </c>
      <c r="H40" s="12" t="str">
        <f>INDEX('ei names mapping'!$B$71:$R$100,MATCH($B$3,'ei names mapping'!$A$4:$A$33,0),MATCH(G40,'ei names mapping'!$B$3:$R$3,0))</f>
        <v>used electric bicycle</v>
      </c>
    </row>
    <row r="41" spans="1:8" x14ac:dyDescent="0.3">
      <c r="A41" s="12" t="str">
        <f>INDEX('ei names mapping'!$B$4:$R$33,MATCH($B$3,'ei names mapping'!$A$4:$A$33,0),MATCH(G41,'ei names mapping'!$B$3:$R$3,0))</f>
        <v>market for used Li-ion battery</v>
      </c>
      <c r="B41" s="14">
        <f>INDEX('vehicles specifications'!$B$3:$CK$86,MATCH(B6,'vehicles specifications'!$A$3:$A$86,0),MATCH(G41,'vehicles specifications'!$B$2:$CK$2,0))*INDEX('ei names mapping'!$B$137:$BK$220,MATCH(B6,'ei names mapping'!$A$137:$A$220,0),MATCH(G41,'ei names mapping'!$B$136:$BK$136,0))</f>
        <v>-7.7999999999999989</v>
      </c>
      <c r="C41" s="12" t="str">
        <f>INDEX('ei names mapping'!$B$38:$R$67,MATCH($B$3,'ei names mapping'!$A$4:$A$33,0),MATCH(G41,'ei names mapping'!$B$3:$R$3,0))</f>
        <v>GLO</v>
      </c>
      <c r="D41" s="12" t="str">
        <f>INDEX('ei names mapping'!$B$104:$R$133,MATCH(B3,'ei names mapping'!$A$104:$A$133,0),MATCH(G41,'ei names mapping'!$B$3:$R$3,0))</f>
        <v>kilogram</v>
      </c>
      <c r="E41" s="12"/>
      <c r="F41" s="12" t="s">
        <v>91</v>
      </c>
      <c r="G41" t="s">
        <v>152</v>
      </c>
      <c r="H41" s="12" t="str">
        <f>INDEX('ei names mapping'!$B$71:$R$100,MATCH($B$3,'ei names mapping'!$A$4:$A$33,0),MATCH(G41,'ei names mapping'!$B$3:$R$3,0))</f>
        <v>used Li-ion battery</v>
      </c>
    </row>
    <row r="42" spans="1:8" s="21" customFormat="1" x14ac:dyDescent="0.3">
      <c r="A42" s="22" t="s">
        <v>468</v>
      </c>
      <c r="B42" s="21">
        <f>(B16/1000)*B28</f>
        <v>27.9</v>
      </c>
      <c r="C42" s="21" t="s">
        <v>94</v>
      </c>
      <c r="D42" s="21" t="s">
        <v>243</v>
      </c>
      <c r="F42" s="21" t="s">
        <v>91</v>
      </c>
      <c r="H42" s="22" t="s">
        <v>469</v>
      </c>
    </row>
    <row r="43" spans="1:8" s="21" customFormat="1" x14ac:dyDescent="0.3">
      <c r="A43" s="22" t="s">
        <v>467</v>
      </c>
      <c r="B43" s="2">
        <f>(B16/1000)*B27</f>
        <v>443.60999999999996</v>
      </c>
      <c r="C43" s="21" t="s">
        <v>98</v>
      </c>
      <c r="D43" s="21" t="s">
        <v>243</v>
      </c>
      <c r="F43" s="21" t="s">
        <v>91</v>
      </c>
      <c r="H43" s="22" t="s">
        <v>467</v>
      </c>
    </row>
    <row r="44" spans="1:8" x14ac:dyDescent="0.3">
      <c r="A44" s="12"/>
      <c r="B44" s="16"/>
      <c r="C44" s="12"/>
      <c r="D44" s="12"/>
      <c r="E44" s="12"/>
      <c r="F44" s="12"/>
      <c r="H44" s="12"/>
    </row>
    <row r="45" spans="1:8" ht="15.6" x14ac:dyDescent="0.3">
      <c r="A45" s="11" t="s">
        <v>72</v>
      </c>
      <c r="B45" s="9" t="str">
        <f>B47&amp;", "&amp;B49</f>
        <v>Bicycle, electric (&lt;45 km/h), 2030</v>
      </c>
    </row>
    <row r="46" spans="1:8" x14ac:dyDescent="0.3">
      <c r="A46" t="s">
        <v>73</v>
      </c>
      <c r="B46" t="s">
        <v>37</v>
      </c>
    </row>
    <row r="47" spans="1:8" x14ac:dyDescent="0.3">
      <c r="A47" t="s">
        <v>87</v>
      </c>
      <c r="B47" s="21" t="s">
        <v>518</v>
      </c>
    </row>
    <row r="48" spans="1:8" x14ac:dyDescent="0.3">
      <c r="A48" t="s">
        <v>88</v>
      </c>
      <c r="B48" s="12"/>
    </row>
    <row r="49" spans="1:2" x14ac:dyDescent="0.3">
      <c r="A49" t="s">
        <v>89</v>
      </c>
      <c r="B49" s="12">
        <v>2030</v>
      </c>
    </row>
    <row r="50" spans="1:2" x14ac:dyDescent="0.3">
      <c r="A50" t="s">
        <v>131</v>
      </c>
      <c r="B50" s="12" t="str">
        <f>B47&amp;" - "&amp;B49&amp;" - "&amp;B46</f>
        <v>Bicycle, electric (&lt;45 km/h) - 2030 - CH</v>
      </c>
    </row>
    <row r="51" spans="1:2" x14ac:dyDescent="0.3">
      <c r="A51" t="s">
        <v>74</v>
      </c>
      <c r="B51" t="str">
        <f>B47</f>
        <v>Bicycle, electric (&lt;45 km/h)</v>
      </c>
    </row>
    <row r="52" spans="1:2" x14ac:dyDescent="0.3">
      <c r="A52" t="s">
        <v>75</v>
      </c>
      <c r="B52" t="s">
        <v>76</v>
      </c>
    </row>
    <row r="53" spans="1:2" x14ac:dyDescent="0.3">
      <c r="A53" t="s">
        <v>77</v>
      </c>
      <c r="B53" t="s">
        <v>77</v>
      </c>
    </row>
    <row r="54" spans="1:2" x14ac:dyDescent="0.3">
      <c r="A54" t="s">
        <v>79</v>
      </c>
      <c r="B54" t="s">
        <v>90</v>
      </c>
    </row>
    <row r="55" spans="1:2" x14ac:dyDescent="0.3">
      <c r="A55" t="s">
        <v>132</v>
      </c>
      <c r="B55">
        <f>INDEX('vehicles specifications'!$B$3:$CK$86,MATCH(B50,'vehicles specifications'!$A$3:$A$86,0),MATCH("Lifetime [km]",'vehicles specifications'!$B$2:$CK$2,0))</f>
        <v>30000</v>
      </c>
    </row>
    <row r="56" spans="1:2" x14ac:dyDescent="0.3">
      <c r="A56" t="s">
        <v>133</v>
      </c>
      <c r="B56">
        <f>INDEX('vehicles specifications'!$B$3:$CK$86,MATCH(B50,'vehicles specifications'!$A$3:$A$86,0),MATCH("Passengers [unit]",'vehicles specifications'!$B$2:$CK$2,0))</f>
        <v>1</v>
      </c>
    </row>
    <row r="57" spans="1:2" x14ac:dyDescent="0.3">
      <c r="A57" t="s">
        <v>134</v>
      </c>
      <c r="B57">
        <f>INDEX('vehicles specifications'!$B$3:$CK$86,MATCH(B50,'vehicles specifications'!$A$3:$A$86,0),MATCH("Servicing [unit]",'vehicles specifications'!$B$2:$CK$2,0))</f>
        <v>7.5</v>
      </c>
    </row>
    <row r="58" spans="1:2" x14ac:dyDescent="0.3">
      <c r="A58" t="s">
        <v>135</v>
      </c>
      <c r="B58">
        <f>INDEX('vehicles specifications'!$B$3:$CK$86,MATCH(B50,'vehicles specifications'!$A$3:$A$86,0),MATCH("Energy battery replacement [unit]",'vehicles specifications'!$B$2:$CK$2,0))</f>
        <v>0.5</v>
      </c>
    </row>
    <row r="59" spans="1:2" x14ac:dyDescent="0.3">
      <c r="A59" t="s">
        <v>136</v>
      </c>
      <c r="B59">
        <f>INDEX('vehicles specifications'!$B$3:$CK$86,MATCH(B50,'vehicles specifications'!$A$3:$A$86,0),MATCH("Annual kilometers [km]",'vehicles specifications'!$B$2:$CK$2,0))</f>
        <v>3000</v>
      </c>
    </row>
    <row r="60" spans="1:2" x14ac:dyDescent="0.3">
      <c r="A60" t="s">
        <v>137</v>
      </c>
      <c r="B60">
        <f>INDEX('vehicles specifications'!$B$3:$CK$86,MATCH(B50,'vehicles specifications'!$A$3:$A$86,0),MATCH("Curb mass [kg]",'vehicles specifications'!$B$2:$CK$2,0))</f>
        <v>27.663333333333334</v>
      </c>
    </row>
    <row r="61" spans="1:2" x14ac:dyDescent="0.3">
      <c r="A61" t="s">
        <v>138</v>
      </c>
      <c r="B61">
        <f>INDEX('vehicles specifications'!$B$3:$CK$86,MATCH(B50,'vehicles specifications'!$A$3:$A$86,0),MATCH("Power [kW]",'vehicles specifications'!$B$2:$CK$2,0))</f>
        <v>0.5</v>
      </c>
    </row>
    <row r="62" spans="1:2" x14ac:dyDescent="0.3">
      <c r="A62" t="s">
        <v>139</v>
      </c>
      <c r="B62">
        <f>INDEX('vehicles specifications'!$B$3:$CK$86,MATCH(B50,'vehicles specifications'!$A$3:$A$86,0),MATCH("Energy battery mass [kg]",'vehicles specifications'!$B$2:$CK$2,0))</f>
        <v>4.3333333333333339</v>
      </c>
    </row>
    <row r="63" spans="1:2" x14ac:dyDescent="0.3">
      <c r="A63" t="s">
        <v>140</v>
      </c>
      <c r="B63">
        <f>INDEX('vehicles specifications'!$B$3:$CK$86,MATCH(B50,'vehicles specifications'!$A$3:$A$86,0),MATCH("Electric energy stored [kWh]",'vehicles specifications'!$B$2:$CK$2,0))</f>
        <v>1</v>
      </c>
    </row>
    <row r="64" spans="1:2" s="21" customFormat="1" x14ac:dyDescent="0.3">
      <c r="A64" s="21" t="s">
        <v>654</v>
      </c>
      <c r="B64" s="21">
        <f>INDEX('vehicles specifications'!$B$3:$CK$86,MATCH(B50,'vehicles specifications'!$A$3:$A$86,0),MATCH("Electric energy available [kWh]",'vehicles specifications'!$B$2:$CK$2,0))</f>
        <v>0.8</v>
      </c>
    </row>
    <row r="65" spans="1:8" x14ac:dyDescent="0.3">
      <c r="A65" t="s">
        <v>143</v>
      </c>
      <c r="B65">
        <f>INDEX('vehicles specifications'!$B$3:$CK$86,MATCH(B50,'vehicles specifications'!$A$3:$A$86,0),MATCH("Oxydation energy stored [kWh]",'vehicles specifications'!$B$2:$CK$2,0))</f>
        <v>0</v>
      </c>
    </row>
    <row r="66" spans="1:8" x14ac:dyDescent="0.3">
      <c r="A66" t="s">
        <v>145</v>
      </c>
      <c r="B66">
        <f>INDEX('vehicles specifications'!$B$3:$CK$86,MATCH(B50,'vehicles specifications'!$A$3:$A$86,0),MATCH("Fuel mass [kg]",'vehicles specifications'!$B$2:$CK$2,0))</f>
        <v>0</v>
      </c>
    </row>
    <row r="67" spans="1:8" x14ac:dyDescent="0.3">
      <c r="A67" t="s">
        <v>141</v>
      </c>
      <c r="B67">
        <f>INDEX('vehicles specifications'!$B$3:$CK$86,MATCH(B50,'vehicles specifications'!$A$3:$A$86,0),MATCH("Range [km]",'vehicles specifications'!$B$2:$CK$2,0))</f>
        <v>63.563613392293121</v>
      </c>
    </row>
    <row r="68" spans="1:8" x14ac:dyDescent="0.3">
      <c r="A68" t="s">
        <v>142</v>
      </c>
      <c r="B68" t="str">
        <f>INDEX('vehicles specifications'!$B$3:$CK$86,MATCH(B50,'vehicles specifications'!$A$3:$A$86,0),MATCH("Emission standard",'vehicles specifications'!$B$2:$CK$2,0))</f>
        <v>None</v>
      </c>
    </row>
    <row r="69" spans="1:8" x14ac:dyDescent="0.3">
      <c r="A69" t="s">
        <v>144</v>
      </c>
      <c r="B69" s="6">
        <f>INDEX('vehicles specifications'!$B$3:$CK$86,MATCH(B50,'vehicles specifications'!$A$3:$A$86,0),MATCH("Lightweighting rate [%]",'vehicles specifications'!$B$2:$CK$2,0))</f>
        <v>0.03</v>
      </c>
    </row>
    <row r="70" spans="1:8" s="21" customFormat="1" x14ac:dyDescent="0.3">
      <c r="A70" s="21" t="s">
        <v>513</v>
      </c>
      <c r="B70" s="6" t="s">
        <v>514</v>
      </c>
    </row>
    <row r="71" spans="1:8" s="21" customFormat="1" x14ac:dyDescent="0.3">
      <c r="A71" s="21" t="s">
        <v>515</v>
      </c>
      <c r="B71" s="2">
        <v>15900</v>
      </c>
    </row>
    <row r="72" spans="1:8" s="21" customFormat="1" x14ac:dyDescent="0.3">
      <c r="A72" s="21" t="s">
        <v>516</v>
      </c>
      <c r="B72" s="2">
        <v>1000</v>
      </c>
    </row>
    <row r="73" spans="1:8" s="21" customFormat="1" x14ac:dyDescent="0.3">
      <c r="A73" s="21" t="s">
        <v>84</v>
      </c>
      <c r="B73" s="21" t="str">
        <f>"Power: "&amp;B61&amp;" kW. Lifetime: "&amp;B55&amp;" km. Annual kilometers: "&amp;ROUND(B59,0)&amp;" km. Number of passengers: "&amp;ROUND(B56,1)&amp;". Curb mass: "&amp;ROUND(B60,1)&amp;" kg. Lightweighting of glider: "&amp;ROUND(B69*100,0)&amp;"%. Emission standard: "&amp;B68&amp;". Service visits throughout lifetime: "&amp;ROUND(B57,1)&amp;". Range: "&amp;ROUND(B67,0)&amp;" km. Battery capacity: "&amp;ROUND(B63,1)&amp;" kWh. Available battery capacity: "&amp;B64&amp;" kWh. Battery mass: "&amp;ROUND(B62,1)&amp; " kg. Battery replacement throughout lifetime: "&amp;ROUND(B58,1)&amp;". Fuel tank capacity: "&amp;ROUND(B65,1)&amp;" kWh. Fuel mass: "&amp;ROUND(B66,1)&amp;" kg. Origin of manufacture: "&amp;B70&amp;". Shipping distance: "&amp;B71&amp;" km. Lorry distribution distance: "&amp;B72&amp;" km. Documentation: "&amp;Readmefirst!$B$2&amp;", "&amp;Readmefirst!$B$3&amp;". "&amp;'lci-kick scooter'!B54</f>
        <v>Power: 0.5 kW. Lifetime: 30000 km. Annual kilometers: 3000 km. Number of passengers: 1. Curb mass: 27.7 kg. Lightweighting of glider: 3%. Emission standard: None. Service visits throughout lifetime: 7.5. Range: 64 km. Battery capacity: 1 kWh. Available battery capacity: 0.8 kWh. Battery mass: 4.3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unit</v>
      </c>
    </row>
    <row r="74" spans="1:8" ht="15.6" x14ac:dyDescent="0.3">
      <c r="A74" s="11" t="s">
        <v>80</v>
      </c>
    </row>
    <row r="75" spans="1:8" x14ac:dyDescent="0.3">
      <c r="A75" t="s">
        <v>81</v>
      </c>
      <c r="B75" t="s">
        <v>82</v>
      </c>
      <c r="C75" t="s">
        <v>73</v>
      </c>
      <c r="D75" t="s">
        <v>77</v>
      </c>
      <c r="E75" t="s">
        <v>83</v>
      </c>
      <c r="F75" t="s">
        <v>75</v>
      </c>
      <c r="G75" t="s">
        <v>84</v>
      </c>
      <c r="H75" t="s">
        <v>74</v>
      </c>
    </row>
    <row r="76" spans="1:8" x14ac:dyDescent="0.3">
      <c r="A76" s="12" t="str">
        <f>B45</f>
        <v>Bicycle, electric (&lt;45 km/h), 2030</v>
      </c>
      <c r="B76" s="12">
        <v>1</v>
      </c>
      <c r="C76" s="12" t="str">
        <f>B46</f>
        <v>CH</v>
      </c>
      <c r="D76" s="12" t="str">
        <f>B53</f>
        <v>unit</v>
      </c>
      <c r="E76" s="12"/>
      <c r="F76" s="12" t="s">
        <v>85</v>
      </c>
      <c r="G76" s="12" t="s">
        <v>86</v>
      </c>
      <c r="H76" s="12" t="str">
        <f>B47</f>
        <v>Bicycle, electric (&lt;45 km/h)</v>
      </c>
    </row>
    <row r="77" spans="1:8" x14ac:dyDescent="0.3">
      <c r="A77" s="12" t="str">
        <f>INDEX('ei names mapping'!$B$4:$R$33,MATCH($B$3,'ei names mapping'!$A$4:$A$33,0),MATCH(G77,'ei names mapping'!$B$3:$R$3,0))</f>
        <v>electric bicycle production, without battery and motor</v>
      </c>
      <c r="B77" s="14">
        <f>INDEX('vehicles specifications'!$B$3:$CK$86,MATCH(B50,'vehicles specifications'!$A$3:$A$86,0),MATCH(G77,'vehicles specifications'!$B$2:$CK$2,0))*INDEX('ei names mapping'!$B$137:$BK$220,MATCH(B50,'ei names mapping'!$A$137:$A$220,0),MATCH(G77,'ei names mapping'!$B$136:$BK$136,0))</f>
        <v>1.1176470588235294</v>
      </c>
      <c r="C77" s="12" t="str">
        <f>INDEX('ei names mapping'!$B$38:$R$67,MATCH($B$3,'ei names mapping'!$A$4:$A$33,0),MATCH(G77,'ei names mapping'!$B$3:$R$3,0))</f>
        <v>RER</v>
      </c>
      <c r="D77" s="12" t="str">
        <f>INDEX('ei names mapping'!$B$104:$R$133,MATCH(B47,'ei names mapping'!$A$104:$A$133,0),MATCH(G77,'ei names mapping'!$B$3:$R$3,0))</f>
        <v>unit</v>
      </c>
      <c r="E77" s="12"/>
      <c r="F77" s="12" t="s">
        <v>91</v>
      </c>
      <c r="G77" s="21" t="s">
        <v>15</v>
      </c>
      <c r="H77" s="12" t="str">
        <f>INDEX('ei names mapping'!$B$71:$R$100,MATCH($B$3,'ei names mapping'!$A$4:$A$33,0),MATCH(G77,'ei names mapping'!$B$3:$R$3,0))</f>
        <v>electric bicycle, without battery and motor</v>
      </c>
    </row>
    <row r="78" spans="1:8" x14ac:dyDescent="0.3">
      <c r="A78" s="12" t="str">
        <f>INDEX('ei names mapping'!$B$4:$R$33,MATCH($B$3,'ei names mapping'!$A$4:$A$33,0),MATCH(G78,'ei names mapping'!$B$3:$R$3,0))</f>
        <v>market for electric motor, vehicle</v>
      </c>
      <c r="B78" s="14">
        <f>INDEX('vehicles specifications'!$B$3:$CK$86,MATCH(B50,'vehicles specifications'!$A$3:$A$86,0),MATCH(G78,'vehicles specifications'!$B$2:$CK$2,0))*INDEX('ei names mapping'!$B$137:$BK$220,MATCH(B50,'ei names mapping'!$A$137:$A$220,0),MATCH(G78,'ei names mapping'!$B$136:$BK$136,0))</f>
        <v>4.9000000000000004</v>
      </c>
      <c r="C78" s="12" t="str">
        <f>INDEX('ei names mapping'!$B$38:$R$67,MATCH($B$3,'ei names mapping'!$A$4:$A$33,0),MATCH(G78,'ei names mapping'!$B$3:$R$3,0))</f>
        <v>GLO</v>
      </c>
      <c r="D78" s="12" t="str">
        <f>INDEX('ei names mapping'!$B$104:$R$133,MATCH(B47,'ei names mapping'!$A$104:$A$133,0),MATCH(G78,'ei names mapping'!$B$3:$R$3,0))</f>
        <v>kilogram</v>
      </c>
      <c r="E78" s="12"/>
      <c r="F78" s="12" t="s">
        <v>91</v>
      </c>
      <c r="G78" t="s">
        <v>557</v>
      </c>
      <c r="H78" s="12" t="str">
        <f>INDEX('ei names mapping'!$B$71:$R$100,MATCH($B$3,'ei names mapping'!$A$4:$A$33,0),MATCH(G78,'ei names mapping'!$B$3:$R$3,0))</f>
        <v>electric motor, vehicle</v>
      </c>
    </row>
    <row r="79" spans="1:8" s="21" customFormat="1" x14ac:dyDescent="0.3">
      <c r="A79" s="12" t="str">
        <f>INDEX('ei names mapping'!$B$4:$R$33,MATCH(B47,'ei names mapping'!$A$4:$A$33,0),MATCH(G79,'ei names mapping'!$B$3:$R$3,0))</f>
        <v>glider lightweighting</v>
      </c>
      <c r="B79" s="16">
        <f>INDEX('vehicles specifications'!$B$3:$CK$86,MATCH(B50,'vehicles specifications'!$A$3:$A$86,0),MATCH(G79,'vehicles specifications'!$B$2:$CK$2,0))*INDEX('ei names mapping'!$B$137:$BK$220,MATCH(B50,'ei names mapping'!$A$137:$A$220,0),MATCH(G79,'ei names mapping'!$B$136:$BK$136,0))</f>
        <v>0.56999999999999995</v>
      </c>
      <c r="C79" s="12" t="str">
        <f>INDEX('ei names mapping'!$B$38:$R$67,MATCH(B47,'ei names mapping'!$A$4:$A$33,0),MATCH(G79,'ei names mapping'!$B$3:$R$3,0))</f>
        <v>GLO</v>
      </c>
      <c r="D79" s="12" t="str">
        <f>INDEX('ei names mapping'!$B$104:$R$133,MATCH(B47,'ei names mapping'!$A$104:$A$133,0),MATCH(G79,'ei names mapping'!$B$3:$R$3,0))</f>
        <v>kilogram</v>
      </c>
      <c r="E79" s="12"/>
      <c r="F79" s="12" t="s">
        <v>91</v>
      </c>
      <c r="G79" s="21" t="s">
        <v>14</v>
      </c>
      <c r="H79" s="12" t="str">
        <f>INDEX('ei names mapping'!$B$71:$R$100,MATCH(B47,'ei names mapping'!$A$4:$A$33,0),MATCH(G79,'ei names mapping'!$B$3:$R$3,0))</f>
        <v>glider lightweighting</v>
      </c>
    </row>
    <row r="80" spans="1:8" x14ac:dyDescent="0.3">
      <c r="A80" s="12" t="str">
        <f>INDEX('ei names mapping'!$B$4:$R$33,MATCH($B$3,'ei names mapping'!$A$4:$A$33,0),MATCH(G80,'ei names mapping'!$B$3:$R$3,0))</f>
        <v>Battery cell, NMC</v>
      </c>
      <c r="B80" s="14">
        <f>INDEX('vehicles specifications'!$B$3:$CK$86,MATCH(B50,'vehicles specifications'!$A$3:$A$86,0),MATCH(G80,'vehicles specifications'!$B$2:$CK$2,0))*INDEX('ei names mapping'!$B$137:$BK$220,MATCH(B50,'ei names mapping'!$A$137:$A$220,0),MATCH(G80,'ei names mapping'!$B$136:$BK$136,0))</f>
        <v>5</v>
      </c>
      <c r="C80" s="12" t="str">
        <f>INDEX('ei names mapping'!$B$38:$R$67,MATCH($B$3,'ei names mapping'!$A$4:$A$33,0),MATCH(G80,'ei names mapping'!$B$3:$R$3,0))</f>
        <v>GLO</v>
      </c>
      <c r="D80" s="12" t="str">
        <f>INDEX('ei names mapping'!$B$104:$R$133,MATCH(B47,'ei names mapping'!$A$104:$A$133,0),MATCH(G80,'ei names mapping'!$B$3:$R$3,0))</f>
        <v>kilogram</v>
      </c>
      <c r="E80" s="12"/>
      <c r="F80" s="12" t="s">
        <v>91</v>
      </c>
      <c r="G80" t="s">
        <v>19</v>
      </c>
      <c r="H80" s="12" t="str">
        <f>INDEX('ei names mapping'!$B$71:$R$100,MATCH($B$3,'ei names mapping'!$A$4:$A$33,0),MATCH(G80,'ei names mapping'!$B$3:$R$3,0))</f>
        <v>Battery cell</v>
      </c>
    </row>
    <row r="81" spans="1:8" x14ac:dyDescent="0.3">
      <c r="A81" s="12" t="str">
        <f>INDEX('ei names mapping'!$B$4:$R$33,MATCH($B$3,'ei names mapping'!$A$4:$A$33,0),MATCH(G81,'ei names mapping'!$B$3:$R$3,0))</f>
        <v>Battery BoP</v>
      </c>
      <c r="B81" s="14">
        <f>INDEX('vehicles specifications'!$B$3:$CK$86,MATCH(B50,'vehicles specifications'!$A$3:$A$86,0),MATCH(G81,'vehicles specifications'!$B$2:$CK$2,0))*INDEX('ei names mapping'!$B$137:$BK$220,MATCH(B50,'ei names mapping'!$A$137:$A$220,0),MATCH(G81,'ei names mapping'!$B$136:$BK$136,0))</f>
        <v>1.5</v>
      </c>
      <c r="C81" s="12" t="str">
        <f>INDEX('ei names mapping'!$B$38:$R$67,MATCH($B$3,'ei names mapping'!$A$4:$A$33,0),MATCH(G81,'ei names mapping'!$B$3:$R$3,0))</f>
        <v>GLO</v>
      </c>
      <c r="D81" s="12" t="str">
        <f>INDEX('ei names mapping'!$B$104:$R$133,MATCH(B47,'ei names mapping'!$A$104:$A$133,0),MATCH(G81,'ei names mapping'!$B$3:$R$3,0))</f>
        <v>kilogram</v>
      </c>
      <c r="E81" s="12"/>
      <c r="F81" s="12" t="s">
        <v>91</v>
      </c>
      <c r="G81" t="s">
        <v>20</v>
      </c>
      <c r="H81" s="12" t="str">
        <f>INDEX('ei names mapping'!$B$71:$R$100,MATCH($B$3,'ei names mapping'!$A$4:$A$33,0),MATCH(G81,'ei names mapping'!$B$3:$R$3,0))</f>
        <v>Battery BoP</v>
      </c>
    </row>
    <row r="82" spans="1:8" x14ac:dyDescent="0.3">
      <c r="A82" s="12" t="str">
        <f>INDEX('ei names mapping'!$B$4:$R$33,MATCH($B$3,'ei names mapping'!$A$4:$A$33,0),MATCH(G82,'ei names mapping'!$B$3:$R$3,0))</f>
        <v>charging station, 500W</v>
      </c>
      <c r="B82" s="14">
        <f>INDEX('vehicles specifications'!$B$3:$CK$86,MATCH(B50,'vehicles specifications'!$A$3:$A$86,0),MATCH(G82,'vehicles specifications'!$B$2:$CK$2,0))*INDEX('ei names mapping'!$B$137:$BK$220,MATCH(B50,'ei names mapping'!$A$137:$A$220,0),MATCH(G82,'ei names mapping'!$B$136:$BK$136,0))</f>
        <v>1</v>
      </c>
      <c r="C82" s="12" t="str">
        <f>INDEX('ei names mapping'!$B$38:$R$67,MATCH($B$3,'ei names mapping'!$A$4:$A$33,0),MATCH(G82,'ei names mapping'!$B$3:$R$3,0))</f>
        <v>GLO</v>
      </c>
      <c r="D82" s="12" t="str">
        <f>INDEX('ei names mapping'!$B$104:$R$133,MATCH(B47,'ei names mapping'!$A$104:$A$133,0),MATCH(G82,'ei names mapping'!$B$3:$R$3,0))</f>
        <v>unit</v>
      </c>
      <c r="E82" s="12"/>
      <c r="F82" s="12" t="s">
        <v>91</v>
      </c>
      <c r="G82" t="s">
        <v>53</v>
      </c>
      <c r="H82" s="12" t="str">
        <f>INDEX('ei names mapping'!$B$71:$R$100,MATCH($B$3,'ei names mapping'!$A$4:$A$33,0),MATCH(G82,'ei names mapping'!$B$3:$R$3,0))</f>
        <v>charging station, 500W</v>
      </c>
    </row>
    <row r="83" spans="1:8" x14ac:dyDescent="0.3">
      <c r="A83" s="12" t="str">
        <f>INDEX('ei names mapping'!$B$4:$R$33,MATCH($B$3,'ei names mapping'!$A$4:$A$33,0),MATCH(G83,'ei names mapping'!$B$3:$R$3,0))</f>
        <v>treatment of used electric bicycle</v>
      </c>
      <c r="B83" s="14">
        <f>INDEX('vehicles specifications'!$B$3:$CK$86,MATCH(B50,'vehicles specifications'!$A$3:$A$86,0),MATCH(G83,'vehicles specifications'!$B$2:$CK$2,0))*INDEX('ei names mapping'!$B$137:$BK$220,MATCH(B50,'ei names mapping'!$A$137:$A$220,0),MATCH(G83,'ei names mapping'!$B$136:$BK$136,0))</f>
        <v>-0.76791666666666658</v>
      </c>
      <c r="C83" s="12" t="str">
        <f>INDEX('ei names mapping'!$B$38:$R$67,MATCH($B$3,'ei names mapping'!$A$4:$A$33,0),MATCH(G83,'ei names mapping'!$B$3:$R$3,0))</f>
        <v>CH</v>
      </c>
      <c r="D83" s="12" t="str">
        <f>INDEX('ei names mapping'!$B$104:$R$133,MATCH(B47,'ei names mapping'!$A$104:$A$133,0),MATCH(G83,'ei names mapping'!$B$3:$R$3,0))</f>
        <v>unit</v>
      </c>
      <c r="E83" s="12"/>
      <c r="F83" s="12" t="s">
        <v>91</v>
      </c>
      <c r="G83" t="s">
        <v>150</v>
      </c>
      <c r="H83" s="12" t="str">
        <f>INDEX('ei names mapping'!$B$71:$R$100,MATCH($B$3,'ei names mapping'!$A$4:$A$33,0),MATCH(G83,'ei names mapping'!$B$3:$R$3,0))</f>
        <v>used electric bicycle</v>
      </c>
    </row>
    <row r="84" spans="1:8" x14ac:dyDescent="0.3">
      <c r="A84" s="12" t="str">
        <f>INDEX('ei names mapping'!$B$4:$R$33,MATCH($B$3,'ei names mapping'!$A$4:$A$33,0),MATCH(G84,'ei names mapping'!$B$3:$R$3,0))</f>
        <v>treatment of used electric bicycle</v>
      </c>
      <c r="B84" s="14">
        <f>INDEX('vehicles specifications'!$B$3:$CK$86,MATCH(B50,'vehicles specifications'!$A$3:$A$86,0),MATCH(G84,'vehicles specifications'!$B$2:$CK$2,0))*INDEX('ei names mapping'!$B$137:$BK$220,MATCH(B50,'ei names mapping'!$A$137:$A$220,0),MATCH(G84,'ei names mapping'!$B$136:$BK$136,0))</f>
        <v>-0.20416666666666666</v>
      </c>
      <c r="C84" s="12" t="str">
        <f>INDEX('ei names mapping'!$B$38:$R$67,MATCH($B$3,'ei names mapping'!$A$4:$A$33,0),MATCH(G84,'ei names mapping'!$B$3:$R$3,0))</f>
        <v>CH</v>
      </c>
      <c r="D84" s="12" t="str">
        <f>INDEX('ei names mapping'!$B$104:$R$133,MATCH(B47,'ei names mapping'!$A$104:$A$133,0),MATCH(G84,'ei names mapping'!$B$3:$R$3,0))</f>
        <v>unit</v>
      </c>
      <c r="E84" s="12"/>
      <c r="F84" s="12" t="s">
        <v>91</v>
      </c>
      <c r="G84" t="s">
        <v>151</v>
      </c>
      <c r="H84" s="12" t="str">
        <f>INDEX('ei names mapping'!$B$71:$R$100,MATCH($B$3,'ei names mapping'!$A$4:$A$33,0),MATCH(G84,'ei names mapping'!$B$3:$R$3,0))</f>
        <v>used electric bicycle</v>
      </c>
    </row>
    <row r="85" spans="1:8" x14ac:dyDescent="0.3">
      <c r="A85" s="12" t="str">
        <f>INDEX('ei names mapping'!$B$4:$R$33,MATCH($B$3,'ei names mapping'!$A$4:$A$33,0),MATCH(G85,'ei names mapping'!$B$3:$R$3,0))</f>
        <v>market for used Li-ion battery</v>
      </c>
      <c r="B85" s="14">
        <f>INDEX('vehicles specifications'!$B$3:$CK$86,MATCH(B50,'vehicles specifications'!$A$3:$A$86,0),MATCH(G85,'vehicles specifications'!$B$2:$CK$2,0))*INDEX('ei names mapping'!$B$137:$BK$220,MATCH(B50,'ei names mapping'!$A$137:$A$220,0),MATCH(G85,'ei names mapping'!$B$136:$BK$136,0))</f>
        <v>-6.5000000000000009</v>
      </c>
      <c r="C85" s="12" t="str">
        <f>INDEX('ei names mapping'!$B$38:$R$67,MATCH($B$3,'ei names mapping'!$A$4:$A$33,0),MATCH(G85,'ei names mapping'!$B$3:$R$3,0))</f>
        <v>GLO</v>
      </c>
      <c r="D85" s="12" t="str">
        <f>INDEX('ei names mapping'!$B$104:$R$133,MATCH(B47,'ei names mapping'!$A$104:$A$133,0),MATCH(G85,'ei names mapping'!$B$3:$R$3,0))</f>
        <v>kilogram</v>
      </c>
      <c r="E85" s="12"/>
      <c r="F85" s="12" t="s">
        <v>91</v>
      </c>
      <c r="G85" t="s">
        <v>152</v>
      </c>
      <c r="H85" s="12" t="str">
        <f>INDEX('ei names mapping'!$B$71:$R$100,MATCH($B$3,'ei names mapping'!$A$4:$A$33,0),MATCH(G85,'ei names mapping'!$B$3:$R$3,0))</f>
        <v>used Li-ion battery</v>
      </c>
    </row>
    <row r="86" spans="1:8" s="21" customFormat="1" x14ac:dyDescent="0.3">
      <c r="A86" s="22" t="s">
        <v>468</v>
      </c>
      <c r="B86" s="21">
        <f>(B60/1000)*B72</f>
        <v>27.663333333333334</v>
      </c>
      <c r="C86" s="21" t="s">
        <v>94</v>
      </c>
      <c r="D86" s="21" t="s">
        <v>243</v>
      </c>
      <c r="F86" s="21" t="s">
        <v>91</v>
      </c>
      <c r="H86" s="22" t="s">
        <v>469</v>
      </c>
    </row>
    <row r="87" spans="1:8" s="21" customFormat="1" x14ac:dyDescent="0.3">
      <c r="A87" s="22" t="s">
        <v>467</v>
      </c>
      <c r="B87" s="2">
        <f>(B60/1000)*B71</f>
        <v>439.84700000000004</v>
      </c>
      <c r="C87" s="21" t="s">
        <v>98</v>
      </c>
      <c r="D87" s="21" t="s">
        <v>243</v>
      </c>
      <c r="F87" s="21" t="s">
        <v>91</v>
      </c>
      <c r="H87" s="22" t="s">
        <v>467</v>
      </c>
    </row>
    <row r="88" spans="1:8" x14ac:dyDescent="0.3">
      <c r="B88" s="12"/>
    </row>
    <row r="89" spans="1:8" ht="15.6" x14ac:dyDescent="0.3">
      <c r="A89" s="11" t="s">
        <v>72</v>
      </c>
      <c r="B89" s="9" t="str">
        <f>B91&amp;", "&amp;B93</f>
        <v>Bicycle, electric (&lt;45 km/h), 2040</v>
      </c>
    </row>
    <row r="90" spans="1:8" x14ac:dyDescent="0.3">
      <c r="A90" t="s">
        <v>73</v>
      </c>
      <c r="B90" t="s">
        <v>37</v>
      </c>
    </row>
    <row r="91" spans="1:8" x14ac:dyDescent="0.3">
      <c r="A91" t="s">
        <v>87</v>
      </c>
      <c r="B91" s="21" t="s">
        <v>518</v>
      </c>
    </row>
    <row r="92" spans="1:8" x14ac:dyDescent="0.3">
      <c r="A92" t="s">
        <v>88</v>
      </c>
      <c r="B92" s="12"/>
    </row>
    <row r="93" spans="1:8" x14ac:dyDescent="0.3">
      <c r="A93" t="s">
        <v>89</v>
      </c>
      <c r="B93" s="12">
        <v>2040</v>
      </c>
    </row>
    <row r="94" spans="1:8" x14ac:dyDescent="0.3">
      <c r="A94" t="s">
        <v>131</v>
      </c>
      <c r="B94" s="12" t="str">
        <f>B91&amp;" - "&amp;B93&amp;" - "&amp;B90</f>
        <v>Bicycle, electric (&lt;45 km/h) - 2040 - CH</v>
      </c>
    </row>
    <row r="95" spans="1:8" x14ac:dyDescent="0.3">
      <c r="A95" t="s">
        <v>74</v>
      </c>
      <c r="B95" t="str">
        <f>B91</f>
        <v>Bicycle, electric (&lt;45 km/h)</v>
      </c>
    </row>
    <row r="96" spans="1:8" x14ac:dyDescent="0.3">
      <c r="A96" t="s">
        <v>75</v>
      </c>
      <c r="B96" t="s">
        <v>76</v>
      </c>
    </row>
    <row r="97" spans="1:2" x14ac:dyDescent="0.3">
      <c r="A97" t="s">
        <v>77</v>
      </c>
      <c r="B97" t="s">
        <v>77</v>
      </c>
    </row>
    <row r="98" spans="1:2" x14ac:dyDescent="0.3">
      <c r="A98" t="s">
        <v>79</v>
      </c>
      <c r="B98" t="s">
        <v>90</v>
      </c>
    </row>
    <row r="99" spans="1:2" x14ac:dyDescent="0.3">
      <c r="A99" t="s">
        <v>132</v>
      </c>
      <c r="B99">
        <f>INDEX('vehicles specifications'!$B$3:$CK$86,MATCH(B94,'vehicles specifications'!$A$3:$A$86,0),MATCH("Lifetime [km]",'vehicles specifications'!$B$2:$CK$2,0))</f>
        <v>30000</v>
      </c>
    </row>
    <row r="100" spans="1:2" x14ac:dyDescent="0.3">
      <c r="A100" t="s">
        <v>133</v>
      </c>
      <c r="B100">
        <f>INDEX('vehicles specifications'!$B$3:$CK$86,MATCH(B94,'vehicles specifications'!$A$3:$A$86,0),MATCH("Passengers [unit]",'vehicles specifications'!$B$2:$CK$2,0))</f>
        <v>1</v>
      </c>
    </row>
    <row r="101" spans="1:2" x14ac:dyDescent="0.3">
      <c r="A101" t="s">
        <v>134</v>
      </c>
      <c r="B101">
        <f>INDEX('vehicles specifications'!$B$3:$CK$86,MATCH(B94,'vehicles specifications'!$A$3:$A$86,0),MATCH("Servicing [unit]",'vehicles specifications'!$B$2:$CK$2,0))</f>
        <v>7.5</v>
      </c>
    </row>
    <row r="102" spans="1:2" x14ac:dyDescent="0.3">
      <c r="A102" t="s">
        <v>135</v>
      </c>
      <c r="B102">
        <f>INDEX('vehicles specifications'!$B$3:$CK$86,MATCH(B94,'vehicles specifications'!$A$3:$A$86,0),MATCH("Energy battery replacement [unit]",'vehicles specifications'!$B$2:$CK$2,0))</f>
        <v>0.25</v>
      </c>
    </row>
    <row r="103" spans="1:2" x14ac:dyDescent="0.3">
      <c r="A103" t="s">
        <v>136</v>
      </c>
      <c r="B103">
        <f>INDEX('vehicles specifications'!$B$3:$CK$86,MATCH(B94,'vehicles specifications'!$A$3:$A$86,0),MATCH("Annual kilometers [km]",'vehicles specifications'!$B$2:$CK$2,0))</f>
        <v>3000</v>
      </c>
    </row>
    <row r="104" spans="1:2" x14ac:dyDescent="0.3">
      <c r="A104" t="s">
        <v>137</v>
      </c>
      <c r="B104">
        <f>INDEX('vehicles specifications'!$B$3:$CK$86,MATCH(B94,'vehicles specifications'!$A$3:$A$86,0),MATCH("Curb mass [kg]",'vehicles specifications'!$B$2:$CK$2,0))</f>
        <v>27.625</v>
      </c>
    </row>
    <row r="105" spans="1:2" x14ac:dyDescent="0.3">
      <c r="A105" t="s">
        <v>138</v>
      </c>
      <c r="B105">
        <f>INDEX('vehicles specifications'!$B$3:$CK$86,MATCH(B94,'vehicles specifications'!$A$3:$A$86,0),MATCH("Power [kW]",'vehicles specifications'!$B$2:$CK$2,0))</f>
        <v>0.5</v>
      </c>
    </row>
    <row r="106" spans="1:2" x14ac:dyDescent="0.3">
      <c r="A106" t="s">
        <v>139</v>
      </c>
      <c r="B106">
        <f>INDEX('vehicles specifications'!$B$3:$CK$86,MATCH(B94,'vehicles specifications'!$A$3:$A$86,0),MATCH("Energy battery mass [kg]",'vehicles specifications'!$B$2:$CK$2,0))</f>
        <v>4.875</v>
      </c>
    </row>
    <row r="107" spans="1:2" x14ac:dyDescent="0.3">
      <c r="A107" t="s">
        <v>140</v>
      </c>
      <c r="B107">
        <f>INDEX('vehicles specifications'!$B$3:$CK$86,MATCH(B94,'vehicles specifications'!$A$3:$A$86,0),MATCH("Electric energy stored [kWh]",'vehicles specifications'!$B$2:$CK$2,0))</f>
        <v>1.5</v>
      </c>
    </row>
    <row r="108" spans="1:2" s="21" customFormat="1" x14ac:dyDescent="0.3">
      <c r="A108" s="21" t="s">
        <v>654</v>
      </c>
      <c r="B108" s="21">
        <f>INDEX('vehicles specifications'!$B$3:$CK$86,MATCH(B94,'vehicles specifications'!$A$3:$A$86,0),MATCH("Electric energy available [kWh]",'vehicles specifications'!$B$2:$CK$2,0))</f>
        <v>1.2000000000000002</v>
      </c>
    </row>
    <row r="109" spans="1:2" x14ac:dyDescent="0.3">
      <c r="A109" t="s">
        <v>143</v>
      </c>
      <c r="B109">
        <f>INDEX('vehicles specifications'!$B$3:$CK$86,MATCH(B94,'vehicles specifications'!$A$3:$A$86,0),MATCH("Oxydation energy stored [kWh]",'vehicles specifications'!$B$2:$CK$2,0))</f>
        <v>0</v>
      </c>
    </row>
    <row r="110" spans="1:2" x14ac:dyDescent="0.3">
      <c r="A110" t="s">
        <v>145</v>
      </c>
      <c r="B110">
        <f>INDEX('vehicles specifications'!$B$3:$CK$86,MATCH(B94,'vehicles specifications'!$A$3:$A$86,0),MATCH("Fuel mass [kg]",'vehicles specifications'!$B$2:$CK$2,0))</f>
        <v>0</v>
      </c>
    </row>
    <row r="111" spans="1:2" x14ac:dyDescent="0.3">
      <c r="A111" t="s">
        <v>141</v>
      </c>
      <c r="B111">
        <f>INDEX('vehicles specifications'!$B$3:$CK$86,MATCH(B94,'vehicles specifications'!$A$3:$A$86,0),MATCH("Range [km]",'vehicles specifications'!$B$2:$CK$2,0))</f>
        <v>95.345420088439695</v>
      </c>
    </row>
    <row r="112" spans="1:2" x14ac:dyDescent="0.3">
      <c r="A112" t="s">
        <v>142</v>
      </c>
      <c r="B112" t="str">
        <f>INDEX('vehicles specifications'!$B$3:$CK$86,MATCH(B94,'vehicles specifications'!$A$3:$A$86,0),MATCH("Emission standard",'vehicles specifications'!$B$2:$CK$2,0))</f>
        <v>None</v>
      </c>
    </row>
    <row r="113" spans="1:8" x14ac:dyDescent="0.3">
      <c r="A113" t="s">
        <v>144</v>
      </c>
      <c r="B113" s="6">
        <f>INDEX('vehicles specifications'!$B$3:$CK$86,MATCH(B94,'vehicles specifications'!$A$3:$A$86,0),MATCH("Lightweighting rate [%]",'vehicles specifications'!$B$2:$CK$2,0))</f>
        <v>0.05</v>
      </c>
    </row>
    <row r="114" spans="1:8" s="21" customFormat="1" x14ac:dyDescent="0.3">
      <c r="A114" s="21" t="s">
        <v>513</v>
      </c>
      <c r="B114" s="6" t="s">
        <v>514</v>
      </c>
    </row>
    <row r="115" spans="1:8" s="21" customFormat="1" x14ac:dyDescent="0.3">
      <c r="A115" s="21" t="s">
        <v>515</v>
      </c>
      <c r="B115" s="2">
        <v>15900</v>
      </c>
    </row>
    <row r="116" spans="1:8" s="21" customFormat="1" x14ac:dyDescent="0.3">
      <c r="A116" s="21" t="s">
        <v>516</v>
      </c>
      <c r="B116" s="2">
        <v>1000</v>
      </c>
    </row>
    <row r="117" spans="1:8" s="21" customFormat="1" x14ac:dyDescent="0.3">
      <c r="A117" s="21" t="s">
        <v>84</v>
      </c>
      <c r="B117" s="21" t="str">
        <f>"Power: "&amp;B105&amp;" kW. Lifetime: "&amp;B99&amp;" km. Annual kilometers: "&amp;ROUND(B103,0)&amp;" km. Number of passengers: "&amp;ROUND(B100,1)&amp;". Curb mass: "&amp;ROUND(B104,1)&amp;" kg. Lightweighting of glider: "&amp;ROUND(B113*100,0)&amp;"%. Emission standard: "&amp;B112&amp;". Service visits throughout lifetime: "&amp;ROUND(B101,1)&amp;". Range: "&amp;ROUND(B111,0)&amp;" km. Battery capacity: "&amp;ROUND(B107,1)&amp;" kWh. Available battery capacity: "&amp;B108&amp;" kWh. Battery mass: "&amp;ROUND(B106,1)&amp; " kg. Battery replacement throughout lifetime: "&amp;ROUND(B102,1)&amp;". Fuel tank capacity: "&amp;ROUND(B109,1)&amp;" kWh. Fuel mass: "&amp;ROUND(B110,1)&amp;" kg. Origin of manufacture: "&amp;B114&amp;". Shipping distance: "&amp;B115&amp;" km. Lorry distribution distance: "&amp;B116&amp;" km. Documentation: "&amp;Readmefirst!$B$2&amp;", "&amp;Readmefirst!$B$3&amp;". "&amp;'lci-kick scooter'!B98</f>
        <v>Power: 0.5 kW. Lifetime: 30000 km. Annual kilometers: 3000 km. Number of passengers: 1. Curb mass: 27.6 kg. Lightweighting of glider: 5%. Emission standard: None. Service visits throughout lifetime: 7.5. Range: 95 km. Battery capacity: 1.5 kWh. Available battery capacity: 1.2 kWh. Battery mass: 4.9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18" spans="1:8" ht="15.6" x14ac:dyDescent="0.3">
      <c r="A118" s="11" t="s">
        <v>80</v>
      </c>
    </row>
    <row r="119" spans="1:8" x14ac:dyDescent="0.3">
      <c r="A119" t="s">
        <v>81</v>
      </c>
      <c r="B119" t="s">
        <v>82</v>
      </c>
      <c r="C119" t="s">
        <v>73</v>
      </c>
      <c r="D119" t="s">
        <v>77</v>
      </c>
      <c r="E119" t="s">
        <v>83</v>
      </c>
      <c r="F119" t="s">
        <v>75</v>
      </c>
      <c r="G119" t="s">
        <v>84</v>
      </c>
      <c r="H119" t="s">
        <v>74</v>
      </c>
    </row>
    <row r="120" spans="1:8" x14ac:dyDescent="0.3">
      <c r="A120" s="12" t="str">
        <f>B89</f>
        <v>Bicycle, electric (&lt;45 km/h), 2040</v>
      </c>
      <c r="B120" s="12">
        <v>1</v>
      </c>
      <c r="C120" s="12" t="str">
        <f>B90</f>
        <v>CH</v>
      </c>
      <c r="D120" s="12" t="str">
        <f>B97</f>
        <v>unit</v>
      </c>
      <c r="E120" s="12"/>
      <c r="F120" s="12" t="s">
        <v>85</v>
      </c>
      <c r="G120" s="12" t="s">
        <v>86</v>
      </c>
      <c r="H120" s="12" t="str">
        <f>B91</f>
        <v>Bicycle, electric (&lt;45 km/h)</v>
      </c>
    </row>
    <row r="121" spans="1:8" x14ac:dyDescent="0.3">
      <c r="A121" s="12" t="str">
        <f>INDEX('ei names mapping'!$B$4:$R$33,MATCH($B$3,'ei names mapping'!$A$4:$A$33,0),MATCH(G121,'ei names mapping'!$B$3:$R$3,0))</f>
        <v>electric bicycle production, without battery and motor</v>
      </c>
      <c r="B121" s="14">
        <f>INDEX('vehicles specifications'!$B$3:$CK$86,MATCH(B94,'vehicles specifications'!$A$3:$A$86,0),MATCH(G121,'vehicles specifications'!$B$2:$CK$2,0))*INDEX('ei names mapping'!$B$137:$BK$220,MATCH(B94,'ei names mapping'!$A$137:$A$220,0),MATCH(G121,'ei names mapping'!$B$136:$BK$136,0))</f>
        <v>1.1176470588235294</v>
      </c>
      <c r="C121" s="12" t="str">
        <f>INDEX('ei names mapping'!$B$38:$R$67,MATCH($B$3,'ei names mapping'!$A$4:$A$33,0),MATCH(G121,'ei names mapping'!$B$3:$R$3,0))</f>
        <v>RER</v>
      </c>
      <c r="D121" s="12" t="str">
        <f>INDEX('ei names mapping'!$B$104:$R$133,MATCH(B91,'ei names mapping'!$A$104:$A$133,0),MATCH(G121,'ei names mapping'!$B$3:$R$3,0))</f>
        <v>unit</v>
      </c>
      <c r="E121" s="12"/>
      <c r="F121" s="12" t="s">
        <v>91</v>
      </c>
      <c r="G121" s="21" t="s">
        <v>15</v>
      </c>
      <c r="H121" s="12" t="str">
        <f>INDEX('ei names mapping'!$B$71:$R$100,MATCH($B$3,'ei names mapping'!$A$4:$A$33,0),MATCH(G121,'ei names mapping'!$B$3:$R$3,0))</f>
        <v>electric bicycle, without battery and motor</v>
      </c>
    </row>
    <row r="122" spans="1:8" x14ac:dyDescent="0.3">
      <c r="A122" s="12" t="str">
        <f>INDEX('ei names mapping'!$B$4:$R$33,MATCH($B$3,'ei names mapping'!$A$4:$A$33,0),MATCH(G122,'ei names mapping'!$B$3:$R$3,0))</f>
        <v>market for electric motor, vehicle</v>
      </c>
      <c r="B122" s="14">
        <f>INDEX('vehicles specifications'!$B$3:$CK$86,MATCH(B94,'vehicles specifications'!$A$3:$A$86,0),MATCH(G122,'vehicles specifications'!$B$2:$CK$2,0))*INDEX('ei names mapping'!$B$137:$BK$220,MATCH(B94,'ei names mapping'!$A$137:$A$220,0),MATCH(G122,'ei names mapping'!$B$136:$BK$136,0))</f>
        <v>4.7</v>
      </c>
      <c r="C122" s="12" t="str">
        <f>INDEX('ei names mapping'!$B$38:$R$67,MATCH($B$3,'ei names mapping'!$A$4:$A$33,0),MATCH(G122,'ei names mapping'!$B$3:$R$3,0))</f>
        <v>GLO</v>
      </c>
      <c r="D122" s="12" t="str">
        <f>INDEX('ei names mapping'!$B$104:$R$133,MATCH(B91,'ei names mapping'!$A$104:$A$133,0),MATCH(G122,'ei names mapping'!$B$3:$R$3,0))</f>
        <v>kilogram</v>
      </c>
      <c r="E122" s="12"/>
      <c r="F122" s="12" t="s">
        <v>91</v>
      </c>
      <c r="G122" t="s">
        <v>557</v>
      </c>
      <c r="H122" s="12" t="str">
        <f>INDEX('ei names mapping'!$B$71:$R$100,MATCH($B$3,'ei names mapping'!$A$4:$A$33,0),MATCH(G122,'ei names mapping'!$B$3:$R$3,0))</f>
        <v>electric motor, vehicle</v>
      </c>
    </row>
    <row r="123" spans="1:8" s="21" customFormat="1" x14ac:dyDescent="0.3">
      <c r="A123" s="12" t="str">
        <f>INDEX('ei names mapping'!$B$4:$R$33,MATCH(B91,'ei names mapping'!$A$4:$A$33,0),MATCH(G123,'ei names mapping'!$B$3:$R$3,0))</f>
        <v>glider lightweighting</v>
      </c>
      <c r="B123" s="16">
        <f>INDEX('vehicles specifications'!$B$3:$CK$86,MATCH(B94,'vehicles specifications'!$A$3:$A$86,0),MATCH(G123,'vehicles specifications'!$B$2:$CK$2,0))*INDEX('ei names mapping'!$B$137:$BK$220,MATCH(B94,'ei names mapping'!$A$137:$A$220,0),MATCH(G123,'ei names mapping'!$B$136:$BK$136,0))</f>
        <v>0.95000000000000007</v>
      </c>
      <c r="C123" s="12" t="str">
        <f>INDEX('ei names mapping'!$B$38:$R$67,MATCH(B91,'ei names mapping'!$A$4:$A$33,0),MATCH(G123,'ei names mapping'!$B$3:$R$3,0))</f>
        <v>GLO</v>
      </c>
      <c r="D123" s="12" t="str">
        <f>INDEX('ei names mapping'!$B$104:$R$133,MATCH(B91,'ei names mapping'!$A$104:$A$133,0),MATCH(G123,'ei names mapping'!$B$3:$R$3,0))</f>
        <v>kilogram</v>
      </c>
      <c r="E123" s="12"/>
      <c r="F123" s="12" t="s">
        <v>91</v>
      </c>
      <c r="G123" s="21" t="s">
        <v>14</v>
      </c>
      <c r="H123" s="12" t="str">
        <f>INDEX('ei names mapping'!$B$71:$R$100,MATCH(B91,'ei names mapping'!$A$4:$A$33,0),MATCH(G123,'ei names mapping'!$B$3:$R$3,0))</f>
        <v>glider lightweighting</v>
      </c>
    </row>
    <row r="124" spans="1:8" x14ac:dyDescent="0.3">
      <c r="A124" s="12" t="str">
        <f>INDEX('ei names mapping'!$B$4:$R$33,MATCH($B$3,'ei names mapping'!$A$4:$A$33,0),MATCH(G124,'ei names mapping'!$B$3:$R$3,0))</f>
        <v>Battery cell, NMC</v>
      </c>
      <c r="B124" s="14">
        <f>INDEX('vehicles specifications'!$B$3:$CK$86,MATCH(B94,'vehicles specifications'!$A$3:$A$86,0),MATCH(G124,'vehicles specifications'!$B$2:$CK$2,0))*INDEX('ei names mapping'!$B$137:$BK$220,MATCH(B94,'ei names mapping'!$A$137:$A$220,0),MATCH(G124,'ei names mapping'!$B$136:$BK$136,0))</f>
        <v>4.6875</v>
      </c>
      <c r="C124" s="12" t="str">
        <f>INDEX('ei names mapping'!$B$38:$R$67,MATCH($B$3,'ei names mapping'!$A$4:$A$33,0),MATCH(G124,'ei names mapping'!$B$3:$R$3,0))</f>
        <v>GLO</v>
      </c>
      <c r="D124" s="12" t="str">
        <f>INDEX('ei names mapping'!$B$104:$R$133,MATCH(B91,'ei names mapping'!$A$104:$A$133,0),MATCH(G124,'ei names mapping'!$B$3:$R$3,0))</f>
        <v>kilogram</v>
      </c>
      <c r="E124" s="12"/>
      <c r="F124" s="12" t="s">
        <v>91</v>
      </c>
      <c r="G124" t="s">
        <v>19</v>
      </c>
      <c r="H124" s="12" t="str">
        <f>INDEX('ei names mapping'!$B$71:$R$100,MATCH($B$3,'ei names mapping'!$A$4:$A$33,0),MATCH(G124,'ei names mapping'!$B$3:$R$3,0))</f>
        <v>Battery cell</v>
      </c>
    </row>
    <row r="125" spans="1:8" x14ac:dyDescent="0.3">
      <c r="A125" s="12" t="str">
        <f>INDEX('ei names mapping'!$B$4:$R$33,MATCH($B$3,'ei names mapping'!$A$4:$A$33,0),MATCH(G125,'ei names mapping'!$B$3:$R$3,0))</f>
        <v>Battery BoP</v>
      </c>
      <c r="B125" s="14">
        <f>INDEX('vehicles specifications'!$B$3:$CK$86,MATCH(B94,'vehicles specifications'!$A$3:$A$86,0),MATCH(G125,'vehicles specifications'!$B$2:$CK$2,0))*INDEX('ei names mapping'!$B$137:$BK$220,MATCH(B94,'ei names mapping'!$A$137:$A$220,0),MATCH(G125,'ei names mapping'!$B$136:$BK$136,0))</f>
        <v>1.40625</v>
      </c>
      <c r="C125" s="12" t="str">
        <f>INDEX('ei names mapping'!$B$38:$R$67,MATCH($B$3,'ei names mapping'!$A$4:$A$33,0),MATCH(G125,'ei names mapping'!$B$3:$R$3,0))</f>
        <v>GLO</v>
      </c>
      <c r="D125" s="12" t="str">
        <f>INDEX('ei names mapping'!$B$104:$R$133,MATCH(B91,'ei names mapping'!$A$104:$A$133,0),MATCH(G125,'ei names mapping'!$B$3:$R$3,0))</f>
        <v>kilogram</v>
      </c>
      <c r="E125" s="12"/>
      <c r="F125" s="12" t="s">
        <v>91</v>
      </c>
      <c r="G125" t="s">
        <v>20</v>
      </c>
      <c r="H125" s="12" t="str">
        <f>INDEX('ei names mapping'!$B$71:$R$100,MATCH($B$3,'ei names mapping'!$A$4:$A$33,0),MATCH(G125,'ei names mapping'!$B$3:$R$3,0))</f>
        <v>Battery BoP</v>
      </c>
    </row>
    <row r="126" spans="1:8" x14ac:dyDescent="0.3">
      <c r="A126" s="12" t="str">
        <f>INDEX('ei names mapping'!$B$4:$R$33,MATCH($B$3,'ei names mapping'!$A$4:$A$33,0),MATCH(G126,'ei names mapping'!$B$3:$R$3,0))</f>
        <v>charging station, 500W</v>
      </c>
      <c r="B126" s="14">
        <f>INDEX('vehicles specifications'!$B$3:$CK$86,MATCH(B94,'vehicles specifications'!$A$3:$A$86,0),MATCH(G126,'vehicles specifications'!$B$2:$CK$2,0))*INDEX('ei names mapping'!$B$137:$BK$220,MATCH(B94,'ei names mapping'!$A$137:$A$220,0),MATCH(G126,'ei names mapping'!$B$136:$BK$136,0))</f>
        <v>1</v>
      </c>
      <c r="C126" s="12" t="str">
        <f>INDEX('ei names mapping'!$B$38:$R$67,MATCH($B$3,'ei names mapping'!$A$4:$A$33,0),MATCH(G126,'ei names mapping'!$B$3:$R$3,0))</f>
        <v>GLO</v>
      </c>
      <c r="D126" s="12" t="str">
        <f>INDEX('ei names mapping'!$B$104:$R$133,MATCH(B91,'ei names mapping'!$A$104:$A$133,0),MATCH(G126,'ei names mapping'!$B$3:$R$3,0))</f>
        <v>unit</v>
      </c>
      <c r="E126" s="12"/>
      <c r="F126" s="12" t="s">
        <v>91</v>
      </c>
      <c r="G126" t="s">
        <v>53</v>
      </c>
      <c r="H126" s="12" t="str">
        <f>INDEX('ei names mapping'!$B$71:$R$100,MATCH($B$3,'ei names mapping'!$A$4:$A$33,0),MATCH(G126,'ei names mapping'!$B$3:$R$3,0))</f>
        <v>charging station, 500W</v>
      </c>
    </row>
    <row r="127" spans="1:8" x14ac:dyDescent="0.3">
      <c r="A127" s="12" t="str">
        <f>INDEX('ei names mapping'!$B$4:$R$33,MATCH($B$3,'ei names mapping'!$A$4:$A$33,0),MATCH(G127,'ei names mapping'!$B$3:$R$3,0))</f>
        <v>treatment of used electric bicycle</v>
      </c>
      <c r="B127" s="14">
        <f>INDEX('vehicles specifications'!$B$3:$CK$86,MATCH(B94,'vehicles specifications'!$A$3:$A$86,0),MATCH(G127,'vehicles specifications'!$B$2:$CK$2,0))*INDEX('ei names mapping'!$B$137:$BK$220,MATCH(B94,'ei names mapping'!$A$137:$A$220,0),MATCH(G127,'ei names mapping'!$B$136:$BK$136,0))</f>
        <v>-0.75208333333333333</v>
      </c>
      <c r="C127" s="12" t="str">
        <f>INDEX('ei names mapping'!$B$38:$R$67,MATCH($B$3,'ei names mapping'!$A$4:$A$33,0),MATCH(G127,'ei names mapping'!$B$3:$R$3,0))</f>
        <v>CH</v>
      </c>
      <c r="D127" s="12" t="str">
        <f>INDEX('ei names mapping'!$B$104:$R$133,MATCH(B91,'ei names mapping'!$A$104:$A$133,0),MATCH(G127,'ei names mapping'!$B$3:$R$3,0))</f>
        <v>unit</v>
      </c>
      <c r="E127" s="12"/>
      <c r="F127" s="12" t="s">
        <v>91</v>
      </c>
      <c r="G127" t="s">
        <v>150</v>
      </c>
      <c r="H127" s="12" t="str">
        <f>INDEX('ei names mapping'!$B$71:$R$100,MATCH($B$3,'ei names mapping'!$A$4:$A$33,0),MATCH(G127,'ei names mapping'!$B$3:$R$3,0))</f>
        <v>used electric bicycle</v>
      </c>
    </row>
    <row r="128" spans="1:8" x14ac:dyDescent="0.3">
      <c r="A128" s="12" t="str">
        <f>INDEX('ei names mapping'!$B$4:$R$33,MATCH($B$3,'ei names mapping'!$A$4:$A$33,0),MATCH(G128,'ei names mapping'!$B$3:$R$3,0))</f>
        <v>treatment of used electric bicycle</v>
      </c>
      <c r="B128" s="14">
        <f>INDEX('vehicles specifications'!$B$3:$CK$86,MATCH(B94,'vehicles specifications'!$A$3:$A$86,0),MATCH(G128,'vehicles specifications'!$B$2:$CK$2,0))*INDEX('ei names mapping'!$B$137:$BK$220,MATCH(B94,'ei names mapping'!$A$137:$A$220,0),MATCH(G128,'ei names mapping'!$B$136:$BK$136,0))</f>
        <v>-0.19583333333333333</v>
      </c>
      <c r="C128" s="12" t="str">
        <f>INDEX('ei names mapping'!$B$38:$R$67,MATCH($B$3,'ei names mapping'!$A$4:$A$33,0),MATCH(G128,'ei names mapping'!$B$3:$R$3,0))</f>
        <v>CH</v>
      </c>
      <c r="D128" s="12" t="str">
        <f>INDEX('ei names mapping'!$B$104:$R$133,MATCH(B91,'ei names mapping'!$A$104:$A$133,0),MATCH(G128,'ei names mapping'!$B$3:$R$3,0))</f>
        <v>unit</v>
      </c>
      <c r="E128" s="12"/>
      <c r="F128" s="12" t="s">
        <v>91</v>
      </c>
      <c r="G128" t="s">
        <v>151</v>
      </c>
      <c r="H128" s="12" t="str">
        <f>INDEX('ei names mapping'!$B$71:$R$100,MATCH($B$3,'ei names mapping'!$A$4:$A$33,0),MATCH(G128,'ei names mapping'!$B$3:$R$3,0))</f>
        <v>used electric bicycle</v>
      </c>
    </row>
    <row r="129" spans="1:8" x14ac:dyDescent="0.3">
      <c r="A129" s="12" t="str">
        <f>INDEX('ei names mapping'!$B$4:$R$33,MATCH($B$3,'ei names mapping'!$A$4:$A$33,0),MATCH(G129,'ei names mapping'!$B$3:$R$3,0))</f>
        <v>market for used Li-ion battery</v>
      </c>
      <c r="B129" s="14">
        <f>INDEX('vehicles specifications'!$B$3:$CK$86,MATCH(B94,'vehicles specifications'!$A$3:$A$86,0),MATCH(G129,'vehicles specifications'!$B$2:$CK$2,0))*INDEX('ei names mapping'!$B$137:$BK$220,MATCH(B94,'ei names mapping'!$A$137:$A$220,0),MATCH(G129,'ei names mapping'!$B$136:$BK$136,0))</f>
        <v>-6.09375</v>
      </c>
      <c r="C129" s="12" t="str">
        <f>INDEX('ei names mapping'!$B$38:$R$67,MATCH($B$3,'ei names mapping'!$A$4:$A$33,0),MATCH(G129,'ei names mapping'!$B$3:$R$3,0))</f>
        <v>GLO</v>
      </c>
      <c r="D129" s="12" t="str">
        <f>INDEX('ei names mapping'!$B$104:$R$133,MATCH(B91,'ei names mapping'!$A$104:$A$133,0),MATCH(G129,'ei names mapping'!$B$3:$R$3,0))</f>
        <v>kilogram</v>
      </c>
      <c r="E129" s="12"/>
      <c r="F129" s="12" t="s">
        <v>91</v>
      </c>
      <c r="G129" t="s">
        <v>152</v>
      </c>
      <c r="H129" s="12" t="str">
        <f>INDEX('ei names mapping'!$B$71:$R$100,MATCH($B$3,'ei names mapping'!$A$4:$A$33,0),MATCH(G129,'ei names mapping'!$B$3:$R$3,0))</f>
        <v>used Li-ion battery</v>
      </c>
    </row>
    <row r="130" spans="1:8" s="21" customFormat="1" x14ac:dyDescent="0.3">
      <c r="A130" s="22" t="s">
        <v>468</v>
      </c>
      <c r="B130" s="21">
        <f>(B104/1000)*B116</f>
        <v>27.625</v>
      </c>
      <c r="C130" s="21" t="s">
        <v>94</v>
      </c>
      <c r="D130" s="21" t="s">
        <v>243</v>
      </c>
      <c r="F130" s="21" t="s">
        <v>91</v>
      </c>
      <c r="H130" s="22" t="s">
        <v>469</v>
      </c>
    </row>
    <row r="131" spans="1:8" s="21" customFormat="1" x14ac:dyDescent="0.3">
      <c r="A131" s="22" t="s">
        <v>467</v>
      </c>
      <c r="B131" s="2">
        <f>(B104/1000)*B115</f>
        <v>439.23750000000001</v>
      </c>
      <c r="C131" s="21" t="s">
        <v>98</v>
      </c>
      <c r="D131" s="21" t="s">
        <v>243</v>
      </c>
      <c r="F131" s="21" t="s">
        <v>91</v>
      </c>
      <c r="H131" s="22" t="s">
        <v>467</v>
      </c>
    </row>
    <row r="133" spans="1:8" ht="15.6" x14ac:dyDescent="0.3">
      <c r="A133" s="11" t="s">
        <v>72</v>
      </c>
      <c r="B133" s="9" t="str">
        <f>B135&amp;", "&amp;B137</f>
        <v>Bicycle, electric (&lt;45 km/h), 2050</v>
      </c>
    </row>
    <row r="134" spans="1:8" x14ac:dyDescent="0.3">
      <c r="A134" t="s">
        <v>73</v>
      </c>
      <c r="B134" t="s">
        <v>37</v>
      </c>
    </row>
    <row r="135" spans="1:8" x14ac:dyDescent="0.3">
      <c r="A135" t="s">
        <v>87</v>
      </c>
      <c r="B135" s="21" t="s">
        <v>518</v>
      </c>
    </row>
    <row r="136" spans="1:8" x14ac:dyDescent="0.3">
      <c r="A136" t="s">
        <v>88</v>
      </c>
      <c r="B136" s="12"/>
    </row>
    <row r="137" spans="1:8" x14ac:dyDescent="0.3">
      <c r="A137" t="s">
        <v>89</v>
      </c>
      <c r="B137" s="12">
        <v>2050</v>
      </c>
    </row>
    <row r="138" spans="1:8" x14ac:dyDescent="0.3">
      <c r="A138" t="s">
        <v>131</v>
      </c>
      <c r="B138" s="12" t="str">
        <f>B135&amp;" - "&amp;B137&amp;" - "&amp;B134</f>
        <v>Bicycle, electric (&lt;45 km/h) - 2050 - CH</v>
      </c>
    </row>
    <row r="139" spans="1:8" x14ac:dyDescent="0.3">
      <c r="A139" t="s">
        <v>74</v>
      </c>
      <c r="B139" t="str">
        <f>B135</f>
        <v>Bicycle, electric (&lt;45 km/h)</v>
      </c>
    </row>
    <row r="140" spans="1:8" x14ac:dyDescent="0.3">
      <c r="A140" t="s">
        <v>75</v>
      </c>
      <c r="B140" t="s">
        <v>76</v>
      </c>
    </row>
    <row r="141" spans="1:8" x14ac:dyDescent="0.3">
      <c r="A141" t="s">
        <v>77</v>
      </c>
      <c r="B141" t="s">
        <v>77</v>
      </c>
    </row>
    <row r="142" spans="1:8" x14ac:dyDescent="0.3">
      <c r="A142" t="s">
        <v>79</v>
      </c>
      <c r="B142" t="s">
        <v>90</v>
      </c>
    </row>
    <row r="143" spans="1:8" x14ac:dyDescent="0.3">
      <c r="A143" t="s">
        <v>132</v>
      </c>
      <c r="B143">
        <f>INDEX('vehicles specifications'!$B$3:$CK$86,MATCH(B138,'vehicles specifications'!$A$3:$A$86,0),MATCH("Lifetime [km]",'vehicles specifications'!$B$2:$CK$2,0))</f>
        <v>30000</v>
      </c>
    </row>
    <row r="144" spans="1:8" x14ac:dyDescent="0.3">
      <c r="A144" t="s">
        <v>133</v>
      </c>
      <c r="B144">
        <f>INDEX('vehicles specifications'!$B$3:$CK$86,MATCH(B138,'vehicles specifications'!$A$3:$A$86,0),MATCH("Passengers [unit]",'vehicles specifications'!$B$2:$CK$2,0))</f>
        <v>1</v>
      </c>
    </row>
    <row r="145" spans="1:2" x14ac:dyDescent="0.3">
      <c r="A145" t="s">
        <v>134</v>
      </c>
      <c r="B145">
        <f>INDEX('vehicles specifications'!$B$3:$CK$86,MATCH(B138,'vehicles specifications'!$A$3:$A$86,0),MATCH("Servicing [unit]",'vehicles specifications'!$B$2:$CK$2,0))</f>
        <v>7.5</v>
      </c>
    </row>
    <row r="146" spans="1:2" x14ac:dyDescent="0.3">
      <c r="A146" t="s">
        <v>135</v>
      </c>
      <c r="B146">
        <f>INDEX('vehicles specifications'!$B$3:$CK$86,MATCH(B138,'vehicles specifications'!$A$3:$A$86,0),MATCH("Energy battery replacement [unit]",'vehicles specifications'!$B$2:$CK$2,0))</f>
        <v>0</v>
      </c>
    </row>
    <row r="147" spans="1:2" x14ac:dyDescent="0.3">
      <c r="A147" t="s">
        <v>136</v>
      </c>
      <c r="B147">
        <f>INDEX('vehicles specifications'!$B$3:$CK$86,MATCH(B138,'vehicles specifications'!$A$3:$A$86,0),MATCH("Annual kilometers [km]",'vehicles specifications'!$B$2:$CK$2,0))</f>
        <v>3000</v>
      </c>
    </row>
    <row r="148" spans="1:2" x14ac:dyDescent="0.3">
      <c r="A148" t="s">
        <v>137</v>
      </c>
      <c r="B148">
        <f>INDEX('vehicles specifications'!$B$3:$CK$86,MATCH(B138,'vehicles specifications'!$A$3:$A$86,0),MATCH("Curb mass [kg]",'vehicles specifications'!$B$2:$CK$2,0))</f>
        <v>27.989999999999995</v>
      </c>
    </row>
    <row r="149" spans="1:2" x14ac:dyDescent="0.3">
      <c r="A149" t="s">
        <v>138</v>
      </c>
      <c r="B149">
        <f>INDEX('vehicles specifications'!$B$3:$CK$86,MATCH(B138,'vehicles specifications'!$A$3:$A$86,0),MATCH("Power [kW]",'vehicles specifications'!$B$2:$CK$2,0))</f>
        <v>0.5</v>
      </c>
    </row>
    <row r="150" spans="1:2" x14ac:dyDescent="0.3">
      <c r="A150" t="s">
        <v>139</v>
      </c>
      <c r="B150">
        <f>INDEX('vehicles specifications'!$B$3:$CK$86,MATCH(B138,'vehicles specifications'!$A$3:$A$86,0),MATCH("Energy battery mass [kg]",'vehicles specifications'!$B$2:$CK$2,0))</f>
        <v>5.7200000000000006</v>
      </c>
    </row>
    <row r="151" spans="1:2" x14ac:dyDescent="0.3">
      <c r="A151" t="s">
        <v>140</v>
      </c>
      <c r="B151">
        <f>INDEX('vehicles specifications'!$B$3:$CK$86,MATCH(B138,'vehicles specifications'!$A$3:$A$86,0),MATCH("Electric energy stored [kWh]",'vehicles specifications'!$B$2:$CK$2,0))</f>
        <v>2.2000000000000002</v>
      </c>
    </row>
    <row r="152" spans="1:2" s="21" customFormat="1" x14ac:dyDescent="0.3">
      <c r="A152" s="21" t="s">
        <v>654</v>
      </c>
      <c r="B152" s="21">
        <f>INDEX('vehicles specifications'!$B$3:$CK$86,MATCH(B138,'vehicles specifications'!$A$3:$A$86,0),MATCH("Electric energy available [kWh]",'vehicles specifications'!$B$2:$CK$2,0))</f>
        <v>1.7600000000000002</v>
      </c>
    </row>
    <row r="153" spans="1:2" x14ac:dyDescent="0.3">
      <c r="A153" t="s">
        <v>143</v>
      </c>
      <c r="B153">
        <f>INDEX('vehicles specifications'!$B$3:$CK$86,MATCH(B138,'vehicles specifications'!$A$3:$A$86,0),MATCH("Oxydation energy stored [kWh]",'vehicles specifications'!$B$2:$CK$2,0))</f>
        <v>0</v>
      </c>
    </row>
    <row r="154" spans="1:2" x14ac:dyDescent="0.3">
      <c r="A154" t="s">
        <v>145</v>
      </c>
      <c r="B154">
        <f>INDEX('vehicles specifications'!$B$3:$CK$86,MATCH(B138,'vehicles specifications'!$A$3:$A$86,0),MATCH("Fuel mass [kg]",'vehicles specifications'!$B$2:$CK$2,0))</f>
        <v>0</v>
      </c>
    </row>
    <row r="155" spans="1:2" x14ac:dyDescent="0.3">
      <c r="A155" t="s">
        <v>141</v>
      </c>
      <c r="B155">
        <f>INDEX('vehicles specifications'!$B$3:$CK$86,MATCH(B138,'vehicles specifications'!$A$3:$A$86,0),MATCH("Range [km]",'vehicles specifications'!$B$2:$CK$2,0))</f>
        <v>139.83994946304489</v>
      </c>
    </row>
    <row r="156" spans="1:2" x14ac:dyDescent="0.3">
      <c r="A156" t="s">
        <v>142</v>
      </c>
      <c r="B156" t="str">
        <f>INDEX('vehicles specifications'!$B$3:$CK$86,MATCH(B138,'vehicles specifications'!$A$3:$A$86,0),MATCH("Emission standard",'vehicles specifications'!$B$2:$CK$2,0))</f>
        <v>None</v>
      </c>
    </row>
    <row r="157" spans="1:2" x14ac:dyDescent="0.3">
      <c r="A157" t="s">
        <v>144</v>
      </c>
      <c r="B157" s="6">
        <f>INDEX('vehicles specifications'!$B$3:$CK$86,MATCH(B138,'vehicles specifications'!$A$3:$A$86,0),MATCH("Lightweighting rate [%]",'vehicles specifications'!$B$2:$CK$2,0))</f>
        <v>7.0000000000000007E-2</v>
      </c>
    </row>
    <row r="158" spans="1:2" s="21" customFormat="1" x14ac:dyDescent="0.3">
      <c r="A158" s="21" t="s">
        <v>513</v>
      </c>
      <c r="B158" s="6" t="s">
        <v>514</v>
      </c>
    </row>
    <row r="159" spans="1:2" s="21" customFormat="1" x14ac:dyDescent="0.3">
      <c r="A159" s="21" t="s">
        <v>515</v>
      </c>
      <c r="B159" s="2">
        <v>15900</v>
      </c>
    </row>
    <row r="160" spans="1:2" s="21" customFormat="1" x14ac:dyDescent="0.3">
      <c r="A160" s="21" t="s">
        <v>516</v>
      </c>
      <c r="B160" s="2">
        <v>1000</v>
      </c>
    </row>
    <row r="161" spans="1:8" s="21" customFormat="1" x14ac:dyDescent="0.3">
      <c r="A161" s="21" t="s">
        <v>84</v>
      </c>
      <c r="B161" s="21" t="str">
        <f>"Power: "&amp;B149&amp;" kW. Lifetime: "&amp;B143&amp;" km. Annual kilometers: "&amp;ROUND(B147,0)&amp;" km. Number of passengers: "&amp;ROUND(B144,1)&amp;". Curb mass: "&amp;ROUND(B148,1)&amp;" kg. Lightweighting of glider: "&amp;ROUND(B157*100,0)&amp;"%. Emission standard: "&amp;B156&amp;". Service visits throughout lifetime: "&amp;ROUND(B145,1)&amp;". Range: "&amp;ROUND(B155,0)&amp;" km. Battery capacity: "&amp;ROUND(B151,1)&amp;" kWh. Available battery capacity: "&amp;B152&amp;" kWh. Battery mass: "&amp;ROUND(B150,1)&amp; " kg. Battery replacement throughout lifetime: "&amp;ROUND(B146,1)&amp;". Fuel tank capacity: "&amp;ROUND(B153,1)&amp;" kWh. Fuel mass: "&amp;ROUND(B154,1)&amp;" kg. Origin of manufacture: "&amp;B158&amp;". Shipping distance: "&amp;B159&amp;" km. Lorry distribution distance: "&amp;B160&amp;" km. Documentation: "&amp;Readmefirst!$B$2&amp;", "&amp;Readmefirst!$B$3&amp;". "&amp;'lci-kick scooter'!B142</f>
        <v>Power: 0.5 kW. Lifetime: 30000 km. Annual kilometers: 3000 km. Number of passengers: 1. Curb mass: 28 kg. Lightweighting of glider: 7%. Emission standard: None. Service visits throughout lifetime: 7.5. Range: 140 km. Battery capacity: 2.2 kWh. Available battery capacity: 1.76 kWh. Battery mass: 5.7 kg. Battery replacement throughout lifetime: 0. Fuel tank capacity: 0 kWh. Fuel mass: 0 kg. Origin of manufacture: China. Shipping distance: 15900 km. Lorry distribution distance: 1000 km. Documentation: 2021 UVEK life-cycle inventories update of on-road vehicles, Sacchi R. (PSI), Bauer C. (PSI), 2021. 1785</v>
      </c>
    </row>
    <row r="162" spans="1:8" ht="15.6" x14ac:dyDescent="0.3">
      <c r="A162" s="11" t="s">
        <v>80</v>
      </c>
    </row>
    <row r="163" spans="1:8" x14ac:dyDescent="0.3">
      <c r="A163" t="s">
        <v>81</v>
      </c>
      <c r="B163" t="s">
        <v>82</v>
      </c>
      <c r="C163" t="s">
        <v>73</v>
      </c>
      <c r="D163" t="s">
        <v>77</v>
      </c>
      <c r="E163" t="s">
        <v>83</v>
      </c>
      <c r="F163" t="s">
        <v>75</v>
      </c>
      <c r="G163" t="s">
        <v>84</v>
      </c>
      <c r="H163" t="s">
        <v>74</v>
      </c>
    </row>
    <row r="164" spans="1:8" x14ac:dyDescent="0.3">
      <c r="A164" s="12" t="str">
        <f>B133</f>
        <v>Bicycle, electric (&lt;45 km/h), 2050</v>
      </c>
      <c r="B164" s="12">
        <v>1</v>
      </c>
      <c r="C164" s="12" t="str">
        <f>B134</f>
        <v>CH</v>
      </c>
      <c r="D164" s="12" t="str">
        <f>B141</f>
        <v>unit</v>
      </c>
      <c r="E164" s="12"/>
      <c r="F164" s="12" t="s">
        <v>85</v>
      </c>
      <c r="G164" s="12" t="s">
        <v>86</v>
      </c>
      <c r="H164" s="12" t="str">
        <f>B135</f>
        <v>Bicycle, electric (&lt;45 km/h)</v>
      </c>
    </row>
    <row r="165" spans="1:8" x14ac:dyDescent="0.3">
      <c r="A165" s="12" t="str">
        <f>INDEX('ei names mapping'!$B$4:$R$33,MATCH($B$3,'ei names mapping'!$A$4:$A$33,0),MATCH(G165,'ei names mapping'!$B$3:$R$3,0))</f>
        <v>electric bicycle production, without battery and motor</v>
      </c>
      <c r="B165" s="14">
        <f>INDEX('vehicles specifications'!$B$3:$CK$86,MATCH(B138,'vehicles specifications'!$A$3:$A$86,0),MATCH(G165,'vehicles specifications'!$B$2:$CK$2,0))*INDEX('ei names mapping'!$B$137:$BK$220,MATCH(B138,'ei names mapping'!$A$137:$A$220,0),MATCH(G165,'ei names mapping'!$B$136:$BK$136,0))</f>
        <v>1.1176470588235294</v>
      </c>
      <c r="C165" s="12" t="str">
        <f>INDEX('ei names mapping'!$B$38:$R$67,MATCH($B$3,'ei names mapping'!$A$4:$A$33,0),MATCH(G165,'ei names mapping'!$B$3:$R$3,0))</f>
        <v>RER</v>
      </c>
      <c r="D165" s="12" t="str">
        <f>INDEX('ei names mapping'!$B$104:$R$133,MATCH(B135,'ei names mapping'!$A$104:$A$133,0),MATCH(G165,'ei names mapping'!$B$3:$R$3,0))</f>
        <v>unit</v>
      </c>
      <c r="E165" s="12"/>
      <c r="F165" s="12" t="s">
        <v>91</v>
      </c>
      <c r="G165" s="21" t="s">
        <v>15</v>
      </c>
      <c r="H165" s="12" t="str">
        <f>INDEX('ei names mapping'!$B$71:$R$100,MATCH($B$3,'ei names mapping'!$A$4:$A$33,0),MATCH(G165,'ei names mapping'!$B$3:$R$3,0))</f>
        <v>electric bicycle, without battery and motor</v>
      </c>
    </row>
    <row r="166" spans="1:8" x14ac:dyDescent="0.3">
      <c r="A166" s="12" t="str">
        <f>INDEX('ei names mapping'!$B$4:$R$33,MATCH($B$3,'ei names mapping'!$A$4:$A$33,0),MATCH(G166,'ei names mapping'!$B$3:$R$3,0))</f>
        <v>market for electric motor, vehicle</v>
      </c>
      <c r="B166" s="14">
        <f>INDEX('vehicles specifications'!$B$3:$CK$86,MATCH(B138,'vehicles specifications'!$A$3:$A$86,0),MATCH(G166,'vehicles specifications'!$B$2:$CK$2,0))*INDEX('ei names mapping'!$B$137:$BK$220,MATCH(B138,'ei names mapping'!$A$137:$A$220,0),MATCH(G166,'ei names mapping'!$B$136:$BK$136,0))</f>
        <v>4.5999999999999996</v>
      </c>
      <c r="C166" s="12" t="str">
        <f>INDEX('ei names mapping'!$B$38:$R$67,MATCH($B$3,'ei names mapping'!$A$4:$A$33,0),MATCH(G166,'ei names mapping'!$B$3:$R$3,0))</f>
        <v>GLO</v>
      </c>
      <c r="D166" s="12" t="str">
        <f>INDEX('ei names mapping'!$B$104:$R$133,MATCH(B135,'ei names mapping'!$A$104:$A$133,0),MATCH(G166,'ei names mapping'!$B$3:$R$3,0))</f>
        <v>kilogram</v>
      </c>
      <c r="E166" s="12"/>
      <c r="F166" s="12" t="s">
        <v>91</v>
      </c>
      <c r="G166" t="s">
        <v>557</v>
      </c>
      <c r="H166" s="12" t="str">
        <f>INDEX('ei names mapping'!$B$71:$R$100,MATCH($B$3,'ei names mapping'!$A$4:$A$33,0),MATCH(G166,'ei names mapping'!$B$3:$R$3,0))</f>
        <v>electric motor, vehicle</v>
      </c>
    </row>
    <row r="167" spans="1:8" s="21" customFormat="1" x14ac:dyDescent="0.3">
      <c r="A167" s="12" t="str">
        <f>INDEX('ei names mapping'!$B$4:$R$33,MATCH(B135,'ei names mapping'!$A$4:$A$33,0),MATCH(G167,'ei names mapping'!$B$3:$R$3,0))</f>
        <v>glider lightweighting</v>
      </c>
      <c r="B167" s="16">
        <f>INDEX('vehicles specifications'!$B$3:$CK$86,MATCH(B138,'vehicles specifications'!$A$3:$A$86,0),MATCH(G167,'vehicles specifications'!$B$2:$CK$2,0))*INDEX('ei names mapping'!$B$137:$BK$220,MATCH(B138,'ei names mapping'!$A$137:$A$220,0),MATCH(G167,'ei names mapping'!$B$136:$BK$136,0))</f>
        <v>1.33</v>
      </c>
      <c r="C167" s="12" t="str">
        <f>INDEX('ei names mapping'!$B$38:$R$67,MATCH(B135,'ei names mapping'!$A$4:$A$33,0),MATCH(G167,'ei names mapping'!$B$3:$R$3,0))</f>
        <v>GLO</v>
      </c>
      <c r="D167" s="12" t="str">
        <f>INDEX('ei names mapping'!$B$104:$R$133,MATCH(B135,'ei names mapping'!$A$104:$A$133,0),MATCH(G167,'ei names mapping'!$B$3:$R$3,0))</f>
        <v>kilogram</v>
      </c>
      <c r="E167" s="12"/>
      <c r="F167" s="12" t="s">
        <v>91</v>
      </c>
      <c r="G167" s="21" t="s">
        <v>14</v>
      </c>
      <c r="H167" s="12" t="str">
        <f>INDEX('ei names mapping'!$B$71:$R$100,MATCH(B135,'ei names mapping'!$A$4:$A$33,0),MATCH(G167,'ei names mapping'!$B$3:$R$3,0))</f>
        <v>glider lightweighting</v>
      </c>
    </row>
    <row r="168" spans="1:8" x14ac:dyDescent="0.3">
      <c r="A168" s="12" t="str">
        <f>INDEX('ei names mapping'!$B$4:$R$33,MATCH($B$3,'ei names mapping'!$A$4:$A$33,0),MATCH(G168,'ei names mapping'!$B$3:$R$3,0))</f>
        <v>Battery cell, NMC</v>
      </c>
      <c r="B168" s="14">
        <f>INDEX('vehicles specifications'!$B$3:$CK$86,MATCH(B138,'vehicles specifications'!$A$3:$A$86,0),MATCH(G168,'vehicles specifications'!$B$2:$CK$2,0))*INDEX('ei names mapping'!$B$137:$BK$220,MATCH(B138,'ei names mapping'!$A$137:$A$220,0),MATCH(G168,'ei names mapping'!$B$136:$BK$136,0))</f>
        <v>4.4000000000000004</v>
      </c>
      <c r="C168" s="12" t="str">
        <f>INDEX('ei names mapping'!$B$38:$R$67,MATCH($B$3,'ei names mapping'!$A$4:$A$33,0),MATCH(G168,'ei names mapping'!$B$3:$R$3,0))</f>
        <v>GLO</v>
      </c>
      <c r="D168" s="12" t="str">
        <f>INDEX('ei names mapping'!$B$104:$R$133,MATCH(B135,'ei names mapping'!$A$104:$A$133,0),MATCH(G168,'ei names mapping'!$B$3:$R$3,0))</f>
        <v>kilogram</v>
      </c>
      <c r="E168" s="12"/>
      <c r="F168" s="12" t="s">
        <v>91</v>
      </c>
      <c r="G168" t="s">
        <v>19</v>
      </c>
      <c r="H168" s="12" t="str">
        <f>INDEX('ei names mapping'!$B$71:$R$100,MATCH($B$3,'ei names mapping'!$A$4:$A$33,0),MATCH(G168,'ei names mapping'!$B$3:$R$3,0))</f>
        <v>Battery cell</v>
      </c>
    </row>
    <row r="169" spans="1:8" x14ac:dyDescent="0.3">
      <c r="A169" s="12" t="str">
        <f>INDEX('ei names mapping'!$B$4:$R$33,MATCH($B$3,'ei names mapping'!$A$4:$A$33,0),MATCH(G169,'ei names mapping'!$B$3:$R$3,0))</f>
        <v>Battery BoP</v>
      </c>
      <c r="B169" s="14">
        <f>INDEX('vehicles specifications'!$B$3:$CK$86,MATCH(B138,'vehicles specifications'!$A$3:$A$86,0),MATCH(G169,'vehicles specifications'!$B$2:$CK$2,0))*INDEX('ei names mapping'!$B$137:$BK$220,MATCH(B138,'ei names mapping'!$A$137:$A$220,0),MATCH(G169,'ei names mapping'!$B$136:$BK$136,0))</f>
        <v>1.32</v>
      </c>
      <c r="C169" s="12" t="str">
        <f>INDEX('ei names mapping'!$B$38:$R$67,MATCH($B$3,'ei names mapping'!$A$4:$A$33,0),MATCH(G169,'ei names mapping'!$B$3:$R$3,0))</f>
        <v>GLO</v>
      </c>
      <c r="D169" s="12" t="str">
        <f>INDEX('ei names mapping'!$B$104:$R$133,MATCH(B135,'ei names mapping'!$A$104:$A$133,0),MATCH(G169,'ei names mapping'!$B$3:$R$3,0))</f>
        <v>kilogram</v>
      </c>
      <c r="E169" s="12"/>
      <c r="F169" s="12" t="s">
        <v>91</v>
      </c>
      <c r="G169" t="s">
        <v>20</v>
      </c>
      <c r="H169" s="12" t="str">
        <f>INDEX('ei names mapping'!$B$71:$R$100,MATCH($B$3,'ei names mapping'!$A$4:$A$33,0),MATCH(G169,'ei names mapping'!$B$3:$R$3,0))</f>
        <v>Battery BoP</v>
      </c>
    </row>
    <row r="170" spans="1:8" x14ac:dyDescent="0.3">
      <c r="A170" s="12" t="str">
        <f>INDEX('ei names mapping'!$B$4:$R$33,MATCH($B$3,'ei names mapping'!$A$4:$A$33,0),MATCH(G170,'ei names mapping'!$B$3:$R$3,0))</f>
        <v>charging station, 500W</v>
      </c>
      <c r="B170" s="14">
        <f>INDEX('vehicles specifications'!$B$3:$CK$86,MATCH(B138,'vehicles specifications'!$A$3:$A$86,0),MATCH(G170,'vehicles specifications'!$B$2:$CK$2,0))*INDEX('ei names mapping'!$B$137:$BK$220,MATCH(B138,'ei names mapping'!$A$137:$A$220,0),MATCH(G170,'ei names mapping'!$B$136:$BK$136,0))</f>
        <v>1</v>
      </c>
      <c r="C170" s="12" t="str">
        <f>INDEX('ei names mapping'!$B$38:$R$67,MATCH($B$3,'ei names mapping'!$A$4:$A$33,0),MATCH(G170,'ei names mapping'!$B$3:$R$3,0))</f>
        <v>GLO</v>
      </c>
      <c r="D170" s="12" t="str">
        <f>INDEX('ei names mapping'!$B$104:$R$133,MATCH(B135,'ei names mapping'!$A$104:$A$133,0),MATCH(G170,'ei names mapping'!$B$3:$R$3,0))</f>
        <v>unit</v>
      </c>
      <c r="E170" s="12"/>
      <c r="F170" s="12" t="s">
        <v>91</v>
      </c>
      <c r="G170" t="s">
        <v>53</v>
      </c>
      <c r="H170" s="12" t="str">
        <f>INDEX('ei names mapping'!$B$71:$R$100,MATCH($B$3,'ei names mapping'!$A$4:$A$33,0),MATCH(G170,'ei names mapping'!$B$3:$R$3,0))</f>
        <v>charging station, 500W</v>
      </c>
    </row>
    <row r="171" spans="1:8" x14ac:dyDescent="0.3">
      <c r="A171" s="12" t="str">
        <f>INDEX('ei names mapping'!$B$4:$R$33,MATCH($B$3,'ei names mapping'!$A$4:$A$33,0),MATCH(G171,'ei names mapping'!$B$3:$R$3,0))</f>
        <v>treatment of used electric bicycle</v>
      </c>
      <c r="B171" s="14">
        <f>INDEX('vehicles specifications'!$B$3:$CK$86,MATCH(B138,'vehicles specifications'!$A$3:$A$86,0),MATCH(G171,'vehicles specifications'!$B$2:$CK$2,0))*INDEX('ei names mapping'!$B$137:$BK$220,MATCH(B138,'ei names mapping'!$A$137:$A$220,0),MATCH(G171,'ei names mapping'!$B$136:$BK$136,0))</f>
        <v>-0.73624999999999985</v>
      </c>
      <c r="C171" s="12" t="str">
        <f>INDEX('ei names mapping'!$B$38:$R$67,MATCH($B$3,'ei names mapping'!$A$4:$A$33,0),MATCH(G171,'ei names mapping'!$B$3:$R$3,0))</f>
        <v>CH</v>
      </c>
      <c r="D171" s="12" t="str">
        <f>INDEX('ei names mapping'!$B$104:$R$133,MATCH(B135,'ei names mapping'!$A$104:$A$133,0),MATCH(G171,'ei names mapping'!$B$3:$R$3,0))</f>
        <v>unit</v>
      </c>
      <c r="E171" s="12"/>
      <c r="F171" s="12" t="s">
        <v>91</v>
      </c>
      <c r="G171" t="s">
        <v>150</v>
      </c>
      <c r="H171" s="12" t="str">
        <f>INDEX('ei names mapping'!$B$71:$R$100,MATCH($B$3,'ei names mapping'!$A$4:$A$33,0),MATCH(G171,'ei names mapping'!$B$3:$R$3,0))</f>
        <v>used electric bicycle</v>
      </c>
    </row>
    <row r="172" spans="1:8" x14ac:dyDescent="0.3">
      <c r="A172" s="12" t="str">
        <f>INDEX('ei names mapping'!$B$4:$R$33,MATCH($B$3,'ei names mapping'!$A$4:$A$33,0),MATCH(G172,'ei names mapping'!$B$3:$R$3,0))</f>
        <v>treatment of used electric bicycle</v>
      </c>
      <c r="B172" s="14">
        <f>INDEX('vehicles specifications'!$B$3:$CK$86,MATCH(B138,'vehicles specifications'!$A$3:$A$86,0),MATCH(G172,'vehicles specifications'!$B$2:$CK$2,0))*INDEX('ei names mapping'!$B$137:$BK$220,MATCH(B138,'ei names mapping'!$A$137:$A$220,0),MATCH(G172,'ei names mapping'!$B$136:$BK$136,0))</f>
        <v>-0.19166666666666665</v>
      </c>
      <c r="C172" s="12" t="str">
        <f>INDEX('ei names mapping'!$B$38:$R$67,MATCH($B$3,'ei names mapping'!$A$4:$A$33,0),MATCH(G172,'ei names mapping'!$B$3:$R$3,0))</f>
        <v>CH</v>
      </c>
      <c r="D172" s="12" t="str">
        <f>INDEX('ei names mapping'!$B$104:$R$133,MATCH(B135,'ei names mapping'!$A$104:$A$133,0),MATCH(G172,'ei names mapping'!$B$3:$R$3,0))</f>
        <v>unit</v>
      </c>
      <c r="E172" s="12"/>
      <c r="F172" s="12" t="s">
        <v>91</v>
      </c>
      <c r="G172" t="s">
        <v>151</v>
      </c>
      <c r="H172" s="12" t="str">
        <f>INDEX('ei names mapping'!$B$71:$R$100,MATCH($B$3,'ei names mapping'!$A$4:$A$33,0),MATCH(G172,'ei names mapping'!$B$3:$R$3,0))</f>
        <v>used electric bicycle</v>
      </c>
    </row>
    <row r="173" spans="1:8" x14ac:dyDescent="0.3">
      <c r="A173" s="12" t="str">
        <f>INDEX('ei names mapping'!$B$4:$R$33,MATCH($B$3,'ei names mapping'!$A$4:$A$33,0),MATCH(G173,'ei names mapping'!$B$3:$R$3,0))</f>
        <v>market for used Li-ion battery</v>
      </c>
      <c r="B173" s="14">
        <f>INDEX('vehicles specifications'!$B$3:$CK$86,MATCH(B138,'vehicles specifications'!$A$3:$A$86,0),MATCH(G173,'vehicles specifications'!$B$2:$CK$2,0))*INDEX('ei names mapping'!$B$137:$BK$220,MATCH(B138,'ei names mapping'!$A$137:$A$220,0),MATCH(G173,'ei names mapping'!$B$136:$BK$136,0))</f>
        <v>-5.7200000000000006</v>
      </c>
      <c r="C173" s="12" t="str">
        <f>INDEX('ei names mapping'!$B$38:$R$67,MATCH($B$3,'ei names mapping'!$A$4:$A$33,0),MATCH(G173,'ei names mapping'!$B$3:$R$3,0))</f>
        <v>GLO</v>
      </c>
      <c r="D173" s="12" t="str">
        <f>INDEX('ei names mapping'!$B$104:$R$133,MATCH(B135,'ei names mapping'!$A$104:$A$133,0),MATCH(G173,'ei names mapping'!$B$3:$R$3,0))</f>
        <v>kilogram</v>
      </c>
      <c r="E173" s="12"/>
      <c r="F173" s="12" t="s">
        <v>91</v>
      </c>
      <c r="G173" t="s">
        <v>152</v>
      </c>
      <c r="H173" s="12" t="str">
        <f>INDEX('ei names mapping'!$B$71:$R$100,MATCH($B$3,'ei names mapping'!$A$4:$A$33,0),MATCH(G173,'ei names mapping'!$B$3:$R$3,0))</f>
        <v>used Li-ion battery</v>
      </c>
    </row>
    <row r="174" spans="1:8" s="21" customFormat="1" x14ac:dyDescent="0.3">
      <c r="A174" s="22" t="s">
        <v>468</v>
      </c>
      <c r="B174" s="21">
        <f>(B148/1000)*B160</f>
        <v>27.989999999999995</v>
      </c>
      <c r="C174" s="21" t="s">
        <v>94</v>
      </c>
      <c r="D174" s="21" t="s">
        <v>243</v>
      </c>
      <c r="F174" s="21" t="s">
        <v>91</v>
      </c>
      <c r="H174" s="22" t="s">
        <v>469</v>
      </c>
    </row>
    <row r="175" spans="1:8" s="21" customFormat="1" x14ac:dyDescent="0.3">
      <c r="A175" s="22" t="s">
        <v>467</v>
      </c>
      <c r="B175" s="2">
        <f>(B148/1000)*B159</f>
        <v>445.04099999999988</v>
      </c>
      <c r="C175" s="21" t="s">
        <v>98</v>
      </c>
      <c r="D175" s="21" t="s">
        <v>243</v>
      </c>
      <c r="F175" s="21" t="s">
        <v>91</v>
      </c>
      <c r="H175" s="22" t="s">
        <v>467</v>
      </c>
    </row>
    <row r="177" spans="1:2" ht="15.6" x14ac:dyDescent="0.3">
      <c r="A177" s="11" t="s">
        <v>72</v>
      </c>
      <c r="B177" s="9" t="str">
        <f>"transport, "&amp;B179&amp;", "&amp;B181</f>
        <v>transport, Bicycle, electric (&lt;45 km/h), 2020</v>
      </c>
    </row>
    <row r="178" spans="1:2" x14ac:dyDescent="0.3">
      <c r="A178" t="s">
        <v>73</v>
      </c>
      <c r="B178" t="s">
        <v>37</v>
      </c>
    </row>
    <row r="179" spans="1:2" x14ac:dyDescent="0.3">
      <c r="A179" t="s">
        <v>87</v>
      </c>
      <c r="B179" s="21" t="s">
        <v>518</v>
      </c>
    </row>
    <row r="180" spans="1:2" x14ac:dyDescent="0.3">
      <c r="A180" t="s">
        <v>88</v>
      </c>
      <c r="B180" s="12"/>
    </row>
    <row r="181" spans="1:2" x14ac:dyDescent="0.3">
      <c r="A181" t="s">
        <v>89</v>
      </c>
      <c r="B181" s="12">
        <v>2020</v>
      </c>
    </row>
    <row r="182" spans="1:2" x14ac:dyDescent="0.3">
      <c r="A182" t="s">
        <v>131</v>
      </c>
      <c r="B182" s="12" t="str">
        <f>B179&amp;" - "&amp;B181&amp;" - "&amp;B178</f>
        <v>Bicycle, electric (&lt;45 km/h) - 2020 - CH</v>
      </c>
    </row>
    <row r="183" spans="1:2" x14ac:dyDescent="0.3">
      <c r="A183" t="s">
        <v>74</v>
      </c>
      <c r="B183" s="12" t="str">
        <f>"transport, "&amp;B179</f>
        <v>transport, Bicycle, electric (&lt;45 km/h)</v>
      </c>
    </row>
    <row r="184" spans="1:2" x14ac:dyDescent="0.3">
      <c r="A184" t="s">
        <v>75</v>
      </c>
      <c r="B184" t="s">
        <v>76</v>
      </c>
    </row>
    <row r="185" spans="1:2" x14ac:dyDescent="0.3">
      <c r="A185" t="s">
        <v>77</v>
      </c>
      <c r="B185" t="s">
        <v>172</v>
      </c>
    </row>
    <row r="186" spans="1:2" x14ac:dyDescent="0.3">
      <c r="A186" t="s">
        <v>79</v>
      </c>
      <c r="B186" t="s">
        <v>90</v>
      </c>
    </row>
    <row r="187" spans="1:2" x14ac:dyDescent="0.3">
      <c r="A187" t="s">
        <v>132</v>
      </c>
      <c r="B187">
        <f>INDEX('vehicles specifications'!$B$3:$CK$86,MATCH(B182,'vehicles specifications'!$A$3:$A$86,0),MATCH("Lifetime [km]",'vehicles specifications'!$B$2:$CK$2,0))</f>
        <v>30000</v>
      </c>
    </row>
    <row r="188" spans="1:2" x14ac:dyDescent="0.3">
      <c r="A188" t="s">
        <v>133</v>
      </c>
      <c r="B188">
        <f>INDEX('vehicles specifications'!$B$3:$CK$86,MATCH(B182,'vehicles specifications'!$A$3:$A$86,0),MATCH("Passengers [unit]",'vehicles specifications'!$B$2:$CK$2,0))</f>
        <v>1</v>
      </c>
    </row>
    <row r="189" spans="1:2" x14ac:dyDescent="0.3">
      <c r="A189" t="s">
        <v>134</v>
      </c>
      <c r="B189">
        <f>INDEX('vehicles specifications'!$B$3:$CK$86,MATCH(B182,'vehicles specifications'!$A$3:$A$86,0),MATCH("Servicing [unit]",'vehicles specifications'!$B$2:$CK$2,0))</f>
        <v>7.5</v>
      </c>
    </row>
    <row r="190" spans="1:2" x14ac:dyDescent="0.3">
      <c r="A190" t="s">
        <v>135</v>
      </c>
      <c r="B190">
        <f>INDEX('vehicles specifications'!$B$3:$CK$86,MATCH(B182,'vehicles specifications'!$A$3:$A$86,0),MATCH("Energy battery replacement [unit]",'vehicles specifications'!$B$2:$CK$2,0))</f>
        <v>1</v>
      </c>
    </row>
    <row r="191" spans="1:2" x14ac:dyDescent="0.3">
      <c r="A191" t="s">
        <v>136</v>
      </c>
      <c r="B191">
        <f>INDEX('vehicles specifications'!$B$3:$CK$86,MATCH(B182,'vehicles specifications'!$A$3:$A$86,0),MATCH("Annual kilometers [km]",'vehicles specifications'!$B$2:$CK$2,0))</f>
        <v>3000</v>
      </c>
    </row>
    <row r="192" spans="1:2" x14ac:dyDescent="0.3">
      <c r="A192" t="s">
        <v>137</v>
      </c>
      <c r="B192">
        <f>INDEX('vehicles specifications'!$B$3:$CK$86,MATCH(B182,'vehicles specifications'!$A$3:$A$86,0),MATCH("Curb mass [kg]",'vehicles specifications'!$B$2:$CK$2,0))</f>
        <v>27.9</v>
      </c>
    </row>
    <row r="193" spans="1:8" x14ac:dyDescent="0.3">
      <c r="A193" t="s">
        <v>138</v>
      </c>
      <c r="B193">
        <f>INDEX('vehicles specifications'!$B$3:$CK$86,MATCH(B182,'vehicles specifications'!$A$3:$A$86,0),MATCH("Power [kW]",'vehicles specifications'!$B$2:$CK$2,0))</f>
        <v>0.5</v>
      </c>
    </row>
    <row r="194" spans="1:8" x14ac:dyDescent="0.3">
      <c r="A194" t="s">
        <v>139</v>
      </c>
      <c r="B194">
        <f>INDEX('vehicles specifications'!$B$3:$CK$86,MATCH(B182,'vehicles specifications'!$A$3:$A$86,0),MATCH("Energy battery mass [kg]",'vehicles specifications'!$B$2:$CK$2,0))</f>
        <v>3.8999999999999995</v>
      </c>
    </row>
    <row r="195" spans="1:8" x14ac:dyDescent="0.3">
      <c r="A195" t="s">
        <v>140</v>
      </c>
      <c r="B195">
        <f>INDEX('vehicles specifications'!$B$3:$CK$86,MATCH(B182,'vehicles specifications'!$A$3:$A$86,0),MATCH("Electric energy stored [kWh]",'vehicles specifications'!$B$2:$CK$2,0))</f>
        <v>0.6</v>
      </c>
    </row>
    <row r="196" spans="1:8" s="21" customFormat="1" x14ac:dyDescent="0.3">
      <c r="A196" s="21" t="s">
        <v>654</v>
      </c>
      <c r="B196" s="21">
        <f>INDEX('vehicles specifications'!$B$3:$CK$86,MATCH(B182,'vehicles specifications'!$A$3:$A$86,0),MATCH("Electric energy available [kWh]",'vehicles specifications'!$B$2:$CK$2,0))</f>
        <v>0.48</v>
      </c>
    </row>
    <row r="197" spans="1:8" x14ac:dyDescent="0.3">
      <c r="A197" t="s">
        <v>143</v>
      </c>
      <c r="B197">
        <f>INDEX('vehicles specifications'!$B$3:$CK$86,MATCH(B182,'vehicles specifications'!$A$3:$A$86,0),MATCH("Oxydation energy stored [kWh]",'vehicles specifications'!$B$2:$CK$2,0))</f>
        <v>0</v>
      </c>
    </row>
    <row r="198" spans="1:8" x14ac:dyDescent="0.3">
      <c r="A198" t="s">
        <v>145</v>
      </c>
      <c r="B198">
        <f>INDEX('vehicles specifications'!$B$3:$CK$86,MATCH(B182,'vehicles specifications'!$A$3:$A$86,0),MATCH("Fuel mass [kg]",'vehicles specifications'!$B$2:$CK$2,0))</f>
        <v>0</v>
      </c>
    </row>
    <row r="199" spans="1:8" x14ac:dyDescent="0.3">
      <c r="A199" t="s">
        <v>141</v>
      </c>
      <c r="B199">
        <f>INDEX('vehicles specifications'!$B$3:$CK$86,MATCH(B182,'vehicles specifications'!$A$3:$A$86,0),MATCH("Range [km]",'vehicles specifications'!$B$2:$CK$2,0))</f>
        <v>38.13816803537587</v>
      </c>
    </row>
    <row r="200" spans="1:8" x14ac:dyDescent="0.3">
      <c r="A200" t="s">
        <v>142</v>
      </c>
      <c r="B200" t="str">
        <f>INDEX('vehicles specifications'!$B$3:$CK$86,MATCH(B182,'vehicles specifications'!$A$3:$A$86,0),MATCH("Emission standard",'vehicles specifications'!$B$2:$CK$2,0))</f>
        <v>None</v>
      </c>
    </row>
    <row r="201" spans="1:8" x14ac:dyDescent="0.3">
      <c r="A201" t="s">
        <v>144</v>
      </c>
      <c r="B201" s="6">
        <f>INDEX('vehicles specifications'!$B$3:$CK$86,MATCH(B182,'vehicles specifications'!$A$3:$A$86,0),MATCH("Lightweighting rate [%]",'vehicles specifications'!$B$2:$CK$2,0))</f>
        <v>0</v>
      </c>
    </row>
    <row r="202" spans="1:8" x14ac:dyDescent="0.3">
      <c r="A202" t="s">
        <v>84</v>
      </c>
      <c r="B202" s="21" t="str">
        <f>"Power: "&amp;B193&amp;" kW. Lifetime: "&amp;B187&amp;" km. Annual kilometers: "&amp;B191&amp;" km. Number of passengers: "&amp;B188&amp;". Curb mass: "&amp;ROUND(B192,1)&amp;" kg. Lightweighting of glider: "&amp;ROUND(B201*100,0)&amp;"%. Emission standard: "&amp;B200&amp;". Service visits throughout lifetime: "&amp;ROUND(B189,1)&amp;". Range: "&amp;ROUND(B199,0)&amp;" km. Battery capacity: "&amp;ROUND(B195,1)&amp;" kWh. Available battery capacity: "&amp;B196&amp;" kWh. Battery mass: "&amp;ROUND(B194,1)&amp; " kg. Battery replacement throughout lifetime: "&amp;ROUND(B190,1)&amp;". Fuel tank capacity: "&amp;ROUND(B197,1)&amp;" kWh. Fuel mass: "&amp;ROUND(B198,1)&amp;" kg. Documentation: "&amp;Readmefirst!$B$2&amp;", "&amp;Readmefirst!$B$3&amp;". "&amp;B186</f>
        <v>Power: 0.5 kW. Lifetime: 30000 km. Annual kilometers: 3000 km. Number of passengers: 1. Curb mass: 27.9 kg. Lightweighting of glider: 0%. Emission standard: None. Service visits throughout lifetime: 7.5. Range: 38 km. Battery capacity: 0.6 kWh. Available battery capacity: 0.48 kWh. Battery mass: 3.9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3" spans="1:8" ht="15.6" x14ac:dyDescent="0.3">
      <c r="A203" s="11" t="s">
        <v>80</v>
      </c>
    </row>
    <row r="204" spans="1:8" x14ac:dyDescent="0.3">
      <c r="A204" t="s">
        <v>81</v>
      </c>
      <c r="B204" t="s">
        <v>82</v>
      </c>
      <c r="C204" t="s">
        <v>73</v>
      </c>
      <c r="D204" t="s">
        <v>77</v>
      </c>
      <c r="E204" t="s">
        <v>83</v>
      </c>
      <c r="F204" t="s">
        <v>75</v>
      </c>
      <c r="G204" t="s">
        <v>84</v>
      </c>
      <c r="H204" t="s">
        <v>74</v>
      </c>
    </row>
    <row r="205" spans="1:8" x14ac:dyDescent="0.3">
      <c r="A205" s="12" t="str">
        <f>B177</f>
        <v>transport, Bicycle, electric (&lt;45 km/h), 2020</v>
      </c>
      <c r="B205" s="12">
        <v>1</v>
      </c>
      <c r="C205" s="12" t="str">
        <f>B178</f>
        <v>CH</v>
      </c>
      <c r="D205" s="12" t="s">
        <v>172</v>
      </c>
      <c r="E205" s="12"/>
      <c r="F205" s="12" t="s">
        <v>85</v>
      </c>
      <c r="G205" s="12" t="s">
        <v>86</v>
      </c>
      <c r="H205" s="12" t="str">
        <f>B183</f>
        <v>transport, Bicycle, electric (&lt;45 km/h)</v>
      </c>
    </row>
    <row r="206" spans="1:8" x14ac:dyDescent="0.3">
      <c r="A206" s="12" t="str">
        <f>RIGHT(A205,LEN(A205)-11)</f>
        <v>Bicycle, electric (&lt;45 km/h), 2020</v>
      </c>
      <c r="B206" s="12">
        <f>1/B187</f>
        <v>3.3333333333333335E-5</v>
      </c>
      <c r="C206" s="12" t="str">
        <f>B178</f>
        <v>CH</v>
      </c>
      <c r="D206" s="12" t="s">
        <v>77</v>
      </c>
      <c r="E206" s="12"/>
      <c r="F206" s="12" t="s">
        <v>91</v>
      </c>
      <c r="G206" s="12"/>
      <c r="H206" s="12" t="str">
        <f>RIGHT(H205,LEN(H205)-11)</f>
        <v>Bicycle, electric (&lt;45 km/h)</v>
      </c>
    </row>
    <row r="207" spans="1:8" s="21" customFormat="1" x14ac:dyDescent="0.3">
      <c r="A207" s="12" t="str">
        <f>INDEX('ei names mapping'!$B$4:$R$33,MATCH(B179,'ei names mapping'!$A$4:$A$33,0),MATCH(G207,'ei names mapping'!$B$3:$R$3,0))</f>
        <v>road construction</v>
      </c>
      <c r="B207" s="16">
        <f>INDEX('vehicles specifications'!$B$3:$CK$86,MATCH(B182,'vehicles specifications'!$A$3:$A$86,0),MATCH(G207,'vehicles specifications'!$B$2:$CK$2,0))*INDEX('ei names mapping'!$B$137:$BK$220,MATCH(B182,'ei names mapping'!$A$137:$A$220,0),MATCH(G207,'ei names mapping'!$B$136:$BK$136,0))</f>
        <v>5.3109300000000003E-5</v>
      </c>
      <c r="C207" s="12" t="str">
        <f>INDEX('ei names mapping'!$B$38:$R$67,MATCH(B179,'ei names mapping'!$A$4:$A$33,0),MATCH(G207,'ei names mapping'!$B$3:$R$3,0))</f>
        <v>CH</v>
      </c>
      <c r="D207" s="12" t="str">
        <f>INDEX('ei names mapping'!$B$104:$BK$133,MATCH(B179,'ei names mapping'!$A$4:$A$33,0),MATCH(G207,'ei names mapping'!$B$3:$BK$3,0))</f>
        <v>meter-year</v>
      </c>
      <c r="E207" s="12"/>
      <c r="F207" s="12" t="s">
        <v>91</v>
      </c>
      <c r="G207" s="21" t="s">
        <v>108</v>
      </c>
      <c r="H207" s="12" t="str">
        <f>INDEX('ei names mapping'!$B$71:$BK$100,MATCH(B179,'ei names mapping'!$A$4:$A$33,0),MATCH(G207,'ei names mapping'!$B$3:$BK$3,0))</f>
        <v>road</v>
      </c>
    </row>
    <row r="208" spans="1:8" x14ac:dyDescent="0.3">
      <c r="A208" s="12" t="str">
        <f>INDEX('ei names mapping'!$B$4:$R$33,MATCH($B$3,'ei names mapping'!$A$4:$A$33,0),MATCH(G208,'ei names mapping'!$B$3:$R$3,0))</f>
        <v>market for electricity, low voltage</v>
      </c>
      <c r="B208" s="14">
        <f>INDEX('vehicles specifications'!$B$3:$CK$86,MATCH(B182,'vehicles specifications'!$A$3:$A$86,0),MATCH(G208,'vehicles specifications'!$B$2:$CK$2,0))*INDEX('ei names mapping'!$B$137:$BK$220,MATCH(B182,'ei names mapping'!$A$137:$A$220,0),MATCH(G208,'ei names mapping'!$B$136:$BK$136,0))</f>
        <v>1.3844398595922134E-2</v>
      </c>
      <c r="C208" s="12" t="str">
        <f>INDEX('ei names mapping'!$B$38:$R$67,MATCH($B$3,'ei names mapping'!$A$4:$A$33,0),MATCH(G208,'ei names mapping'!$B$3:$R$3,0))</f>
        <v>CH</v>
      </c>
      <c r="D208" s="12" t="str">
        <f>INDEX('ei names mapping'!$B$104:$R$133,MATCH($B$3,'ei names mapping'!$A$4:$A$33,0),MATCH(G208,'ei names mapping'!$B$3:$R$3,0))</f>
        <v>kilowatt hour</v>
      </c>
      <c r="E208" s="12"/>
      <c r="F208" s="12" t="s">
        <v>91</v>
      </c>
      <c r="G208" t="s">
        <v>28</v>
      </c>
      <c r="H208" s="12" t="str">
        <f>INDEX('ei names mapping'!$B$71:$R$100,MATCH($B$3,'ei names mapping'!$A$4:$A$33,0),MATCH(G208,'ei names mapping'!$B$3:$R$3,0))</f>
        <v>electricity, low voltage</v>
      </c>
    </row>
    <row r="209" spans="1:8" x14ac:dyDescent="0.3">
      <c r="A209" s="12" t="str">
        <f>INDEX('ei names mapping'!$B$4:$R$33,MATCH($B$3,'ei names mapping'!$A$4:$A$33,0),MATCH(G209,'ei names mapping'!$B$3:$R$3,0))</f>
        <v>maintenance, electric bicycle, without battery</v>
      </c>
      <c r="B209" s="14">
        <f>INDEX('vehicles specifications'!$B$3:$CK$86,MATCH(B182,'vehicles specifications'!$A$3:$A$86,0),MATCH(G209,'vehicles specifications'!$B$2:$CK$2,0))*INDEX('ei names mapping'!$B$137:$BK$220,MATCH(B182,'ei names mapping'!$A$137:$A$220,0),MATCH(G209,'ei names mapping'!$B$136:$BK$136,0))</f>
        <v>2.5000000000000001E-4</v>
      </c>
      <c r="C209" s="12" t="str">
        <f>INDEX('ei names mapping'!$B$38:$R$67,MATCH($B$3,'ei names mapping'!$A$4:$A$33,0),MATCH(G209,'ei names mapping'!$B$3:$R$3,0))</f>
        <v>CH</v>
      </c>
      <c r="D209" s="12" t="str">
        <f>INDEX('ei names mapping'!$B$104:$R$133,MATCH($B$3,'ei names mapping'!$A$4:$A$33,0),MATCH(G209,'ei names mapping'!$B$3:$R$3,0))</f>
        <v>unit</v>
      </c>
      <c r="E209" s="12"/>
      <c r="F209" s="12" t="s">
        <v>91</v>
      </c>
      <c r="G209" t="s">
        <v>123</v>
      </c>
      <c r="H209" s="12" t="str">
        <f>INDEX('ei names mapping'!$B$71:$R$100,MATCH($B$3,'ei names mapping'!$A$4:$A$33,0),MATCH(G209,'ei names mapping'!$B$3:$R$3,0))</f>
        <v>maintenance, electric bicycle, without battery</v>
      </c>
    </row>
    <row r="210" spans="1:8" x14ac:dyDescent="0.3">
      <c r="A210" s="12" t="str">
        <f>INDEX('ei names mapping'!$B$4:$BK$33,MATCH($B$179,'ei names mapping'!$A$4:$A$33,0),MATCH(G210,'ei names mapping'!$B$3:$BK$3,0))</f>
        <v>treatment of road wear emissions, passenger car</v>
      </c>
      <c r="B210" s="15">
        <f>INDEX('vehicles specifications'!$B$3:$CK$86,MATCH(B182,'vehicles specifications'!$A$3:$A$86,0),MATCH(G210,'vehicles specifications'!$B$2:$CK$2,0))*INDEX('ei names mapping'!$B$137:$BK$220,MATCH(B182,'ei names mapping'!$A$137:$A$220,0),MATCH(G210,'ei names mapping'!$B$136:$BK$136,0))</f>
        <v>-3.0000000000000001E-6</v>
      </c>
      <c r="C210" s="12" t="str">
        <f>INDEX('ei names mapping'!$B$38:$BK$67,MATCH($B$179,'ei names mapping'!$A$4:$A$33,0),MATCH(G210,'ei names mapping'!$B$3:$BK$3,0))</f>
        <v>RER</v>
      </c>
      <c r="D210" s="12" t="str">
        <f>INDEX('ei names mapping'!$B$104:$BK$133,MATCH($B$179,'ei names mapping'!$A$4:$A$33,0),MATCH(G210,'ei names mapping'!$B$3:$BK$3,0))</f>
        <v>kilogram</v>
      </c>
      <c r="E210" s="12"/>
      <c r="F210" s="12" t="s">
        <v>91</v>
      </c>
      <c r="G210" t="s">
        <v>29</v>
      </c>
      <c r="H210" s="12" t="str">
        <f>INDEX('ei names mapping'!$B$71:$BK$100,MATCH(B179,'ei names mapping'!$A$4:$A$33,0),MATCH(G210,'ei names mapping'!$B$3:$BK$3,0))</f>
        <v>road wear emissions, passenger car</v>
      </c>
    </row>
    <row r="211" spans="1:8" x14ac:dyDescent="0.3">
      <c r="A211" s="12" t="str">
        <f>INDEX('ei names mapping'!$B$4:$BK$33,MATCH($B$179,'ei names mapping'!$A$4:$A$33,0),MATCH(G211,'ei names mapping'!$B$3:$BK$3,0))</f>
        <v>treatment of tyre wear emissions, passenger car</v>
      </c>
      <c r="B211" s="15">
        <f>INDEX('vehicles specifications'!$B$3:$CK$86,MATCH(B182,'vehicles specifications'!$A$3:$A$86,0),MATCH(G211,'vehicles specifications'!$B$2:$CK$2,0))*INDEX('ei names mapping'!$B$137:$BK$220,MATCH(B182,'ei names mapping'!$A$137:$A$220,0),MATCH(G211,'ei names mapping'!$B$136:$BK$136,0))</f>
        <v>-2.9189999999999999E-6</v>
      </c>
      <c r="C211" s="12" t="str">
        <f>INDEX('ei names mapping'!$B$38:$BK$67,MATCH($B$179,'ei names mapping'!$A$4:$A$33,0),MATCH(G211,'ei names mapping'!$B$3:$BK$3,0))</f>
        <v>RER</v>
      </c>
      <c r="D211" s="12" t="str">
        <f>INDEX('ei names mapping'!$B$104:$BK$133,MATCH($B$179,'ei names mapping'!$A$4:$A$33,0),MATCH(G211,'ei names mapping'!$B$3:$BK$3,0))</f>
        <v>kilogram</v>
      </c>
      <c r="E211" s="12"/>
      <c r="F211" s="12" t="s">
        <v>91</v>
      </c>
      <c r="G211" t="s">
        <v>30</v>
      </c>
      <c r="H211" s="12" t="str">
        <f>INDEX('ei names mapping'!$B$71:$BK$100,MATCH($B$179,'ei names mapping'!$A$4:$A$33,0),MATCH(G211,'ei names mapping'!$B$3:$BK$3,0))</f>
        <v>tyre wear emissions, passenger car</v>
      </c>
    </row>
    <row r="212" spans="1:8" x14ac:dyDescent="0.3">
      <c r="A212" s="12" t="str">
        <f>INDEX('ei names mapping'!$B$4:$BK$33,MATCH($B$179,'ei names mapping'!$A$4:$A$33,0),MATCH(G212,'ei names mapping'!$B$3:$BK$3,0))</f>
        <v>treatment of brake wear emissions, passenger car</v>
      </c>
      <c r="B212" s="15">
        <f>INDEX('vehicles specifications'!$B$3:$CK$86,MATCH(B182,'vehicles specifications'!$A$3:$A$86,0),MATCH(G212,'vehicles specifications'!$B$2:$CK$2,0))*INDEX('ei names mapping'!$B$137:$BK$220,MATCH(B182,'ei names mapping'!$A$137:$A$220,0),MATCH(G212,'ei names mapping'!$B$136:$BK$136,0))</f>
        <v>-1.8370000000000002E-6</v>
      </c>
      <c r="C212" s="12" t="str">
        <f>INDEX('ei names mapping'!$B$38:$BK$67,MATCH($B$179,'ei names mapping'!$A$4:$A$33,0),MATCH(G212,'ei names mapping'!$B$3:$BK$3,0))</f>
        <v>RER</v>
      </c>
      <c r="D212" s="12" t="str">
        <f>INDEX('ei names mapping'!$B$104:$BK$133,MATCH($B$179,'ei names mapping'!$A$4:$A$33,0),MATCH(G212,'ei names mapping'!$B$3:$BK$3,0))</f>
        <v>kilogram</v>
      </c>
      <c r="E212" s="12"/>
      <c r="F212" s="12" t="s">
        <v>91</v>
      </c>
      <c r="G212" t="s">
        <v>31</v>
      </c>
      <c r="H212" s="12" t="str">
        <f>INDEX('ei names mapping'!$B$71:$BK$100,MATCH($B$179,'ei names mapping'!$A$4:$A$33,0),MATCH(G212,'ei names mapping'!$B$3:$BK$3,0))</f>
        <v>brake wear emissions, passenger car</v>
      </c>
    </row>
    <row r="214" spans="1:8" ht="15.6" x14ac:dyDescent="0.3">
      <c r="A214" s="11" t="s">
        <v>72</v>
      </c>
      <c r="B214" s="9" t="str">
        <f>"transport, "&amp;B216&amp;", "&amp;B218</f>
        <v>transport, Bicycle, electric (&lt;45 km/h), 2030</v>
      </c>
    </row>
    <row r="215" spans="1:8" x14ac:dyDescent="0.3">
      <c r="A215" t="s">
        <v>73</v>
      </c>
      <c r="B215" t="s">
        <v>37</v>
      </c>
    </row>
    <row r="216" spans="1:8" x14ac:dyDescent="0.3">
      <c r="A216" t="s">
        <v>87</v>
      </c>
      <c r="B216" s="21" t="s">
        <v>518</v>
      </c>
    </row>
    <row r="217" spans="1:8" x14ac:dyDescent="0.3">
      <c r="A217" t="s">
        <v>88</v>
      </c>
      <c r="B217" s="12"/>
    </row>
    <row r="218" spans="1:8" x14ac:dyDescent="0.3">
      <c r="A218" t="s">
        <v>89</v>
      </c>
      <c r="B218" s="12">
        <v>2030</v>
      </c>
    </row>
    <row r="219" spans="1:8" x14ac:dyDescent="0.3">
      <c r="A219" t="s">
        <v>131</v>
      </c>
      <c r="B219" s="12" t="str">
        <f>B216&amp;" - "&amp;B218&amp;" - "&amp;B215</f>
        <v>Bicycle, electric (&lt;45 km/h) - 2030 - CH</v>
      </c>
    </row>
    <row r="220" spans="1:8" x14ac:dyDescent="0.3">
      <c r="A220" t="s">
        <v>74</v>
      </c>
      <c r="B220" s="12" t="str">
        <f>"transport, "&amp;B216</f>
        <v>transport, Bicycle, electric (&lt;45 km/h)</v>
      </c>
    </row>
    <row r="221" spans="1:8" x14ac:dyDescent="0.3">
      <c r="A221" t="s">
        <v>75</v>
      </c>
      <c r="B221" t="s">
        <v>76</v>
      </c>
    </row>
    <row r="222" spans="1:8" x14ac:dyDescent="0.3">
      <c r="A222" t="s">
        <v>77</v>
      </c>
      <c r="B222" t="s">
        <v>172</v>
      </c>
    </row>
    <row r="223" spans="1:8" x14ac:dyDescent="0.3">
      <c r="A223" t="s">
        <v>79</v>
      </c>
      <c r="B223" t="s">
        <v>90</v>
      </c>
    </row>
    <row r="224" spans="1:8" x14ac:dyDescent="0.3">
      <c r="A224" t="s">
        <v>132</v>
      </c>
      <c r="B224">
        <f>INDEX('vehicles specifications'!$B$3:$CK$86,MATCH(B219,'vehicles specifications'!$A$3:$A$86,0),MATCH("Lifetime [km]",'vehicles specifications'!$B$2:$CK$2,0))</f>
        <v>30000</v>
      </c>
    </row>
    <row r="225" spans="1:2" x14ac:dyDescent="0.3">
      <c r="A225" t="s">
        <v>133</v>
      </c>
      <c r="B225">
        <f>INDEX('vehicles specifications'!$B$3:$CK$86,MATCH(B219,'vehicles specifications'!$A$3:$A$86,0),MATCH("Passengers [unit]",'vehicles specifications'!$B$2:$CK$2,0))</f>
        <v>1</v>
      </c>
    </row>
    <row r="226" spans="1:2" x14ac:dyDescent="0.3">
      <c r="A226" t="s">
        <v>134</v>
      </c>
      <c r="B226">
        <f>INDEX('vehicles specifications'!$B$3:$CK$86,MATCH(B219,'vehicles specifications'!$A$3:$A$86,0),MATCH("Servicing [unit]",'vehicles specifications'!$B$2:$CK$2,0))</f>
        <v>7.5</v>
      </c>
    </row>
    <row r="227" spans="1:2" x14ac:dyDescent="0.3">
      <c r="A227" t="s">
        <v>135</v>
      </c>
      <c r="B227">
        <f>INDEX('vehicles specifications'!$B$3:$CK$86,MATCH(B219,'vehicles specifications'!$A$3:$A$86,0),MATCH("Energy battery replacement [unit]",'vehicles specifications'!$B$2:$CK$2,0))</f>
        <v>0.5</v>
      </c>
    </row>
    <row r="228" spans="1:2" x14ac:dyDescent="0.3">
      <c r="A228" t="s">
        <v>136</v>
      </c>
      <c r="B228">
        <f>INDEX('vehicles specifications'!$B$3:$CK$86,MATCH(B219,'vehicles specifications'!$A$3:$A$86,0),MATCH("Annual kilometers [km]",'vehicles specifications'!$B$2:$CK$2,0))</f>
        <v>3000</v>
      </c>
    </row>
    <row r="229" spans="1:2" x14ac:dyDescent="0.3">
      <c r="A229" t="s">
        <v>137</v>
      </c>
      <c r="B229">
        <f>INDEX('vehicles specifications'!$B$3:$CK$86,MATCH(B219,'vehicles specifications'!$A$3:$A$86,0),MATCH("Curb mass [kg]",'vehicles specifications'!$B$2:$CK$2,0))</f>
        <v>27.663333333333334</v>
      </c>
    </row>
    <row r="230" spans="1:2" x14ac:dyDescent="0.3">
      <c r="A230" t="s">
        <v>138</v>
      </c>
      <c r="B230">
        <f>INDEX('vehicles specifications'!$B$3:$CK$86,MATCH(B219,'vehicles specifications'!$A$3:$A$86,0),MATCH("Power [kW]",'vehicles specifications'!$B$2:$CK$2,0))</f>
        <v>0.5</v>
      </c>
    </row>
    <row r="231" spans="1:2" x14ac:dyDescent="0.3">
      <c r="A231" t="s">
        <v>139</v>
      </c>
      <c r="B231">
        <f>INDEX('vehicles specifications'!$B$3:$CK$86,MATCH(B219,'vehicles specifications'!$A$3:$A$86,0),MATCH("Energy battery mass [kg]",'vehicles specifications'!$B$2:$CK$2,0))</f>
        <v>4.3333333333333339</v>
      </c>
    </row>
    <row r="232" spans="1:2" x14ac:dyDescent="0.3">
      <c r="A232" t="s">
        <v>140</v>
      </c>
      <c r="B232">
        <f>INDEX('vehicles specifications'!$B$3:$CK$86,MATCH(B219,'vehicles specifications'!$A$3:$A$86,0),MATCH("Electric energy stored [kWh]",'vehicles specifications'!$B$2:$CK$2,0))</f>
        <v>1</v>
      </c>
    </row>
    <row r="233" spans="1:2" s="21" customFormat="1" x14ac:dyDescent="0.3">
      <c r="A233" s="21" t="s">
        <v>654</v>
      </c>
      <c r="B233" s="21">
        <f>INDEX('vehicles specifications'!$B$3:$CK$86,MATCH(B219,'vehicles specifications'!$A$3:$A$86,0),MATCH("Electric energy available [kWh]",'vehicles specifications'!$B$2:$CK$2,0))</f>
        <v>0.8</v>
      </c>
    </row>
    <row r="234" spans="1:2" x14ac:dyDescent="0.3">
      <c r="A234" t="s">
        <v>143</v>
      </c>
      <c r="B234">
        <f>INDEX('vehicles specifications'!$B$3:$CK$86,MATCH(B219,'vehicles specifications'!$A$3:$A$86,0),MATCH("Oxydation energy stored [kWh]",'vehicles specifications'!$B$2:$CK$2,0))</f>
        <v>0</v>
      </c>
    </row>
    <row r="235" spans="1:2" x14ac:dyDescent="0.3">
      <c r="A235" t="s">
        <v>145</v>
      </c>
      <c r="B235">
        <f>INDEX('vehicles specifications'!$B$3:$CK$86,MATCH(B219,'vehicles specifications'!$A$3:$A$86,0),MATCH("Fuel mass [kg]",'vehicles specifications'!$B$2:$CK$2,0))</f>
        <v>0</v>
      </c>
    </row>
    <row r="236" spans="1:2" x14ac:dyDescent="0.3">
      <c r="A236" t="s">
        <v>141</v>
      </c>
      <c r="B236">
        <f>INDEX('vehicles specifications'!$B$3:$CK$86,MATCH(B219,'vehicles specifications'!$A$3:$A$86,0),MATCH("Range [km]",'vehicles specifications'!$B$2:$CK$2,0))</f>
        <v>63.563613392293121</v>
      </c>
    </row>
    <row r="237" spans="1:2" x14ac:dyDescent="0.3">
      <c r="A237" t="s">
        <v>142</v>
      </c>
      <c r="B237" t="str">
        <f>INDEX('vehicles specifications'!$B$3:$CK$86,MATCH(B219,'vehicles specifications'!$A$3:$A$86,0),MATCH("Emission standard",'vehicles specifications'!$B$2:$CK$2,0))</f>
        <v>None</v>
      </c>
    </row>
    <row r="238" spans="1:2" x14ac:dyDescent="0.3">
      <c r="A238" t="s">
        <v>144</v>
      </c>
      <c r="B238" s="6">
        <f>INDEX('vehicles specifications'!$B$3:$CK$86,MATCH(B219,'vehicles specifications'!$A$3:$A$86,0),MATCH("Lightweighting rate [%]",'vehicles specifications'!$B$2:$CK$2,0))</f>
        <v>0.03</v>
      </c>
    </row>
    <row r="239" spans="1:2" x14ac:dyDescent="0.3">
      <c r="A239" t="s">
        <v>84</v>
      </c>
      <c r="B239" s="21" t="str">
        <f>"Power: "&amp;B230&amp;" kW. Lifetime: "&amp;B224&amp;" km. Annual kilometers: "&amp;B228&amp;" km. Number of passengers: "&amp;B225&amp;". Curb mass: "&amp;ROUND(B229,1)&amp;" kg. Lightweighting of glider: "&amp;ROUND(B238*100,0)&amp;"%. Emission standard: "&amp;B237&amp;". Service visits throughout lifetime: "&amp;ROUND(B226,1)&amp;". Range: "&amp;ROUND(B236,0)&amp;" km. Battery capacity: "&amp;ROUND(B232,1)&amp;" kWh. Available battery capacity: "&amp;B233&amp;" kWh. Battery mass: "&amp;ROUND(B231,1)&amp; " kg. Battery replacement throughout lifetime: "&amp;ROUND(B227,1)&amp;". Fuel tank capacity: "&amp;ROUND(B234,1)&amp;" kWh. Fuel mass: "&amp;ROUND(B235,1)&amp;" kg. Documentation: "&amp;Readmefirst!$B$2&amp;", "&amp;Readmefirst!$B$3&amp;". "&amp;B223</f>
        <v>Power: 0.5 kW. Lifetime: 30000 km. Annual kilometers: 3000 km. Number of passengers: 1. Curb mass: 27.7 kg. Lightweighting of glider: 3%. Emission standard: None. Service visits throughout lifetime: 7.5. Range: 64 km. Battery capacity: 1 kWh. Available battery capacity: 0.8 kWh. Battery mass: 4.3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0" spans="1:2" ht="15.6" x14ac:dyDescent="0.3">
      <c r="A240" s="11" t="s">
        <v>80</v>
      </c>
    </row>
    <row r="241" spans="1:8" x14ac:dyDescent="0.3">
      <c r="A241" t="s">
        <v>81</v>
      </c>
      <c r="B241" t="s">
        <v>82</v>
      </c>
      <c r="C241" t="s">
        <v>73</v>
      </c>
      <c r="D241" t="s">
        <v>77</v>
      </c>
      <c r="E241" t="s">
        <v>83</v>
      </c>
      <c r="F241" t="s">
        <v>75</v>
      </c>
      <c r="G241" t="s">
        <v>84</v>
      </c>
      <c r="H241" t="s">
        <v>74</v>
      </c>
    </row>
    <row r="242" spans="1:8" x14ac:dyDescent="0.3">
      <c r="A242" s="12" t="str">
        <f>B214</f>
        <v>transport, Bicycle, electric (&lt;45 km/h), 2030</v>
      </c>
      <c r="B242" s="12">
        <v>1</v>
      </c>
      <c r="C242" s="12" t="str">
        <f>B215</f>
        <v>CH</v>
      </c>
      <c r="D242" s="12" t="s">
        <v>172</v>
      </c>
      <c r="E242" s="12"/>
      <c r="F242" s="12" t="s">
        <v>85</v>
      </c>
      <c r="G242" s="12" t="s">
        <v>86</v>
      </c>
      <c r="H242" s="12" t="str">
        <f>B220</f>
        <v>transport, Bicycle, electric (&lt;45 km/h)</v>
      </c>
    </row>
    <row r="243" spans="1:8" x14ac:dyDescent="0.3">
      <c r="A243" s="12" t="str">
        <f>RIGHT(A242,LEN(A242)-11)</f>
        <v>Bicycle, electric (&lt;45 km/h), 2030</v>
      </c>
      <c r="B243" s="12">
        <f>1/B224</f>
        <v>3.3333333333333335E-5</v>
      </c>
      <c r="C243" s="12" t="str">
        <f>B215</f>
        <v>CH</v>
      </c>
      <c r="D243" s="12" t="s">
        <v>77</v>
      </c>
      <c r="E243" s="12"/>
      <c r="F243" s="12" t="s">
        <v>91</v>
      </c>
      <c r="G243" s="12"/>
      <c r="H243" s="12" t="str">
        <f>RIGHT(H242,LEN(H242)-11)</f>
        <v>Bicycle, electric (&lt;45 km/h)</v>
      </c>
    </row>
    <row r="244" spans="1:8" s="21" customFormat="1" x14ac:dyDescent="0.3">
      <c r="A244" s="12" t="str">
        <f>INDEX('ei names mapping'!$B$4:$R$33,MATCH(B216,'ei names mapping'!$A$4:$A$33,0),MATCH(G244,'ei names mapping'!$B$3:$R$3,0))</f>
        <v>road construction</v>
      </c>
      <c r="B244" s="16">
        <f>INDEX('vehicles specifications'!$B$3:$CK$86,MATCH(B219,'vehicles specifications'!$A$3:$A$86,0),MATCH(G244,'vehicles specifications'!$B$2:$CK$2,0))*INDEX('ei names mapping'!$B$137:$BK$220,MATCH(B219,'ei names mapping'!$A$137:$A$220,0),MATCH(G244,'ei names mapping'!$B$136:$BK$136,0))</f>
        <v>5.2982209999999996E-5</v>
      </c>
      <c r="C244" s="12" t="str">
        <f>INDEX('ei names mapping'!$B$38:$R$67,MATCH(B216,'ei names mapping'!$A$4:$A$33,0),MATCH(G244,'ei names mapping'!$B$3:$R$3,0))</f>
        <v>CH</v>
      </c>
      <c r="D244" s="12" t="str">
        <f>INDEX('ei names mapping'!$B$104:$BK$133,MATCH(B216,'ei names mapping'!$A$4:$A$33,0),MATCH(G244,'ei names mapping'!$B$3:$BK$3,0))</f>
        <v>meter-year</v>
      </c>
      <c r="E244" s="12"/>
      <c r="F244" s="12" t="s">
        <v>91</v>
      </c>
      <c r="G244" s="21" t="s">
        <v>108</v>
      </c>
      <c r="H244" s="12" t="str">
        <f>INDEX('ei names mapping'!$B$71:$BK$100,MATCH(B216,'ei names mapping'!$A$4:$A$33,0),MATCH(G244,'ei names mapping'!$B$3:$BK$3,0))</f>
        <v>road</v>
      </c>
    </row>
    <row r="245" spans="1:8" x14ac:dyDescent="0.3">
      <c r="A245" s="12" t="str">
        <f>INDEX('ei names mapping'!$B$4:$R$33,MATCH($B$3,'ei names mapping'!$A$4:$A$33,0),MATCH(G245,'ei names mapping'!$B$3:$R$3,0))</f>
        <v>market for electricity, low voltage</v>
      </c>
      <c r="B245" s="14">
        <f>INDEX('vehicles specifications'!$B$3:$CK$86,MATCH(B219,'vehicles specifications'!$A$3:$A$86,0),MATCH(G245,'vehicles specifications'!$B$2:$CK$2,0))*INDEX('ei names mapping'!$B$137:$BK$220,MATCH(B219,'ei names mapping'!$A$137:$A$220,0),MATCH(G245,'ei names mapping'!$B$136:$BK$136,0))</f>
        <v>1.3844398595922134E-2</v>
      </c>
      <c r="C245" s="12" t="str">
        <f>INDEX('ei names mapping'!$B$38:$R$67,MATCH($B$3,'ei names mapping'!$A$4:$A$33,0),MATCH(G245,'ei names mapping'!$B$3:$R$3,0))</f>
        <v>CH</v>
      </c>
      <c r="D245" s="12" t="str">
        <f>INDEX('ei names mapping'!$B$104:$R$133,MATCH($B$3,'ei names mapping'!$A$4:$A$33,0),MATCH(G245,'ei names mapping'!$B$3:$R$3,0))</f>
        <v>kilowatt hour</v>
      </c>
      <c r="E245" s="12"/>
      <c r="F245" s="12" t="s">
        <v>91</v>
      </c>
      <c r="G245" t="s">
        <v>28</v>
      </c>
      <c r="H245" s="12" t="str">
        <f>INDEX('ei names mapping'!$B$71:$R$100,MATCH($B$3,'ei names mapping'!$A$4:$A$33,0),MATCH(G245,'ei names mapping'!$B$3:$R$3,0))</f>
        <v>electricity, low voltage</v>
      </c>
    </row>
    <row r="246" spans="1:8" x14ac:dyDescent="0.3">
      <c r="A246" s="12" t="str">
        <f>INDEX('ei names mapping'!$B$4:$R$33,MATCH($B$3,'ei names mapping'!$A$4:$A$33,0),MATCH(G246,'ei names mapping'!$B$3:$R$3,0))</f>
        <v>maintenance, electric bicycle, without battery</v>
      </c>
      <c r="B246" s="14">
        <f>INDEX('vehicles specifications'!$B$3:$CK$86,MATCH(B219,'vehicles specifications'!$A$3:$A$86,0),MATCH(G246,'vehicles specifications'!$B$2:$CK$2,0))*INDEX('ei names mapping'!$B$137:$BK$220,MATCH(B219,'ei names mapping'!$A$137:$A$220,0),MATCH(G246,'ei names mapping'!$B$136:$BK$136,0))</f>
        <v>2.5000000000000001E-4</v>
      </c>
      <c r="C246" s="12" t="str">
        <f>INDEX('ei names mapping'!$B$38:$R$67,MATCH($B$3,'ei names mapping'!$A$4:$A$33,0),MATCH(G246,'ei names mapping'!$B$3:$R$3,0))</f>
        <v>CH</v>
      </c>
      <c r="D246" s="12" t="str">
        <f>INDEX('ei names mapping'!$B$104:$R$133,MATCH($B$3,'ei names mapping'!$A$4:$A$33,0),MATCH(G246,'ei names mapping'!$B$3:$R$3,0))</f>
        <v>unit</v>
      </c>
      <c r="E246" s="12"/>
      <c r="F246" s="12" t="s">
        <v>91</v>
      </c>
      <c r="G246" t="s">
        <v>123</v>
      </c>
      <c r="H246" s="12" t="str">
        <f>INDEX('ei names mapping'!$B$71:$R$100,MATCH($B$3,'ei names mapping'!$A$4:$A$33,0),MATCH(G246,'ei names mapping'!$B$3:$R$3,0))</f>
        <v>maintenance, electric bicycle, without battery</v>
      </c>
    </row>
    <row r="247" spans="1:8" x14ac:dyDescent="0.3">
      <c r="A247" s="12" t="str">
        <f>INDEX('ei names mapping'!$B$4:$BK$33,MATCH($B$179,'ei names mapping'!$A$4:$A$33,0),MATCH(G247,'ei names mapping'!$B$3:$BK$3,0))</f>
        <v>treatment of road wear emissions, passenger car</v>
      </c>
      <c r="B247" s="15">
        <f>INDEX('vehicles specifications'!$B$3:$CK$86,MATCH(B219,'vehicles specifications'!$A$3:$A$86,0),MATCH(G247,'vehicles specifications'!$B$2:$CK$2,0))*INDEX('ei names mapping'!$B$137:$BK$220,MATCH(B219,'ei names mapping'!$A$137:$A$220,0),MATCH(G247,'ei names mapping'!$B$136:$BK$136,0))</f>
        <v>-3.0000000000000001E-6</v>
      </c>
      <c r="C247" s="12" t="str">
        <f>INDEX('ei names mapping'!$B$38:$BK$67,MATCH($B$179,'ei names mapping'!$A$4:$A$33,0),MATCH(G247,'ei names mapping'!$B$3:$BK$3,0))</f>
        <v>RER</v>
      </c>
      <c r="D247" s="12" t="str">
        <f>INDEX('ei names mapping'!$B$104:$BK$133,MATCH($B$179,'ei names mapping'!$A$4:$A$33,0),MATCH(G247,'ei names mapping'!$B$3:$BK$3,0))</f>
        <v>kilogram</v>
      </c>
      <c r="E247" s="12"/>
      <c r="F247" s="12" t="s">
        <v>91</v>
      </c>
      <c r="G247" t="s">
        <v>29</v>
      </c>
      <c r="H247" s="12" t="str">
        <f>INDEX('ei names mapping'!$B$71:$BK$100,MATCH(B216,'ei names mapping'!$A$4:$A$33,0),MATCH(G247,'ei names mapping'!$B$3:$BK$3,0))</f>
        <v>road wear emissions, passenger car</v>
      </c>
    </row>
    <row r="248" spans="1:8" x14ac:dyDescent="0.3">
      <c r="A248" s="12" t="str">
        <f>INDEX('ei names mapping'!$B$4:$BK$33,MATCH($B$179,'ei names mapping'!$A$4:$A$33,0),MATCH(G248,'ei names mapping'!$B$3:$BK$3,0))</f>
        <v>treatment of tyre wear emissions, passenger car</v>
      </c>
      <c r="B248" s="15">
        <f>INDEX('vehicles specifications'!$B$3:$CK$86,MATCH(B219,'vehicles specifications'!$A$3:$A$86,0),MATCH(G248,'vehicles specifications'!$B$2:$CK$2,0))*INDEX('ei names mapping'!$B$137:$BK$220,MATCH(B219,'ei names mapping'!$A$137:$A$220,0),MATCH(G248,'ei names mapping'!$B$136:$BK$136,0))</f>
        <v>-2.9189999999999999E-6</v>
      </c>
      <c r="C248" s="12" t="str">
        <f>INDEX('ei names mapping'!$B$38:$BK$67,MATCH($B$179,'ei names mapping'!$A$4:$A$33,0),MATCH(G248,'ei names mapping'!$B$3:$BK$3,0))</f>
        <v>RER</v>
      </c>
      <c r="D248" s="12" t="str">
        <f>INDEX('ei names mapping'!$B$104:$BK$133,MATCH($B$179,'ei names mapping'!$A$4:$A$33,0),MATCH(G248,'ei names mapping'!$B$3:$BK$3,0))</f>
        <v>kilogram</v>
      </c>
      <c r="E248" s="12"/>
      <c r="F248" s="12" t="s">
        <v>91</v>
      </c>
      <c r="G248" t="s">
        <v>30</v>
      </c>
      <c r="H248" s="12" t="str">
        <f>INDEX('ei names mapping'!$B$71:$BK$100,MATCH($B$179,'ei names mapping'!$A$4:$A$33,0),MATCH(G248,'ei names mapping'!$B$3:$BK$3,0))</f>
        <v>tyre wear emissions, passenger car</v>
      </c>
    </row>
    <row r="249" spans="1:8" x14ac:dyDescent="0.3">
      <c r="A249" s="12" t="str">
        <f>INDEX('ei names mapping'!$B$4:$BK$33,MATCH($B$179,'ei names mapping'!$A$4:$A$33,0),MATCH(G249,'ei names mapping'!$B$3:$BK$3,0))</f>
        <v>treatment of brake wear emissions, passenger car</v>
      </c>
      <c r="B249" s="15">
        <f>INDEX('vehicles specifications'!$B$3:$CK$86,MATCH(B219,'vehicles specifications'!$A$3:$A$86,0),MATCH(G249,'vehicles specifications'!$B$2:$CK$2,0))*INDEX('ei names mapping'!$B$137:$BK$220,MATCH(B219,'ei names mapping'!$A$137:$A$220,0),MATCH(G249,'ei names mapping'!$B$136:$BK$136,0))</f>
        <v>-1.8370000000000002E-6</v>
      </c>
      <c r="C249" s="12" t="str">
        <f>INDEX('ei names mapping'!$B$38:$BK$67,MATCH($B$179,'ei names mapping'!$A$4:$A$33,0),MATCH(G249,'ei names mapping'!$B$3:$BK$3,0))</f>
        <v>RER</v>
      </c>
      <c r="D249" s="12" t="str">
        <f>INDEX('ei names mapping'!$B$104:$BK$133,MATCH($B$179,'ei names mapping'!$A$4:$A$33,0),MATCH(G249,'ei names mapping'!$B$3:$BK$3,0))</f>
        <v>kilogram</v>
      </c>
      <c r="E249" s="12"/>
      <c r="F249" s="12" t="s">
        <v>91</v>
      </c>
      <c r="G249" t="s">
        <v>31</v>
      </c>
      <c r="H249" s="12" t="str">
        <f>INDEX('ei names mapping'!$B$71:$BK$100,MATCH($B$179,'ei names mapping'!$A$4:$A$33,0),MATCH(G249,'ei names mapping'!$B$3:$BK$3,0))</f>
        <v>brake wear emissions, passenger car</v>
      </c>
    </row>
    <row r="251" spans="1:8" ht="15.6" x14ac:dyDescent="0.3">
      <c r="A251" s="11" t="s">
        <v>72</v>
      </c>
      <c r="B251" s="9" t="str">
        <f>"transport, "&amp;B253&amp;", "&amp;B255</f>
        <v>transport, Bicycle, electric (&lt;45 km/h), 2040</v>
      </c>
    </row>
    <row r="252" spans="1:8" x14ac:dyDescent="0.3">
      <c r="A252" t="s">
        <v>73</v>
      </c>
      <c r="B252" t="s">
        <v>37</v>
      </c>
    </row>
    <row r="253" spans="1:8" x14ac:dyDescent="0.3">
      <c r="A253" t="s">
        <v>87</v>
      </c>
      <c r="B253" s="21" t="s">
        <v>518</v>
      </c>
    </row>
    <row r="254" spans="1:8" x14ac:dyDescent="0.3">
      <c r="A254" t="s">
        <v>88</v>
      </c>
      <c r="B254" s="12"/>
    </row>
    <row r="255" spans="1:8" x14ac:dyDescent="0.3">
      <c r="A255" t="s">
        <v>89</v>
      </c>
      <c r="B255" s="12">
        <v>2040</v>
      </c>
    </row>
    <row r="256" spans="1:8" x14ac:dyDescent="0.3">
      <c r="A256" t="s">
        <v>131</v>
      </c>
      <c r="B256" s="12" t="str">
        <f>B253&amp;" - "&amp;B255&amp;" - "&amp;B252</f>
        <v>Bicycle, electric (&lt;45 km/h) - 2040 - CH</v>
      </c>
    </row>
    <row r="257" spans="1:2" x14ac:dyDescent="0.3">
      <c r="A257" t="s">
        <v>74</v>
      </c>
      <c r="B257" s="12" t="str">
        <f>"transport, "&amp;B253</f>
        <v>transport, Bicycle, electric (&lt;45 km/h)</v>
      </c>
    </row>
    <row r="258" spans="1:2" x14ac:dyDescent="0.3">
      <c r="A258" t="s">
        <v>75</v>
      </c>
      <c r="B258" t="s">
        <v>76</v>
      </c>
    </row>
    <row r="259" spans="1:2" x14ac:dyDescent="0.3">
      <c r="A259" t="s">
        <v>77</v>
      </c>
      <c r="B259" t="s">
        <v>172</v>
      </c>
    </row>
    <row r="260" spans="1:2" x14ac:dyDescent="0.3">
      <c r="A260" t="s">
        <v>79</v>
      </c>
      <c r="B260" t="s">
        <v>90</v>
      </c>
    </row>
    <row r="261" spans="1:2" x14ac:dyDescent="0.3">
      <c r="A261" t="s">
        <v>132</v>
      </c>
      <c r="B261">
        <f>INDEX('vehicles specifications'!$B$3:$CK$86,MATCH(B256,'vehicles specifications'!$A$3:$A$86,0),MATCH("Lifetime [km]",'vehicles specifications'!$B$2:$CK$2,0))</f>
        <v>30000</v>
      </c>
    </row>
    <row r="262" spans="1:2" x14ac:dyDescent="0.3">
      <c r="A262" t="s">
        <v>133</v>
      </c>
      <c r="B262">
        <f>INDEX('vehicles specifications'!$B$3:$CK$86,MATCH(B256,'vehicles specifications'!$A$3:$A$86,0),MATCH("Passengers [unit]",'vehicles specifications'!$B$2:$CK$2,0))</f>
        <v>1</v>
      </c>
    </row>
    <row r="263" spans="1:2" x14ac:dyDescent="0.3">
      <c r="A263" t="s">
        <v>134</v>
      </c>
      <c r="B263">
        <f>INDEX('vehicles specifications'!$B$3:$CK$86,MATCH(B256,'vehicles specifications'!$A$3:$A$86,0),MATCH("Servicing [unit]",'vehicles specifications'!$B$2:$CK$2,0))</f>
        <v>7.5</v>
      </c>
    </row>
    <row r="264" spans="1:2" x14ac:dyDescent="0.3">
      <c r="A264" t="s">
        <v>135</v>
      </c>
      <c r="B264">
        <f>INDEX('vehicles specifications'!$B$3:$CK$86,MATCH(B256,'vehicles specifications'!$A$3:$A$86,0),MATCH("Energy battery replacement [unit]",'vehicles specifications'!$B$2:$CK$2,0))</f>
        <v>0.25</v>
      </c>
    </row>
    <row r="265" spans="1:2" x14ac:dyDescent="0.3">
      <c r="A265" t="s">
        <v>136</v>
      </c>
      <c r="B265">
        <f>INDEX('vehicles specifications'!$B$3:$CK$86,MATCH(B256,'vehicles specifications'!$A$3:$A$86,0),MATCH("Annual kilometers [km]",'vehicles specifications'!$B$2:$CK$2,0))</f>
        <v>3000</v>
      </c>
    </row>
    <row r="266" spans="1:2" x14ac:dyDescent="0.3">
      <c r="A266" t="s">
        <v>137</v>
      </c>
      <c r="B266">
        <f>INDEX('vehicles specifications'!$B$3:$CK$86,MATCH(B256,'vehicles specifications'!$A$3:$A$86,0),MATCH("Curb mass [kg]",'vehicles specifications'!$B$2:$CK$2,0))</f>
        <v>27.625</v>
      </c>
    </row>
    <row r="267" spans="1:2" x14ac:dyDescent="0.3">
      <c r="A267" t="s">
        <v>138</v>
      </c>
      <c r="B267">
        <f>INDEX('vehicles specifications'!$B$3:$CK$86,MATCH(B256,'vehicles specifications'!$A$3:$A$86,0),MATCH("Power [kW]",'vehicles specifications'!$B$2:$CK$2,0))</f>
        <v>0.5</v>
      </c>
    </row>
    <row r="268" spans="1:2" x14ac:dyDescent="0.3">
      <c r="A268" t="s">
        <v>139</v>
      </c>
      <c r="B268">
        <f>INDEX('vehicles specifications'!$B$3:$CK$86,MATCH(B256,'vehicles specifications'!$A$3:$A$86,0),MATCH("Energy battery mass [kg]",'vehicles specifications'!$B$2:$CK$2,0))</f>
        <v>4.875</v>
      </c>
    </row>
    <row r="269" spans="1:2" x14ac:dyDescent="0.3">
      <c r="A269" t="s">
        <v>140</v>
      </c>
      <c r="B269">
        <f>INDEX('vehicles specifications'!$B$3:$CK$86,MATCH(B256,'vehicles specifications'!$A$3:$A$86,0),MATCH("Electric energy stored [kWh]",'vehicles specifications'!$B$2:$CK$2,0))</f>
        <v>1.5</v>
      </c>
    </row>
    <row r="270" spans="1:2" s="21" customFormat="1" x14ac:dyDescent="0.3">
      <c r="A270" s="21" t="s">
        <v>654</v>
      </c>
      <c r="B270" s="21">
        <f>INDEX('vehicles specifications'!$B$3:$CK$86,MATCH(B256,'vehicles specifications'!$A$3:$A$86,0),MATCH("Electric energy available [kWh]",'vehicles specifications'!$B$2:$CK$2,0))</f>
        <v>1.2000000000000002</v>
      </c>
    </row>
    <row r="271" spans="1:2" x14ac:dyDescent="0.3">
      <c r="A271" t="s">
        <v>143</v>
      </c>
      <c r="B271">
        <f>INDEX('vehicles specifications'!$B$3:$CK$86,MATCH(B256,'vehicles specifications'!$A$3:$A$86,0),MATCH("Oxydation energy stored [kWh]",'vehicles specifications'!$B$2:$CK$2,0))</f>
        <v>0</v>
      </c>
    </row>
    <row r="272" spans="1:2" x14ac:dyDescent="0.3">
      <c r="A272" t="s">
        <v>145</v>
      </c>
      <c r="B272">
        <f>INDEX('vehicles specifications'!$B$3:$CK$86,MATCH(B256,'vehicles specifications'!$A$3:$A$86,0),MATCH("Fuel mass [kg]",'vehicles specifications'!$B$2:$CK$2,0))</f>
        <v>0</v>
      </c>
    </row>
    <row r="273" spans="1:8" x14ac:dyDescent="0.3">
      <c r="A273" t="s">
        <v>141</v>
      </c>
      <c r="B273">
        <f>INDEX('vehicles specifications'!$B$3:$CK$86,MATCH(B256,'vehicles specifications'!$A$3:$A$86,0),MATCH("Range [km]",'vehicles specifications'!$B$2:$CK$2,0))</f>
        <v>95.345420088439695</v>
      </c>
    </row>
    <row r="274" spans="1:8" x14ac:dyDescent="0.3">
      <c r="A274" t="s">
        <v>142</v>
      </c>
      <c r="B274" t="str">
        <f>INDEX('vehicles specifications'!$B$3:$CK$86,MATCH(B256,'vehicles specifications'!$A$3:$A$86,0),MATCH("Emission standard",'vehicles specifications'!$B$2:$CK$2,0))</f>
        <v>None</v>
      </c>
    </row>
    <row r="275" spans="1:8" x14ac:dyDescent="0.3">
      <c r="A275" t="s">
        <v>144</v>
      </c>
      <c r="B275" s="6">
        <f>INDEX('vehicles specifications'!$B$3:$CK$86,MATCH(B256,'vehicles specifications'!$A$3:$A$86,0),MATCH("Lightweighting rate [%]",'vehicles specifications'!$B$2:$CK$2,0))</f>
        <v>0.05</v>
      </c>
    </row>
    <row r="276" spans="1:8" x14ac:dyDescent="0.3">
      <c r="A276" t="s">
        <v>84</v>
      </c>
      <c r="B276" s="21" t="str">
        <f>"Power: "&amp;B267&amp;" kW. Lifetime: "&amp;B261&amp;" km. Annual kilometers: "&amp;B265&amp;" km. Number of passengers: "&amp;B262&amp;". Curb mass: "&amp;ROUND(B266,1)&amp;" kg. Lightweighting of glider: "&amp;ROUND(B275*100,0)&amp;"%. Emission standard: "&amp;B274&amp;". Service visits throughout lifetime: "&amp;ROUND(B263,1)&amp;". Range: "&amp;ROUND(B273,0)&amp;" km. Battery capacity: "&amp;ROUND(B269,1)&amp;" kWh. Available battery capacity: "&amp;B270&amp;" kWh. Battery mass: "&amp;ROUND(B268,1)&amp; " kg. Battery replacement throughout lifetime: "&amp;ROUND(B264,1)&amp;". Fuel tank capacity: "&amp;ROUND(B271,1)&amp;" kWh. Fuel mass: "&amp;ROUND(B272,1)&amp;" kg. Documentation: "&amp;Readmefirst!$B$2&amp;", "&amp;Readmefirst!$B$3&amp;". "&amp;B260</f>
        <v>Power: 0.5 kW. Lifetime: 30000 km. Annual kilometers: 3000 km. Number of passengers: 1. Curb mass: 27.6 kg. Lightweighting of glider: 5%. Emission standard: None. Service visits throughout lifetime: 7.5. Range: 95 km. Battery capacity: 1.5 kWh. Available battery capacity: 1.2 kWh. Battery mass: 4.9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77" spans="1:8" ht="15.6" x14ac:dyDescent="0.3">
      <c r="A277" s="11" t="s">
        <v>80</v>
      </c>
    </row>
    <row r="278" spans="1:8" x14ac:dyDescent="0.3">
      <c r="A278" t="s">
        <v>81</v>
      </c>
      <c r="B278" t="s">
        <v>82</v>
      </c>
      <c r="C278" t="s">
        <v>73</v>
      </c>
      <c r="D278" t="s">
        <v>77</v>
      </c>
      <c r="E278" t="s">
        <v>83</v>
      </c>
      <c r="F278" t="s">
        <v>75</v>
      </c>
      <c r="G278" t="s">
        <v>84</v>
      </c>
      <c r="H278" t="s">
        <v>74</v>
      </c>
    </row>
    <row r="279" spans="1:8" x14ac:dyDescent="0.3">
      <c r="A279" s="12" t="str">
        <f>B251</f>
        <v>transport, Bicycle, electric (&lt;45 km/h), 2040</v>
      </c>
      <c r="B279" s="12">
        <v>1</v>
      </c>
      <c r="C279" s="12" t="str">
        <f>B252</f>
        <v>CH</v>
      </c>
      <c r="D279" s="12" t="s">
        <v>172</v>
      </c>
      <c r="E279" s="12"/>
      <c r="F279" s="12" t="s">
        <v>85</v>
      </c>
      <c r="G279" s="12" t="s">
        <v>86</v>
      </c>
      <c r="H279" s="12" t="str">
        <f>B257</f>
        <v>transport, Bicycle, electric (&lt;45 km/h)</v>
      </c>
    </row>
    <row r="280" spans="1:8" x14ac:dyDescent="0.3">
      <c r="A280" s="12" t="str">
        <f>RIGHT(A279,LEN(A279)-11)</f>
        <v>Bicycle, electric (&lt;45 km/h), 2040</v>
      </c>
      <c r="B280" s="12">
        <f>1/B261</f>
        <v>3.3333333333333335E-5</v>
      </c>
      <c r="C280" s="12" t="str">
        <f>B252</f>
        <v>CH</v>
      </c>
      <c r="D280" s="12" t="s">
        <v>77</v>
      </c>
      <c r="E280" s="12"/>
      <c r="F280" s="12" t="s">
        <v>91</v>
      </c>
      <c r="G280" s="12"/>
      <c r="H280" s="12" t="str">
        <f>RIGHT(H279,LEN(H279)-11)</f>
        <v>Bicycle, electric (&lt;45 km/h)</v>
      </c>
    </row>
    <row r="281" spans="1:8" s="21" customFormat="1" x14ac:dyDescent="0.3">
      <c r="A281" s="12" t="str">
        <f>INDEX('ei names mapping'!$B$4:$R$33,MATCH(B253,'ei names mapping'!$A$4:$A$33,0),MATCH(G281,'ei names mapping'!$B$3:$R$3,0))</f>
        <v>road construction</v>
      </c>
      <c r="B281" s="16">
        <f>INDEX('vehicles specifications'!$B$3:$CK$86,MATCH(B256,'vehicles specifications'!$A$3:$A$86,0),MATCH(G281,'vehicles specifications'!$B$2:$CK$2,0))*INDEX('ei names mapping'!$B$137:$BK$220,MATCH(B256,'ei names mapping'!$A$137:$A$220,0),MATCH(G281,'ei names mapping'!$B$136:$BK$136,0))</f>
        <v>5.2961625E-5</v>
      </c>
      <c r="C281" s="12" t="str">
        <f>INDEX('ei names mapping'!$B$38:$R$67,MATCH(B253,'ei names mapping'!$A$4:$A$33,0),MATCH(G281,'ei names mapping'!$B$3:$R$3,0))</f>
        <v>CH</v>
      </c>
      <c r="D281" s="12" t="str">
        <f>INDEX('ei names mapping'!$B$104:$BK$133,MATCH(B253,'ei names mapping'!$A$4:$A$33,0),MATCH(G281,'ei names mapping'!$B$3:$BK$3,0))</f>
        <v>meter-year</v>
      </c>
      <c r="E281" s="12"/>
      <c r="F281" s="12" t="s">
        <v>91</v>
      </c>
      <c r="G281" s="21" t="s">
        <v>108</v>
      </c>
      <c r="H281" s="12" t="str">
        <f>INDEX('ei names mapping'!$B$71:$BK$100,MATCH(B253,'ei names mapping'!$A$4:$A$33,0),MATCH(G281,'ei names mapping'!$B$3:$BK$3,0))</f>
        <v>road</v>
      </c>
    </row>
    <row r="282" spans="1:8" x14ac:dyDescent="0.3">
      <c r="A282" s="12" t="str">
        <f>INDEX('ei names mapping'!$B$4:$R$33,MATCH($B$3,'ei names mapping'!$A$4:$A$33,0),MATCH(G282,'ei names mapping'!$B$3:$R$3,0))</f>
        <v>market for electricity, low voltage</v>
      </c>
      <c r="B282" s="14">
        <f>INDEX('vehicles specifications'!$B$3:$CK$86,MATCH(B256,'vehicles specifications'!$A$3:$A$86,0),MATCH(G282,'vehicles specifications'!$B$2:$CK$2,0))*INDEX('ei names mapping'!$B$137:$BK$220,MATCH(B256,'ei names mapping'!$A$137:$A$220,0),MATCH(G282,'ei names mapping'!$B$136:$BK$136,0))</f>
        <v>1.3844398595922134E-2</v>
      </c>
      <c r="C282" s="12" t="str">
        <f>INDEX('ei names mapping'!$B$38:$R$67,MATCH($B$3,'ei names mapping'!$A$4:$A$33,0),MATCH(G282,'ei names mapping'!$B$3:$R$3,0))</f>
        <v>CH</v>
      </c>
      <c r="D282" s="12" t="str">
        <f>INDEX('ei names mapping'!$B$104:$R$133,MATCH($B$3,'ei names mapping'!$A$4:$A$33,0),MATCH(G282,'ei names mapping'!$B$3:$R$3,0))</f>
        <v>kilowatt hour</v>
      </c>
      <c r="E282" s="12"/>
      <c r="F282" s="12" t="s">
        <v>91</v>
      </c>
      <c r="G282" t="s">
        <v>28</v>
      </c>
      <c r="H282" s="12" t="str">
        <f>INDEX('ei names mapping'!$B$71:$R$100,MATCH($B$3,'ei names mapping'!$A$4:$A$33,0),MATCH(G282,'ei names mapping'!$B$3:$R$3,0))</f>
        <v>electricity, low voltage</v>
      </c>
    </row>
    <row r="283" spans="1:8" x14ac:dyDescent="0.3">
      <c r="A283" s="12" t="str">
        <f>INDEX('ei names mapping'!$B$4:$R$33,MATCH($B$3,'ei names mapping'!$A$4:$A$33,0),MATCH(G283,'ei names mapping'!$B$3:$R$3,0))</f>
        <v>maintenance, electric bicycle, without battery</v>
      </c>
      <c r="B283" s="14">
        <f>INDEX('vehicles specifications'!$B$3:$CK$86,MATCH(B256,'vehicles specifications'!$A$3:$A$86,0),MATCH(G283,'vehicles specifications'!$B$2:$CK$2,0))*INDEX('ei names mapping'!$B$137:$BK$220,MATCH(B256,'ei names mapping'!$A$137:$A$220,0),MATCH(G283,'ei names mapping'!$B$136:$BK$136,0))</f>
        <v>2.5000000000000001E-4</v>
      </c>
      <c r="C283" s="12" t="str">
        <f>INDEX('ei names mapping'!$B$38:$R$67,MATCH($B$3,'ei names mapping'!$A$4:$A$33,0),MATCH(G283,'ei names mapping'!$B$3:$R$3,0))</f>
        <v>CH</v>
      </c>
      <c r="D283" s="12" t="str">
        <f>INDEX('ei names mapping'!$B$104:$R$133,MATCH($B$3,'ei names mapping'!$A$4:$A$33,0),MATCH(G283,'ei names mapping'!$B$3:$R$3,0))</f>
        <v>unit</v>
      </c>
      <c r="E283" s="12"/>
      <c r="F283" s="12" t="s">
        <v>91</v>
      </c>
      <c r="G283" t="s">
        <v>123</v>
      </c>
      <c r="H283" s="12" t="str">
        <f>INDEX('ei names mapping'!$B$71:$R$100,MATCH($B$3,'ei names mapping'!$A$4:$A$33,0),MATCH(G283,'ei names mapping'!$B$3:$R$3,0))</f>
        <v>maintenance, electric bicycle, without battery</v>
      </c>
    </row>
    <row r="284" spans="1:8" x14ac:dyDescent="0.3">
      <c r="A284" s="12" t="str">
        <f>INDEX('ei names mapping'!$B$4:$BK$33,MATCH($B$179,'ei names mapping'!$A$4:$A$33,0),MATCH(G284,'ei names mapping'!$B$3:$BK$3,0))</f>
        <v>treatment of road wear emissions, passenger car</v>
      </c>
      <c r="B284" s="15">
        <f>INDEX('vehicles specifications'!$B$3:$CK$86,MATCH(B256,'vehicles specifications'!$A$3:$A$86,0),MATCH(G284,'vehicles specifications'!$B$2:$CK$2,0))*INDEX('ei names mapping'!$B$137:$BK$220,MATCH(B256,'ei names mapping'!$A$137:$A$220,0),MATCH(G284,'ei names mapping'!$B$136:$BK$136,0))</f>
        <v>-3.0000000000000001E-6</v>
      </c>
      <c r="C284" s="12" t="str">
        <f>INDEX('ei names mapping'!$B$38:$BK$67,MATCH($B$179,'ei names mapping'!$A$4:$A$33,0),MATCH(G284,'ei names mapping'!$B$3:$BK$3,0))</f>
        <v>RER</v>
      </c>
      <c r="D284" s="12" t="str">
        <f>INDEX('ei names mapping'!$B$104:$BK$133,MATCH($B$179,'ei names mapping'!$A$4:$A$33,0),MATCH(G284,'ei names mapping'!$B$3:$BK$3,0))</f>
        <v>kilogram</v>
      </c>
      <c r="E284" s="12"/>
      <c r="F284" s="12" t="s">
        <v>91</v>
      </c>
      <c r="G284" t="s">
        <v>29</v>
      </c>
      <c r="H284" s="12" t="str">
        <f>INDEX('ei names mapping'!$B$71:$BK$100,MATCH(B253,'ei names mapping'!$A$4:$A$33,0),MATCH(G284,'ei names mapping'!$B$3:$BK$3,0))</f>
        <v>road wear emissions, passenger car</v>
      </c>
    </row>
    <row r="285" spans="1:8" x14ac:dyDescent="0.3">
      <c r="A285" s="12" t="str">
        <f>INDEX('ei names mapping'!$B$4:$BK$33,MATCH($B$179,'ei names mapping'!$A$4:$A$33,0),MATCH(G285,'ei names mapping'!$B$3:$BK$3,0))</f>
        <v>treatment of tyre wear emissions, passenger car</v>
      </c>
      <c r="B285" s="15">
        <f>INDEX('vehicles specifications'!$B$3:$CK$86,MATCH(B256,'vehicles specifications'!$A$3:$A$86,0),MATCH(G285,'vehicles specifications'!$B$2:$CK$2,0))*INDEX('ei names mapping'!$B$137:$BK$220,MATCH(B256,'ei names mapping'!$A$137:$A$220,0),MATCH(G285,'ei names mapping'!$B$136:$BK$136,0))</f>
        <v>-2.9189999999999999E-6</v>
      </c>
      <c r="C285" s="12" t="str">
        <f>INDEX('ei names mapping'!$B$38:$BK$67,MATCH($B$179,'ei names mapping'!$A$4:$A$33,0),MATCH(G285,'ei names mapping'!$B$3:$BK$3,0))</f>
        <v>RER</v>
      </c>
      <c r="D285" s="12" t="str">
        <f>INDEX('ei names mapping'!$B$104:$BK$133,MATCH($B$179,'ei names mapping'!$A$4:$A$33,0),MATCH(G285,'ei names mapping'!$B$3:$BK$3,0))</f>
        <v>kilogram</v>
      </c>
      <c r="E285" s="12"/>
      <c r="F285" s="12" t="s">
        <v>91</v>
      </c>
      <c r="G285" t="s">
        <v>30</v>
      </c>
      <c r="H285" s="12" t="str">
        <f>INDEX('ei names mapping'!$B$71:$BK$100,MATCH($B$179,'ei names mapping'!$A$4:$A$33,0),MATCH(G285,'ei names mapping'!$B$3:$BK$3,0))</f>
        <v>tyre wear emissions, passenger car</v>
      </c>
    </row>
    <row r="286" spans="1:8" x14ac:dyDescent="0.3">
      <c r="A286" s="12" t="str">
        <f>INDEX('ei names mapping'!$B$4:$BK$33,MATCH($B$179,'ei names mapping'!$A$4:$A$33,0),MATCH(G286,'ei names mapping'!$B$3:$BK$3,0))</f>
        <v>treatment of brake wear emissions, passenger car</v>
      </c>
      <c r="B286" s="15">
        <f>INDEX('vehicles specifications'!$B$3:$CK$86,MATCH(B256,'vehicles specifications'!$A$3:$A$86,0),MATCH(G286,'vehicles specifications'!$B$2:$CK$2,0))*INDEX('ei names mapping'!$B$137:$BK$220,MATCH(B256,'ei names mapping'!$A$137:$A$220,0),MATCH(G286,'ei names mapping'!$B$136:$BK$136,0))</f>
        <v>-1.8370000000000002E-6</v>
      </c>
      <c r="C286" s="12" t="str">
        <f>INDEX('ei names mapping'!$B$38:$BK$67,MATCH($B$179,'ei names mapping'!$A$4:$A$33,0),MATCH(G286,'ei names mapping'!$B$3:$BK$3,0))</f>
        <v>RER</v>
      </c>
      <c r="D286" s="12" t="str">
        <f>INDEX('ei names mapping'!$B$104:$BK$133,MATCH($B$179,'ei names mapping'!$A$4:$A$33,0),MATCH(G286,'ei names mapping'!$B$3:$BK$3,0))</f>
        <v>kilogram</v>
      </c>
      <c r="E286" s="12"/>
      <c r="F286" s="12" t="s">
        <v>91</v>
      </c>
      <c r="G286" t="s">
        <v>31</v>
      </c>
      <c r="H286" s="12" t="str">
        <f>INDEX('ei names mapping'!$B$71:$BK$100,MATCH($B$179,'ei names mapping'!$A$4:$A$33,0),MATCH(G286,'ei names mapping'!$B$3:$BK$3,0))</f>
        <v>brake wear emissions, passenger car</v>
      </c>
    </row>
    <row r="288" spans="1:8" ht="15.6" x14ac:dyDescent="0.3">
      <c r="A288" s="11" t="s">
        <v>72</v>
      </c>
      <c r="B288" s="9" t="str">
        <f>"transport, "&amp;B290&amp;", "&amp;B292</f>
        <v>transport, Bicycle, electric (&lt;45 km/h), 2050</v>
      </c>
    </row>
    <row r="289" spans="1:2" x14ac:dyDescent="0.3">
      <c r="A289" t="s">
        <v>73</v>
      </c>
      <c r="B289" t="s">
        <v>37</v>
      </c>
    </row>
    <row r="290" spans="1:2" x14ac:dyDescent="0.3">
      <c r="A290" t="s">
        <v>87</v>
      </c>
      <c r="B290" s="21" t="s">
        <v>518</v>
      </c>
    </row>
    <row r="291" spans="1:2" x14ac:dyDescent="0.3">
      <c r="A291" t="s">
        <v>88</v>
      </c>
      <c r="B291" s="12"/>
    </row>
    <row r="292" spans="1:2" x14ac:dyDescent="0.3">
      <c r="A292" t="s">
        <v>89</v>
      </c>
      <c r="B292" s="12">
        <v>2050</v>
      </c>
    </row>
    <row r="293" spans="1:2" x14ac:dyDescent="0.3">
      <c r="A293" t="s">
        <v>131</v>
      </c>
      <c r="B293" s="12" t="str">
        <f>B290&amp;" - "&amp;B292&amp;" - "&amp;B289</f>
        <v>Bicycle, electric (&lt;45 km/h) - 2050 - CH</v>
      </c>
    </row>
    <row r="294" spans="1:2" x14ac:dyDescent="0.3">
      <c r="A294" t="s">
        <v>74</v>
      </c>
      <c r="B294" s="12" t="str">
        <f>"transport, "&amp;B290</f>
        <v>transport, Bicycle, electric (&lt;45 km/h)</v>
      </c>
    </row>
    <row r="295" spans="1:2" x14ac:dyDescent="0.3">
      <c r="A295" t="s">
        <v>75</v>
      </c>
      <c r="B295" t="s">
        <v>76</v>
      </c>
    </row>
    <row r="296" spans="1:2" x14ac:dyDescent="0.3">
      <c r="A296" t="s">
        <v>77</v>
      </c>
      <c r="B296" t="s">
        <v>172</v>
      </c>
    </row>
    <row r="297" spans="1:2" x14ac:dyDescent="0.3">
      <c r="A297" t="s">
        <v>79</v>
      </c>
      <c r="B297" t="s">
        <v>90</v>
      </c>
    </row>
    <row r="298" spans="1:2" x14ac:dyDescent="0.3">
      <c r="A298" t="s">
        <v>132</v>
      </c>
      <c r="B298">
        <f>INDEX('vehicles specifications'!$B$3:$CK$86,MATCH(B293,'vehicles specifications'!$A$3:$A$86,0),MATCH("Lifetime [km]",'vehicles specifications'!$B$2:$CK$2,0))</f>
        <v>30000</v>
      </c>
    </row>
    <row r="299" spans="1:2" x14ac:dyDescent="0.3">
      <c r="A299" t="s">
        <v>133</v>
      </c>
      <c r="B299">
        <f>INDEX('vehicles specifications'!$B$3:$CK$86,MATCH(B293,'vehicles specifications'!$A$3:$A$86,0),MATCH("Passengers [unit]",'vehicles specifications'!$B$2:$CK$2,0))</f>
        <v>1</v>
      </c>
    </row>
    <row r="300" spans="1:2" x14ac:dyDescent="0.3">
      <c r="A300" t="s">
        <v>134</v>
      </c>
      <c r="B300">
        <f>INDEX('vehicles specifications'!$B$3:$CK$86,MATCH(B293,'vehicles specifications'!$A$3:$A$86,0),MATCH("Servicing [unit]",'vehicles specifications'!$B$2:$CK$2,0))</f>
        <v>7.5</v>
      </c>
    </row>
    <row r="301" spans="1:2" x14ac:dyDescent="0.3">
      <c r="A301" t="s">
        <v>135</v>
      </c>
      <c r="B301">
        <f>INDEX('vehicles specifications'!$B$3:$CK$86,MATCH(B293,'vehicles specifications'!$A$3:$A$86,0),MATCH("Energy battery replacement [unit]",'vehicles specifications'!$B$2:$CK$2,0))</f>
        <v>0</v>
      </c>
    </row>
    <row r="302" spans="1:2" x14ac:dyDescent="0.3">
      <c r="A302" t="s">
        <v>136</v>
      </c>
      <c r="B302">
        <f>INDEX('vehicles specifications'!$B$3:$CK$86,MATCH(B293,'vehicles specifications'!$A$3:$A$86,0),MATCH("Annual kilometers [km]",'vehicles specifications'!$B$2:$CK$2,0))</f>
        <v>3000</v>
      </c>
    </row>
    <row r="303" spans="1:2" x14ac:dyDescent="0.3">
      <c r="A303" t="s">
        <v>137</v>
      </c>
      <c r="B303">
        <f>INDEX('vehicles specifications'!$B$3:$CK$86,MATCH(B293,'vehicles specifications'!$A$3:$A$86,0),MATCH("Curb mass [kg]",'vehicles specifications'!$B$2:$CK$2,0))</f>
        <v>27.989999999999995</v>
      </c>
    </row>
    <row r="304" spans="1:2" x14ac:dyDescent="0.3">
      <c r="A304" t="s">
        <v>138</v>
      </c>
      <c r="B304">
        <f>INDEX('vehicles specifications'!$B$3:$CK$86,MATCH(B293,'vehicles specifications'!$A$3:$A$86,0),MATCH("Power [kW]",'vehicles specifications'!$B$2:$CK$2,0))</f>
        <v>0.5</v>
      </c>
    </row>
    <row r="305" spans="1:8" x14ac:dyDescent="0.3">
      <c r="A305" t="s">
        <v>139</v>
      </c>
      <c r="B305">
        <f>INDEX('vehicles specifications'!$B$3:$CK$86,MATCH(B293,'vehicles specifications'!$A$3:$A$86,0),MATCH("Energy battery mass [kg]",'vehicles specifications'!$B$2:$CK$2,0))</f>
        <v>5.7200000000000006</v>
      </c>
    </row>
    <row r="306" spans="1:8" x14ac:dyDescent="0.3">
      <c r="A306" t="s">
        <v>140</v>
      </c>
      <c r="B306">
        <f>INDEX('vehicles specifications'!$B$3:$CK$86,MATCH(B293,'vehicles specifications'!$A$3:$A$86,0),MATCH("Electric energy stored [kWh]",'vehicles specifications'!$B$2:$CK$2,0))</f>
        <v>2.2000000000000002</v>
      </c>
    </row>
    <row r="307" spans="1:8" s="21" customFormat="1" x14ac:dyDescent="0.3">
      <c r="A307" s="21" t="s">
        <v>654</v>
      </c>
      <c r="B307" s="21">
        <f>INDEX('vehicles specifications'!$B$3:$CK$86,MATCH(B293,'vehicles specifications'!$A$3:$A$86,0),MATCH("Electric energy available [kWh]",'vehicles specifications'!$B$2:$CK$2,0))</f>
        <v>1.7600000000000002</v>
      </c>
    </row>
    <row r="308" spans="1:8" x14ac:dyDescent="0.3">
      <c r="A308" t="s">
        <v>143</v>
      </c>
      <c r="B308">
        <f>INDEX('vehicles specifications'!$B$3:$CK$86,MATCH(B293,'vehicles specifications'!$A$3:$A$86,0),MATCH("Oxydation energy stored [kWh]",'vehicles specifications'!$B$2:$CK$2,0))</f>
        <v>0</v>
      </c>
    </row>
    <row r="309" spans="1:8" x14ac:dyDescent="0.3">
      <c r="A309" t="s">
        <v>145</v>
      </c>
      <c r="B309">
        <f>INDEX('vehicles specifications'!$B$3:$CK$86,MATCH(B293,'vehicles specifications'!$A$3:$A$86,0),MATCH("Fuel mass [kg]",'vehicles specifications'!$B$2:$CK$2,0))</f>
        <v>0</v>
      </c>
    </row>
    <row r="310" spans="1:8" x14ac:dyDescent="0.3">
      <c r="A310" t="s">
        <v>141</v>
      </c>
      <c r="B310">
        <f>INDEX('vehicles specifications'!$B$3:$CK$86,MATCH(B293,'vehicles specifications'!$A$3:$A$86,0),MATCH("Range [km]",'vehicles specifications'!$B$2:$CK$2,0))</f>
        <v>139.83994946304489</v>
      </c>
    </row>
    <row r="311" spans="1:8" x14ac:dyDescent="0.3">
      <c r="A311" t="s">
        <v>142</v>
      </c>
      <c r="B311" t="str">
        <f>INDEX('vehicles specifications'!$B$3:$CK$86,MATCH(B293,'vehicles specifications'!$A$3:$A$86,0),MATCH("Emission standard",'vehicles specifications'!$B$2:$CK$2,0))</f>
        <v>None</v>
      </c>
    </row>
    <row r="312" spans="1:8" x14ac:dyDescent="0.3">
      <c r="A312" t="s">
        <v>144</v>
      </c>
      <c r="B312" s="6">
        <f>INDEX('vehicles specifications'!$B$3:$CK$86,MATCH(B293,'vehicles specifications'!$A$3:$A$86,0),MATCH("Lightweighting rate [%]",'vehicles specifications'!$B$2:$CK$2,0))</f>
        <v>7.0000000000000007E-2</v>
      </c>
    </row>
    <row r="313" spans="1:8" x14ac:dyDescent="0.3">
      <c r="A313" t="s">
        <v>84</v>
      </c>
      <c r="B313" s="21" t="str">
        <f>"Power: "&amp;B304&amp;" kW. Lifetime: "&amp;B298&amp;" km. Annual kilometers: "&amp;B302&amp;" km. Number of passengers: "&amp;B299&amp;". Curb mass: "&amp;ROUND(B303,1)&amp;" kg. Lightweighting of glider: "&amp;ROUND(B312*100,0)&amp;"%. Emission standard: "&amp;B311&amp;". Service visits throughout lifetime: "&amp;ROUND(B300,1)&amp;". Range: "&amp;ROUND(B310,0)&amp;" km. Battery capacity: "&amp;ROUND(B306,1)&amp;" kWh. Available battery capacity: "&amp;B307&amp;" kWh. Battery mass: "&amp;ROUND(B305,1)&amp; " kg. Battery replacement throughout lifetime: "&amp;ROUND(B301,1)&amp;". Fuel tank capacity: "&amp;ROUND(B308,1)&amp;" kWh. Fuel mass: "&amp;ROUND(B309,1)&amp;" kg. Documentation: "&amp;Readmefirst!$B$2&amp;", "&amp;Readmefirst!$B$3&amp;". "&amp;B297</f>
        <v>Power: 0.5 kW. Lifetime: 30000 km. Annual kilometers: 3000 km. Number of passengers: 1. Curb mass: 28 kg. Lightweighting of glider: 7%. Emission standard: None. Service visits throughout lifetime: 7.5. Range: 140 km. Battery capacity: 2.2 kWh. Available battery capacity: 1.76 kWh. Battery mass: 5.7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14" spans="1:8" ht="15.6" x14ac:dyDescent="0.3">
      <c r="A314" s="11" t="s">
        <v>80</v>
      </c>
    </row>
    <row r="315" spans="1:8" x14ac:dyDescent="0.3">
      <c r="A315" t="s">
        <v>81</v>
      </c>
      <c r="B315" t="s">
        <v>82</v>
      </c>
      <c r="C315" t="s">
        <v>73</v>
      </c>
      <c r="D315" t="s">
        <v>77</v>
      </c>
      <c r="E315" t="s">
        <v>83</v>
      </c>
      <c r="F315" t="s">
        <v>75</v>
      </c>
      <c r="G315" t="s">
        <v>84</v>
      </c>
      <c r="H315" t="s">
        <v>74</v>
      </c>
    </row>
    <row r="316" spans="1:8" x14ac:dyDescent="0.3">
      <c r="A316" s="12" t="str">
        <f>B288</f>
        <v>transport, Bicycle, electric (&lt;45 km/h), 2050</v>
      </c>
      <c r="B316" s="12">
        <v>1</v>
      </c>
      <c r="C316" s="12" t="str">
        <f>B289</f>
        <v>CH</v>
      </c>
      <c r="D316" s="12" t="s">
        <v>172</v>
      </c>
      <c r="E316" s="12"/>
      <c r="F316" s="12" t="s">
        <v>85</v>
      </c>
      <c r="G316" s="12" t="s">
        <v>86</v>
      </c>
      <c r="H316" s="12" t="str">
        <f>B294</f>
        <v>transport, Bicycle, electric (&lt;45 km/h)</v>
      </c>
    </row>
    <row r="317" spans="1:8" x14ac:dyDescent="0.3">
      <c r="A317" s="12" t="str">
        <f>RIGHT(A316,LEN(A316)-11)</f>
        <v>Bicycle, electric (&lt;45 km/h), 2050</v>
      </c>
      <c r="B317" s="12">
        <f>1/B298</f>
        <v>3.3333333333333335E-5</v>
      </c>
      <c r="C317" s="12" t="str">
        <f>B289</f>
        <v>CH</v>
      </c>
      <c r="D317" s="12" t="s">
        <v>77</v>
      </c>
      <c r="E317" s="12"/>
      <c r="F317" s="12" t="s">
        <v>91</v>
      </c>
      <c r="G317" s="12"/>
      <c r="H317" s="12" t="str">
        <f>RIGHT(H316,LEN(H316)-11)</f>
        <v>Bicycle, electric (&lt;45 km/h)</v>
      </c>
    </row>
    <row r="318" spans="1:8" s="21" customFormat="1" x14ac:dyDescent="0.3">
      <c r="A318" s="12" t="str">
        <f>INDEX('ei names mapping'!$B$4:$R$33,MATCH(B290,'ei names mapping'!$A$4:$A$33,0),MATCH(G318,'ei names mapping'!$B$3:$R$3,0))</f>
        <v>road construction</v>
      </c>
      <c r="B318" s="16">
        <f>INDEX('vehicles specifications'!$B$3:$CK$86,MATCH(B293,'vehicles specifications'!$A$3:$A$86,0),MATCH(G318,'vehicles specifications'!$B$2:$CK$2,0))*INDEX('ei names mapping'!$B$137:$BK$220,MATCH(B293,'ei names mapping'!$A$137:$A$220,0),MATCH(G318,'ei names mapping'!$B$136:$BK$136,0))</f>
        <v>5.3157629999999996E-5</v>
      </c>
      <c r="C318" s="12" t="str">
        <f>INDEX('ei names mapping'!$B$38:$R$67,MATCH(B290,'ei names mapping'!$A$4:$A$33,0),MATCH(G318,'ei names mapping'!$B$3:$R$3,0))</f>
        <v>CH</v>
      </c>
      <c r="D318" s="12" t="str">
        <f>INDEX('ei names mapping'!$B$104:$BK$133,MATCH(B290,'ei names mapping'!$A$4:$A$33,0),MATCH(G318,'ei names mapping'!$B$3:$BK$3,0))</f>
        <v>meter-year</v>
      </c>
      <c r="E318" s="12"/>
      <c r="F318" s="12" t="s">
        <v>91</v>
      </c>
      <c r="G318" s="21" t="s">
        <v>108</v>
      </c>
      <c r="H318" s="12" t="str">
        <f>INDEX('ei names mapping'!$B$71:$BK$100,MATCH(B290,'ei names mapping'!$A$4:$A$33,0),MATCH(G318,'ei names mapping'!$B$3:$BK$3,0))</f>
        <v>road</v>
      </c>
    </row>
    <row r="319" spans="1:8" x14ac:dyDescent="0.3">
      <c r="A319" s="12" t="str">
        <f>INDEX('ei names mapping'!$B$4:$R$33,MATCH($B$3,'ei names mapping'!$A$4:$A$33,0),MATCH(G319,'ei names mapping'!$B$3:$R$3,0))</f>
        <v>market for electricity, low voltage</v>
      </c>
      <c r="B319" s="14">
        <f>INDEX('vehicles specifications'!$B$3:$CK$86,MATCH(B293,'vehicles specifications'!$A$3:$A$86,0),MATCH(G319,'vehicles specifications'!$B$2:$CK$2,0))*INDEX('ei names mapping'!$B$137:$BK$220,MATCH(B293,'ei names mapping'!$A$137:$A$220,0),MATCH(G319,'ei names mapping'!$B$136:$BK$136,0))</f>
        <v>1.3844398595922134E-2</v>
      </c>
      <c r="C319" s="12" t="str">
        <f>INDEX('ei names mapping'!$B$38:$R$67,MATCH($B$3,'ei names mapping'!$A$4:$A$33,0),MATCH(G319,'ei names mapping'!$B$3:$R$3,0))</f>
        <v>CH</v>
      </c>
      <c r="D319" s="12" t="str">
        <f>INDEX('ei names mapping'!$B$104:$R$133,MATCH($B$3,'ei names mapping'!$A$4:$A$33,0),MATCH(G319,'ei names mapping'!$B$3:$R$3,0))</f>
        <v>kilowatt hour</v>
      </c>
      <c r="E319" s="12"/>
      <c r="F319" s="12" t="s">
        <v>91</v>
      </c>
      <c r="G319" t="s">
        <v>28</v>
      </c>
      <c r="H319" s="12" t="str">
        <f>INDEX('ei names mapping'!$B$71:$R$100,MATCH($B$3,'ei names mapping'!$A$4:$A$33,0),MATCH(G319,'ei names mapping'!$B$3:$R$3,0))</f>
        <v>electricity, low voltage</v>
      </c>
    </row>
    <row r="320" spans="1:8" x14ac:dyDescent="0.3">
      <c r="A320" s="12" t="str">
        <f>INDEX('ei names mapping'!$B$4:$R$33,MATCH($B$3,'ei names mapping'!$A$4:$A$33,0),MATCH(G320,'ei names mapping'!$B$3:$R$3,0))</f>
        <v>maintenance, electric bicycle, without battery</v>
      </c>
      <c r="B320" s="14">
        <f>INDEX('vehicles specifications'!$B$3:$CK$86,MATCH(B293,'vehicles specifications'!$A$3:$A$86,0),MATCH(G320,'vehicles specifications'!$B$2:$CK$2,0))*INDEX('ei names mapping'!$B$137:$BK$220,MATCH(B293,'ei names mapping'!$A$137:$A$220,0),MATCH(G320,'ei names mapping'!$B$136:$BK$136,0))</f>
        <v>2.5000000000000001E-4</v>
      </c>
      <c r="C320" s="12" t="str">
        <f>INDEX('ei names mapping'!$B$38:$R$67,MATCH($B$3,'ei names mapping'!$A$4:$A$33,0),MATCH(G320,'ei names mapping'!$B$3:$R$3,0))</f>
        <v>CH</v>
      </c>
      <c r="D320" s="12" t="str">
        <f>INDEX('ei names mapping'!$B$104:$R$133,MATCH($B$3,'ei names mapping'!$A$4:$A$33,0),MATCH(G320,'ei names mapping'!$B$3:$R$3,0))</f>
        <v>unit</v>
      </c>
      <c r="E320" s="12"/>
      <c r="F320" s="12" t="s">
        <v>91</v>
      </c>
      <c r="G320" t="s">
        <v>123</v>
      </c>
      <c r="H320" s="12" t="str">
        <f>INDEX('ei names mapping'!$B$71:$R$100,MATCH($B$3,'ei names mapping'!$A$4:$A$33,0),MATCH(G320,'ei names mapping'!$B$3:$R$3,0))</f>
        <v>maintenance, electric bicycle, without battery</v>
      </c>
    </row>
    <row r="321" spans="1:8" x14ac:dyDescent="0.3">
      <c r="A321" s="12" t="str">
        <f>INDEX('ei names mapping'!$B$4:$BK$33,MATCH($B$179,'ei names mapping'!$A$4:$A$33,0),MATCH(G321,'ei names mapping'!$B$3:$BK$3,0))</f>
        <v>treatment of road wear emissions, passenger car</v>
      </c>
      <c r="B321" s="15">
        <f>INDEX('vehicles specifications'!$B$3:$CK$86,MATCH(B293,'vehicles specifications'!$A$3:$A$86,0),MATCH(G321,'vehicles specifications'!$B$2:$CK$2,0))*INDEX('ei names mapping'!$B$137:$BK$220,MATCH(B293,'ei names mapping'!$A$137:$A$220,0),MATCH(G321,'ei names mapping'!$B$136:$BK$136,0))</f>
        <v>-3.0000000000000001E-6</v>
      </c>
      <c r="C321" s="12" t="str">
        <f>INDEX('ei names mapping'!$B$38:$BK$67,MATCH($B$179,'ei names mapping'!$A$4:$A$33,0),MATCH(G321,'ei names mapping'!$B$3:$BK$3,0))</f>
        <v>RER</v>
      </c>
      <c r="D321" s="12" t="str">
        <f>INDEX('ei names mapping'!$B$104:$BK$133,MATCH($B$179,'ei names mapping'!$A$4:$A$33,0),MATCH(G321,'ei names mapping'!$B$3:$BK$3,0))</f>
        <v>kilogram</v>
      </c>
      <c r="E321" s="12"/>
      <c r="F321" s="12" t="s">
        <v>91</v>
      </c>
      <c r="G321" t="s">
        <v>29</v>
      </c>
      <c r="H321" s="12" t="str">
        <f>INDEX('ei names mapping'!$B$71:$BK$100,MATCH(B290,'ei names mapping'!$A$4:$A$33,0),MATCH(G321,'ei names mapping'!$B$3:$BK$3,0))</f>
        <v>road wear emissions, passenger car</v>
      </c>
    </row>
    <row r="322" spans="1:8" x14ac:dyDescent="0.3">
      <c r="A322" s="12" t="str">
        <f>INDEX('ei names mapping'!$B$4:$BK$33,MATCH($B$179,'ei names mapping'!$A$4:$A$33,0),MATCH(G322,'ei names mapping'!$B$3:$BK$3,0))</f>
        <v>treatment of tyre wear emissions, passenger car</v>
      </c>
      <c r="B322" s="15">
        <f>INDEX('vehicles specifications'!$B$3:$CK$86,MATCH(B293,'vehicles specifications'!$A$3:$A$86,0),MATCH(G322,'vehicles specifications'!$B$2:$CK$2,0))*INDEX('ei names mapping'!$B$137:$BK$220,MATCH(B293,'ei names mapping'!$A$137:$A$220,0),MATCH(G322,'ei names mapping'!$B$136:$BK$136,0))</f>
        <v>-2.9189999999999999E-6</v>
      </c>
      <c r="C322" s="12" t="str">
        <f>INDEX('ei names mapping'!$B$38:$BK$67,MATCH($B$179,'ei names mapping'!$A$4:$A$33,0),MATCH(G322,'ei names mapping'!$B$3:$BK$3,0))</f>
        <v>RER</v>
      </c>
      <c r="D322" s="12" t="str">
        <f>INDEX('ei names mapping'!$B$104:$BK$133,MATCH($B$179,'ei names mapping'!$A$4:$A$33,0),MATCH(G322,'ei names mapping'!$B$3:$BK$3,0))</f>
        <v>kilogram</v>
      </c>
      <c r="E322" s="12"/>
      <c r="F322" s="12" t="s">
        <v>91</v>
      </c>
      <c r="G322" t="s">
        <v>30</v>
      </c>
      <c r="H322" s="12" t="str">
        <f>INDEX('ei names mapping'!$B$71:$BK$100,MATCH($B$179,'ei names mapping'!$A$4:$A$33,0),MATCH(G322,'ei names mapping'!$B$3:$BK$3,0))</f>
        <v>tyre wear emissions, passenger car</v>
      </c>
    </row>
    <row r="323" spans="1:8" x14ac:dyDescent="0.3">
      <c r="A323" s="12" t="str">
        <f>INDEX('ei names mapping'!$B$4:$BK$33,MATCH($B$179,'ei names mapping'!$A$4:$A$33,0),MATCH(G323,'ei names mapping'!$B$3:$BK$3,0))</f>
        <v>treatment of brake wear emissions, passenger car</v>
      </c>
      <c r="B323" s="15">
        <f>INDEX('vehicles specifications'!$B$3:$CK$86,MATCH(B293,'vehicles specifications'!$A$3:$A$86,0),MATCH(G323,'vehicles specifications'!$B$2:$CK$2,0))*INDEX('ei names mapping'!$B$137:$BK$220,MATCH(B293,'ei names mapping'!$A$137:$A$220,0),MATCH(G323,'ei names mapping'!$B$136:$BK$136,0))</f>
        <v>-1.8370000000000002E-6</v>
      </c>
      <c r="C323" s="12" t="str">
        <f>INDEX('ei names mapping'!$B$38:$BK$67,MATCH($B$179,'ei names mapping'!$A$4:$A$33,0),MATCH(G323,'ei names mapping'!$B$3:$BK$3,0))</f>
        <v>RER</v>
      </c>
      <c r="D323" s="12" t="str">
        <f>INDEX('ei names mapping'!$B$104:$BK$133,MATCH($B$179,'ei names mapping'!$A$4:$A$33,0),MATCH(G323,'ei names mapping'!$B$3:$BK$3,0))</f>
        <v>kilogram</v>
      </c>
      <c r="E323" s="12"/>
      <c r="F323" s="12" t="s">
        <v>91</v>
      </c>
      <c r="G323" t="s">
        <v>31</v>
      </c>
      <c r="H323" s="12" t="str">
        <f>INDEX('ei names mapping'!$B$71:$BK$100,MATCH($B$179,'ei names mapping'!$A$4:$A$33,0),MATCH(G323,'ei names mapping'!$B$3:$BK$3,0))</f>
        <v>brake wear emissions, passenger car</v>
      </c>
    </row>
    <row r="325" spans="1:8" ht="15.6" x14ac:dyDescent="0.3">
      <c r="A325" s="11" t="s">
        <v>72</v>
      </c>
      <c r="B325" s="9" t="str">
        <f>"transport, "&amp;B327&amp;", "&amp;B329&amp;", label-certified electricity"</f>
        <v>transport, Bicycle, electric (&lt;45 km/h), 2020, label-certified electricity</v>
      </c>
    </row>
    <row r="326" spans="1:8" x14ac:dyDescent="0.3">
      <c r="A326" t="s">
        <v>73</v>
      </c>
      <c r="B326" t="s">
        <v>37</v>
      </c>
    </row>
    <row r="327" spans="1:8" x14ac:dyDescent="0.3">
      <c r="A327" t="s">
        <v>87</v>
      </c>
      <c r="B327" s="21" t="s">
        <v>518</v>
      </c>
    </row>
    <row r="328" spans="1:8" x14ac:dyDescent="0.3">
      <c r="A328" t="s">
        <v>88</v>
      </c>
      <c r="B328" s="12"/>
    </row>
    <row r="329" spans="1:8" x14ac:dyDescent="0.3">
      <c r="A329" t="s">
        <v>89</v>
      </c>
      <c r="B329" s="12">
        <v>2020</v>
      </c>
    </row>
    <row r="330" spans="1:8" x14ac:dyDescent="0.3">
      <c r="A330" t="s">
        <v>131</v>
      </c>
      <c r="B330" s="12" t="str">
        <f>B327&amp;" - "&amp;B329&amp;" - "&amp;B326</f>
        <v>Bicycle, electric (&lt;45 km/h) - 2020 - CH</v>
      </c>
    </row>
    <row r="331" spans="1:8" x14ac:dyDescent="0.3">
      <c r="A331" t="s">
        <v>74</v>
      </c>
      <c r="B331" s="12" t="str">
        <f>"transport, "&amp;B327</f>
        <v>transport, Bicycle, electric (&lt;45 km/h)</v>
      </c>
    </row>
    <row r="332" spans="1:8" x14ac:dyDescent="0.3">
      <c r="A332" t="s">
        <v>75</v>
      </c>
      <c r="B332" t="s">
        <v>76</v>
      </c>
    </row>
    <row r="333" spans="1:8" x14ac:dyDescent="0.3">
      <c r="A333" t="s">
        <v>77</v>
      </c>
      <c r="B333" t="s">
        <v>172</v>
      </c>
    </row>
    <row r="334" spans="1:8" x14ac:dyDescent="0.3">
      <c r="A334" t="s">
        <v>79</v>
      </c>
      <c r="B334" t="s">
        <v>90</v>
      </c>
    </row>
    <row r="335" spans="1:8" x14ac:dyDescent="0.3">
      <c r="A335" t="s">
        <v>132</v>
      </c>
      <c r="B335">
        <f>INDEX('vehicles specifications'!$B$3:$CK$86,MATCH(B330,'vehicles specifications'!$A$3:$A$86,0),MATCH("Lifetime [km]",'vehicles specifications'!$B$2:$CK$2,0))</f>
        <v>30000</v>
      </c>
    </row>
    <row r="336" spans="1:8" x14ac:dyDescent="0.3">
      <c r="A336" t="s">
        <v>133</v>
      </c>
      <c r="B336">
        <f>INDEX('vehicles specifications'!$B$3:$CK$86,MATCH(B330,'vehicles specifications'!$A$3:$A$86,0),MATCH("Passengers [unit]",'vehicles specifications'!$B$2:$CK$2,0))</f>
        <v>1</v>
      </c>
    </row>
    <row r="337" spans="1:8" x14ac:dyDescent="0.3">
      <c r="A337" t="s">
        <v>134</v>
      </c>
      <c r="B337">
        <f>INDEX('vehicles specifications'!$B$3:$CK$86,MATCH(B330,'vehicles specifications'!$A$3:$A$86,0),MATCH("Servicing [unit]",'vehicles specifications'!$B$2:$CK$2,0))</f>
        <v>7.5</v>
      </c>
    </row>
    <row r="338" spans="1:8" x14ac:dyDescent="0.3">
      <c r="A338" t="s">
        <v>135</v>
      </c>
      <c r="B338">
        <f>INDEX('vehicles specifications'!$B$3:$CK$86,MATCH(B330,'vehicles specifications'!$A$3:$A$86,0),MATCH("Energy battery replacement [unit]",'vehicles specifications'!$B$2:$CK$2,0))</f>
        <v>1</v>
      </c>
    </row>
    <row r="339" spans="1:8" x14ac:dyDescent="0.3">
      <c r="A339" t="s">
        <v>136</v>
      </c>
      <c r="B339">
        <f>INDEX('vehicles specifications'!$B$3:$CK$86,MATCH(B330,'vehicles specifications'!$A$3:$A$86,0),MATCH("Annual kilometers [km]",'vehicles specifications'!$B$2:$CK$2,0))</f>
        <v>3000</v>
      </c>
    </row>
    <row r="340" spans="1:8" x14ac:dyDescent="0.3">
      <c r="A340" t="s">
        <v>137</v>
      </c>
      <c r="B340">
        <f>INDEX('vehicles specifications'!$B$3:$CK$86,MATCH(B330,'vehicles specifications'!$A$3:$A$86,0),MATCH("Curb mass [kg]",'vehicles specifications'!$B$2:$CK$2,0))</f>
        <v>27.9</v>
      </c>
    </row>
    <row r="341" spans="1:8" x14ac:dyDescent="0.3">
      <c r="A341" t="s">
        <v>138</v>
      </c>
      <c r="B341">
        <f>INDEX('vehicles specifications'!$B$3:$CK$86,MATCH(B330,'vehicles specifications'!$A$3:$A$86,0),MATCH("Power [kW]",'vehicles specifications'!$B$2:$CK$2,0))</f>
        <v>0.5</v>
      </c>
    </row>
    <row r="342" spans="1:8" x14ac:dyDescent="0.3">
      <c r="A342" t="s">
        <v>139</v>
      </c>
      <c r="B342">
        <f>INDEX('vehicles specifications'!$B$3:$CK$86,MATCH(B330,'vehicles specifications'!$A$3:$A$86,0),MATCH("Energy battery mass [kg]",'vehicles specifications'!$B$2:$CK$2,0))</f>
        <v>3.8999999999999995</v>
      </c>
    </row>
    <row r="343" spans="1:8" x14ac:dyDescent="0.3">
      <c r="A343" t="s">
        <v>140</v>
      </c>
      <c r="B343">
        <f>INDEX('vehicles specifications'!$B$3:$CK$86,MATCH(B330,'vehicles specifications'!$A$3:$A$86,0),MATCH("Electric energy stored [kWh]",'vehicles specifications'!$B$2:$CK$2,0))</f>
        <v>0.6</v>
      </c>
    </row>
    <row r="344" spans="1:8" s="21" customFormat="1" x14ac:dyDescent="0.3">
      <c r="A344" s="21" t="s">
        <v>654</v>
      </c>
      <c r="B344" s="21">
        <f>INDEX('vehicles specifications'!$B$3:$CK$86,MATCH(B330,'vehicles specifications'!$A$3:$A$86,0),MATCH("Electric energy available [kWh]",'vehicles specifications'!$B$2:$CK$2,0))</f>
        <v>0.48</v>
      </c>
    </row>
    <row r="345" spans="1:8" x14ac:dyDescent="0.3">
      <c r="A345" t="s">
        <v>143</v>
      </c>
      <c r="B345">
        <f>INDEX('vehicles specifications'!$B$3:$CK$86,MATCH(B330,'vehicles specifications'!$A$3:$A$86,0),MATCH("Oxydation energy stored [kWh]",'vehicles specifications'!$B$2:$CK$2,0))</f>
        <v>0</v>
      </c>
    </row>
    <row r="346" spans="1:8" x14ac:dyDescent="0.3">
      <c r="A346" t="s">
        <v>145</v>
      </c>
      <c r="B346">
        <f>INDEX('vehicles specifications'!$B$3:$CK$86,MATCH(B330,'vehicles specifications'!$A$3:$A$86,0),MATCH("Fuel mass [kg]",'vehicles specifications'!$B$2:$CK$2,0))</f>
        <v>0</v>
      </c>
    </row>
    <row r="347" spans="1:8" x14ac:dyDescent="0.3">
      <c r="A347" t="s">
        <v>141</v>
      </c>
      <c r="B347" s="2">
        <f>INDEX('vehicles specifications'!$B$3:$CK$86,MATCH(B330,'vehicles specifications'!$A$3:$A$86,0),MATCH("Range [km]",'vehicles specifications'!$B$2:$CK$2,0))</f>
        <v>38.13816803537587</v>
      </c>
    </row>
    <row r="348" spans="1:8" x14ac:dyDescent="0.3">
      <c r="A348" t="s">
        <v>142</v>
      </c>
      <c r="B348" t="str">
        <f>INDEX('vehicles specifications'!$B$3:$CK$86,MATCH(B330,'vehicles specifications'!$A$3:$A$86,0),MATCH("Emission standard",'vehicles specifications'!$B$2:$CK$2,0))</f>
        <v>None</v>
      </c>
    </row>
    <row r="349" spans="1:8" x14ac:dyDescent="0.3">
      <c r="A349" t="s">
        <v>144</v>
      </c>
      <c r="B349" s="6">
        <f>INDEX('vehicles specifications'!$B$3:$CK$86,MATCH(B330,'vehicles specifications'!$A$3:$A$86,0),MATCH("Lightweighting rate [%]",'vehicles specifications'!$B$2:$CK$2,0))</f>
        <v>0</v>
      </c>
    </row>
    <row r="350" spans="1:8" x14ac:dyDescent="0.3">
      <c r="A350" t="s">
        <v>84</v>
      </c>
      <c r="B350" s="21" t="str">
        <f>"Power: "&amp;B341&amp;" kW. Lifetime: "&amp;B335&amp;" km. Annual kilometers: "&amp;B339&amp;" km. Number of passengers: "&amp;B336&amp;". Curb mass: "&amp;ROUND(B340,1)&amp;" kg. Lightweighting of glider: "&amp;ROUND(B349*100,0)&amp;"%. Emission standard: "&amp;B348&amp;". Service visits throughout lifetime: "&amp;ROUND(B337,1)&amp;". Range: "&amp;ROUND(B347,0)&amp;" km. Battery capacity: "&amp;ROUND(B343,1)&amp;" kWh. Available battery capacity: "&amp;B344&amp;" kWh. Battery mass: "&amp;ROUND(B342,1)&amp; " kg. Battery replacement throughout lifetime: "&amp;ROUND(B338,1)&amp;". Fuel tank capacity: "&amp;ROUND(B345,1)&amp;" kWh. Fuel mass: "&amp;ROUND(B346,1)&amp;" kg. Documentation: "&amp;Readmefirst!$B$2&amp;", "&amp;Readmefirst!$B$3&amp;". "&amp;B334</f>
        <v>Power: 0.5 kW. Lifetime: 30000 km. Annual kilometers: 3000 km. Number of passengers: 1. Curb mass: 27.9 kg. Lightweighting of glider: 0%. Emission standard: None. Service visits throughout lifetime: 7.5. Range: 38 km. Battery capacity: 0.6 kWh. Available battery capacity: 0.48 kWh. Battery mass: 3.9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1" spans="1:8" ht="15.6" x14ac:dyDescent="0.3">
      <c r="A351" s="11" t="s">
        <v>80</v>
      </c>
    </row>
    <row r="352" spans="1:8" x14ac:dyDescent="0.3">
      <c r="A352" t="s">
        <v>81</v>
      </c>
      <c r="B352" t="s">
        <v>82</v>
      </c>
      <c r="C352" t="s">
        <v>73</v>
      </c>
      <c r="D352" t="s">
        <v>77</v>
      </c>
      <c r="E352" t="s">
        <v>83</v>
      </c>
      <c r="F352" t="s">
        <v>75</v>
      </c>
      <c r="G352" t="s">
        <v>84</v>
      </c>
      <c r="H352" t="s">
        <v>74</v>
      </c>
    </row>
    <row r="353" spans="1:8" x14ac:dyDescent="0.3">
      <c r="A353" s="12" t="str">
        <f>B325</f>
        <v>transport, Bicycle, electric (&lt;45 km/h), 2020, label-certified electricity</v>
      </c>
      <c r="B353" s="12">
        <v>1</v>
      </c>
      <c r="C353" s="12" t="str">
        <f>B326</f>
        <v>CH</v>
      </c>
      <c r="D353" s="12" t="s">
        <v>172</v>
      </c>
      <c r="E353" s="12"/>
      <c r="F353" s="12" t="s">
        <v>85</v>
      </c>
      <c r="G353" s="12" t="s">
        <v>86</v>
      </c>
      <c r="H353" s="12" t="str">
        <f>B331</f>
        <v>transport, Bicycle, electric (&lt;45 km/h)</v>
      </c>
    </row>
    <row r="354" spans="1:8" x14ac:dyDescent="0.3">
      <c r="A354" s="12" t="str">
        <f>B327&amp;", "&amp;B329</f>
        <v>Bicycle, electric (&lt;45 km/h), 2020</v>
      </c>
      <c r="B354" s="12">
        <f>1/B335</f>
        <v>3.3333333333333335E-5</v>
      </c>
      <c r="C354" s="12" t="str">
        <f>B326</f>
        <v>CH</v>
      </c>
      <c r="D354" s="12" t="s">
        <v>77</v>
      </c>
      <c r="E354" s="12"/>
      <c r="F354" s="12" t="s">
        <v>91</v>
      </c>
      <c r="G354" s="12"/>
      <c r="H354" s="12" t="str">
        <f>RIGHT(H353,LEN(H353)-11)</f>
        <v>Bicycle, electric (&lt;45 km/h)</v>
      </c>
    </row>
    <row r="355" spans="1:8" s="21" customFormat="1" x14ac:dyDescent="0.3">
      <c r="A355" s="12" t="str">
        <f>INDEX('ei names mapping'!$B$4:$R$33,MATCH(B327,'ei names mapping'!$A$4:$A$33,0),MATCH(G355,'ei names mapping'!$B$3:$R$3,0))</f>
        <v>road construction</v>
      </c>
      <c r="B355" s="16">
        <f>INDEX('vehicles specifications'!$B$3:$CK$86,MATCH(B330,'vehicles specifications'!$A$3:$A$86,0),MATCH(G355,'vehicles specifications'!$B$2:$CK$2,0))*INDEX('ei names mapping'!$B$137:$BK$220,MATCH(B330,'ei names mapping'!$A$137:$A$220,0),MATCH(G355,'ei names mapping'!$B$136:$BK$136,0))</f>
        <v>5.3109300000000003E-5</v>
      </c>
      <c r="C355" s="12" t="str">
        <f>INDEX('ei names mapping'!$B$38:$R$67,MATCH(B327,'ei names mapping'!$A$4:$A$33,0),MATCH(G355,'ei names mapping'!$B$3:$R$3,0))</f>
        <v>CH</v>
      </c>
      <c r="D355" s="12" t="str">
        <f>INDEX('ei names mapping'!$B$104:$BK$133,MATCH(B327,'ei names mapping'!$A$4:$A$33,0),MATCH(G355,'ei names mapping'!$B$3:$BK$3,0))</f>
        <v>meter-year</v>
      </c>
      <c r="E355" s="12"/>
      <c r="F355" s="12" t="s">
        <v>91</v>
      </c>
      <c r="G355" s="21" t="s">
        <v>108</v>
      </c>
      <c r="H355" s="12" t="str">
        <f>INDEX('ei names mapping'!$B$71:$BK$100,MATCH(B327,'ei names mapping'!$A$4:$A$33,0),MATCH(G355,'ei names mapping'!$B$3:$BK$3,0))</f>
        <v>road</v>
      </c>
    </row>
    <row r="356" spans="1:8" x14ac:dyDescent="0.3">
      <c r="A356" s="12" t="s">
        <v>114</v>
      </c>
      <c r="B356" s="14">
        <f>INDEX('vehicles specifications'!$B$3:$CK$86,MATCH(B330,'vehicles specifications'!$A$3:$A$86,0),MATCH(G356,'vehicles specifications'!$B$2:$CK$2,0))*INDEX('ei names mapping'!$B$137:$BK$220,MATCH(B330,'ei names mapping'!$A$137:$A$220,0),MATCH(G356,'ei names mapping'!$B$136:$BK$136,0))</f>
        <v>1.3844398595922134E-2</v>
      </c>
      <c r="C356" s="12" t="str">
        <f>INDEX('ei names mapping'!$B$38:$R$67,MATCH($B$3,'ei names mapping'!$A$4:$A$33,0),MATCH(G356,'ei names mapping'!$B$3:$R$3,0))</f>
        <v>CH</v>
      </c>
      <c r="D356" s="12" t="str">
        <f>INDEX('ei names mapping'!$B$104:$R$133,MATCH($B$3,'ei names mapping'!$A$4:$A$33,0),MATCH(G356,'ei names mapping'!$B$3:$R$3,0))</f>
        <v>kilowatt hour</v>
      </c>
      <c r="E356" s="12"/>
      <c r="F356" s="12" t="s">
        <v>91</v>
      </c>
      <c r="G356" t="s">
        <v>28</v>
      </c>
      <c r="H356" s="12" t="s">
        <v>116</v>
      </c>
    </row>
    <row r="357" spans="1:8" x14ac:dyDescent="0.3">
      <c r="A357" s="12" t="str">
        <f>INDEX('ei names mapping'!$B$4:$R$33,MATCH($B$3,'ei names mapping'!$A$4:$A$33,0),MATCH(G357,'ei names mapping'!$B$3:$R$3,0))</f>
        <v>maintenance, electric bicycle, without battery</v>
      </c>
      <c r="B357" s="14">
        <f>INDEX('vehicles specifications'!$B$3:$CK$86,MATCH(B330,'vehicles specifications'!$A$3:$A$86,0),MATCH(G357,'vehicles specifications'!$B$2:$CK$2,0))*INDEX('ei names mapping'!$B$137:$BK$220,MATCH(B330,'ei names mapping'!$A$137:$A$220,0),MATCH(G357,'ei names mapping'!$B$136:$BK$136,0))</f>
        <v>2.5000000000000001E-4</v>
      </c>
      <c r="C357" s="12" t="str">
        <f>INDEX('ei names mapping'!$B$38:$R$67,MATCH($B$3,'ei names mapping'!$A$4:$A$33,0),MATCH(G357,'ei names mapping'!$B$3:$R$3,0))</f>
        <v>CH</v>
      </c>
      <c r="D357" s="12" t="str">
        <f>INDEX('ei names mapping'!$B$104:$R$133,MATCH($B$3,'ei names mapping'!$A$4:$A$33,0),MATCH(G357,'ei names mapping'!$B$3:$R$3,0))</f>
        <v>unit</v>
      </c>
      <c r="E357" s="12"/>
      <c r="F357" s="12" t="s">
        <v>91</v>
      </c>
      <c r="G357" t="s">
        <v>123</v>
      </c>
      <c r="H357" s="12" t="str">
        <f>INDEX('ei names mapping'!$B$71:$R$100,MATCH($B$3,'ei names mapping'!$A$4:$A$33,0),MATCH(G357,'ei names mapping'!$B$3:$R$3,0))</f>
        <v>maintenance, electric bicycle, without battery</v>
      </c>
    </row>
    <row r="358" spans="1:8" x14ac:dyDescent="0.3">
      <c r="A358" s="12" t="str">
        <f>INDEX('ei names mapping'!$B$4:$BK$33,MATCH($B$179,'ei names mapping'!$A$4:$A$33,0),MATCH(G358,'ei names mapping'!$B$3:$BK$3,0))</f>
        <v>treatment of road wear emissions, passenger car</v>
      </c>
      <c r="B358" s="15">
        <f>INDEX('vehicles specifications'!$B$3:$CK$86,MATCH(B330,'vehicles specifications'!$A$3:$A$86,0),MATCH(G358,'vehicles specifications'!$B$2:$CK$2,0))*INDEX('ei names mapping'!$B$137:$BK$220,MATCH(B330,'ei names mapping'!$A$137:$A$220,0),MATCH(G358,'ei names mapping'!$B$136:$BK$136,0))</f>
        <v>-3.0000000000000001E-6</v>
      </c>
      <c r="C358" s="12" t="str">
        <f>INDEX('ei names mapping'!$B$38:$BK$67,MATCH($B$179,'ei names mapping'!$A$4:$A$33,0),MATCH(G358,'ei names mapping'!$B$3:$BK$3,0))</f>
        <v>RER</v>
      </c>
      <c r="D358" s="12" t="str">
        <f>INDEX('ei names mapping'!$B$104:$BK$133,MATCH($B$179,'ei names mapping'!$A$4:$A$33,0),MATCH(G358,'ei names mapping'!$B$3:$BK$3,0))</f>
        <v>kilogram</v>
      </c>
      <c r="E358" s="12"/>
      <c r="F358" s="12" t="s">
        <v>91</v>
      </c>
      <c r="G358" t="s">
        <v>29</v>
      </c>
      <c r="H358" s="12" t="str">
        <f>INDEX('ei names mapping'!$B$71:$BK$100,MATCH(B327,'ei names mapping'!$A$4:$A$33,0),MATCH(G358,'ei names mapping'!$B$3:$BK$3,0))</f>
        <v>road wear emissions, passenger car</v>
      </c>
    </row>
    <row r="359" spans="1:8" x14ac:dyDescent="0.3">
      <c r="A359" s="12" t="str">
        <f>INDEX('ei names mapping'!$B$4:$BK$33,MATCH($B$179,'ei names mapping'!$A$4:$A$33,0),MATCH(G359,'ei names mapping'!$B$3:$BK$3,0))</f>
        <v>treatment of tyre wear emissions, passenger car</v>
      </c>
      <c r="B359" s="15">
        <f>INDEX('vehicles specifications'!$B$3:$CK$86,MATCH(B330,'vehicles specifications'!$A$3:$A$86,0),MATCH(G359,'vehicles specifications'!$B$2:$CK$2,0))*INDEX('ei names mapping'!$B$137:$BK$220,MATCH(B330,'ei names mapping'!$A$137:$A$220,0),MATCH(G359,'ei names mapping'!$B$136:$BK$136,0))</f>
        <v>-2.9189999999999999E-6</v>
      </c>
      <c r="C359" s="12" t="str">
        <f>INDEX('ei names mapping'!$B$38:$BK$67,MATCH($B$179,'ei names mapping'!$A$4:$A$33,0),MATCH(G359,'ei names mapping'!$B$3:$BK$3,0))</f>
        <v>RER</v>
      </c>
      <c r="D359" s="12" t="str">
        <f>INDEX('ei names mapping'!$B$104:$BK$133,MATCH($B$179,'ei names mapping'!$A$4:$A$33,0),MATCH(G359,'ei names mapping'!$B$3:$BK$3,0))</f>
        <v>kilogram</v>
      </c>
      <c r="E359" s="12"/>
      <c r="F359" s="12" t="s">
        <v>91</v>
      </c>
      <c r="G359" t="s">
        <v>30</v>
      </c>
      <c r="H359" s="12" t="str">
        <f>INDEX('ei names mapping'!$B$71:$BK$100,MATCH($B$179,'ei names mapping'!$A$4:$A$33,0),MATCH(G359,'ei names mapping'!$B$3:$BK$3,0))</f>
        <v>tyre wear emissions, passenger car</v>
      </c>
    </row>
    <row r="360" spans="1:8" x14ac:dyDescent="0.3">
      <c r="A360" s="12" t="str">
        <f>INDEX('ei names mapping'!$B$4:$BK$33,MATCH($B$179,'ei names mapping'!$A$4:$A$33,0),MATCH(G360,'ei names mapping'!$B$3:$BK$3,0))</f>
        <v>treatment of brake wear emissions, passenger car</v>
      </c>
      <c r="B360" s="15">
        <f>INDEX('vehicles specifications'!$B$3:$CK$86,MATCH(B330,'vehicles specifications'!$A$3:$A$86,0),MATCH(G360,'vehicles specifications'!$B$2:$CK$2,0))*INDEX('ei names mapping'!$B$137:$BK$220,MATCH(B330,'ei names mapping'!$A$137:$A$220,0),MATCH(G360,'ei names mapping'!$B$136:$BK$136,0))</f>
        <v>-1.8370000000000002E-6</v>
      </c>
      <c r="C360" s="12" t="str">
        <f>INDEX('ei names mapping'!$B$38:$BK$67,MATCH($B$179,'ei names mapping'!$A$4:$A$33,0),MATCH(G360,'ei names mapping'!$B$3:$BK$3,0))</f>
        <v>RER</v>
      </c>
      <c r="D360" s="12" t="str">
        <f>INDEX('ei names mapping'!$B$104:$BK$133,MATCH($B$179,'ei names mapping'!$A$4:$A$33,0),MATCH(G360,'ei names mapping'!$B$3:$BK$3,0))</f>
        <v>kilogram</v>
      </c>
      <c r="E360" s="12"/>
      <c r="F360" s="12" t="s">
        <v>91</v>
      </c>
      <c r="G360" t="s">
        <v>31</v>
      </c>
      <c r="H360" s="12" t="str">
        <f>INDEX('ei names mapping'!$B$71:$BK$100,MATCH($B$179,'ei names mapping'!$A$4:$A$33,0),MATCH(G360,'ei names mapping'!$B$3:$BK$3,0))</f>
        <v>brake wear emissions, passenger car</v>
      </c>
    </row>
    <row r="362" spans="1:8" ht="15.6" x14ac:dyDescent="0.3">
      <c r="A362" s="11" t="s">
        <v>72</v>
      </c>
      <c r="B362" s="9" t="str">
        <f>"transport, "&amp;B364&amp;", "&amp;B366&amp;", label-certified electricity"</f>
        <v>transport, Bicycle, electric (&lt;45 km/h), 2030, label-certified electricity</v>
      </c>
    </row>
    <row r="363" spans="1:8" x14ac:dyDescent="0.3">
      <c r="A363" t="s">
        <v>73</v>
      </c>
      <c r="B363" t="s">
        <v>37</v>
      </c>
    </row>
    <row r="364" spans="1:8" x14ac:dyDescent="0.3">
      <c r="A364" t="s">
        <v>87</v>
      </c>
      <c r="B364" s="21" t="s">
        <v>518</v>
      </c>
    </row>
    <row r="365" spans="1:8" x14ac:dyDescent="0.3">
      <c r="A365" t="s">
        <v>88</v>
      </c>
      <c r="B365" s="12"/>
    </row>
    <row r="366" spans="1:8" x14ac:dyDescent="0.3">
      <c r="A366" t="s">
        <v>89</v>
      </c>
      <c r="B366" s="12">
        <v>2030</v>
      </c>
    </row>
    <row r="367" spans="1:8" x14ac:dyDescent="0.3">
      <c r="A367" t="s">
        <v>131</v>
      </c>
      <c r="B367" s="12" t="str">
        <f>B364&amp;" - "&amp;B366&amp;" - "&amp;B363</f>
        <v>Bicycle, electric (&lt;45 km/h) - 2030 - CH</v>
      </c>
    </row>
    <row r="368" spans="1:8" x14ac:dyDescent="0.3">
      <c r="A368" t="s">
        <v>74</v>
      </c>
      <c r="B368" s="12" t="str">
        <f>"transport, "&amp;B364</f>
        <v>transport, Bicycle, electric (&lt;45 km/h)</v>
      </c>
    </row>
    <row r="369" spans="1:2" x14ac:dyDescent="0.3">
      <c r="A369" t="s">
        <v>75</v>
      </c>
      <c r="B369" t="s">
        <v>76</v>
      </c>
    </row>
    <row r="370" spans="1:2" x14ac:dyDescent="0.3">
      <c r="A370" t="s">
        <v>77</v>
      </c>
      <c r="B370" t="s">
        <v>172</v>
      </c>
    </row>
    <row r="371" spans="1:2" x14ac:dyDescent="0.3">
      <c r="A371" t="s">
        <v>79</v>
      </c>
      <c r="B371" t="s">
        <v>90</v>
      </c>
    </row>
    <row r="372" spans="1:2" x14ac:dyDescent="0.3">
      <c r="A372" t="s">
        <v>132</v>
      </c>
      <c r="B372">
        <f>INDEX('vehicles specifications'!$B$3:$CK$86,MATCH(B367,'vehicles specifications'!$A$3:$A$86,0),MATCH("Lifetime [km]",'vehicles specifications'!$B$2:$CK$2,0))</f>
        <v>30000</v>
      </c>
    </row>
    <row r="373" spans="1:2" x14ac:dyDescent="0.3">
      <c r="A373" t="s">
        <v>133</v>
      </c>
      <c r="B373">
        <f>INDEX('vehicles specifications'!$B$3:$CK$86,MATCH(B367,'vehicles specifications'!$A$3:$A$86,0),MATCH("Passengers [unit]",'vehicles specifications'!$B$2:$CK$2,0))</f>
        <v>1</v>
      </c>
    </row>
    <row r="374" spans="1:2" x14ac:dyDescent="0.3">
      <c r="A374" t="s">
        <v>134</v>
      </c>
      <c r="B374">
        <f>INDEX('vehicles specifications'!$B$3:$CK$86,MATCH(B367,'vehicles specifications'!$A$3:$A$86,0),MATCH("Servicing [unit]",'vehicles specifications'!$B$2:$CK$2,0))</f>
        <v>7.5</v>
      </c>
    </row>
    <row r="375" spans="1:2" x14ac:dyDescent="0.3">
      <c r="A375" t="s">
        <v>135</v>
      </c>
      <c r="B375">
        <f>INDEX('vehicles specifications'!$B$3:$CK$86,MATCH(B367,'vehicles specifications'!$A$3:$A$86,0),MATCH("Energy battery replacement [unit]",'vehicles specifications'!$B$2:$CK$2,0))</f>
        <v>0.5</v>
      </c>
    </row>
    <row r="376" spans="1:2" x14ac:dyDescent="0.3">
      <c r="A376" t="s">
        <v>136</v>
      </c>
      <c r="B376">
        <f>INDEX('vehicles specifications'!$B$3:$CK$86,MATCH(B367,'vehicles specifications'!$A$3:$A$86,0),MATCH("Annual kilometers [km]",'vehicles specifications'!$B$2:$CK$2,0))</f>
        <v>3000</v>
      </c>
    </row>
    <row r="377" spans="1:2" x14ac:dyDescent="0.3">
      <c r="A377" t="s">
        <v>137</v>
      </c>
      <c r="B377">
        <f>INDEX('vehicles specifications'!$B$3:$CK$86,MATCH(B367,'vehicles specifications'!$A$3:$A$86,0),MATCH("Curb mass [kg]",'vehicles specifications'!$B$2:$CK$2,0))</f>
        <v>27.663333333333334</v>
      </c>
    </row>
    <row r="378" spans="1:2" x14ac:dyDescent="0.3">
      <c r="A378" t="s">
        <v>138</v>
      </c>
      <c r="B378">
        <f>INDEX('vehicles specifications'!$B$3:$CK$86,MATCH(B367,'vehicles specifications'!$A$3:$A$86,0),MATCH("Power [kW]",'vehicles specifications'!$B$2:$CK$2,0))</f>
        <v>0.5</v>
      </c>
    </row>
    <row r="379" spans="1:2" x14ac:dyDescent="0.3">
      <c r="A379" t="s">
        <v>139</v>
      </c>
      <c r="B379">
        <f>INDEX('vehicles specifications'!$B$3:$CK$86,MATCH(B367,'vehicles specifications'!$A$3:$A$86,0),MATCH("Energy battery mass [kg]",'vehicles specifications'!$B$2:$CK$2,0))</f>
        <v>4.3333333333333339</v>
      </c>
    </row>
    <row r="380" spans="1:2" x14ac:dyDescent="0.3">
      <c r="A380" t="s">
        <v>140</v>
      </c>
      <c r="B380">
        <f>INDEX('vehicles specifications'!$B$3:$CK$86,MATCH(B367,'vehicles specifications'!$A$3:$A$86,0),MATCH("Electric energy stored [kWh]",'vehicles specifications'!$B$2:$CK$2,0))</f>
        <v>1</v>
      </c>
    </row>
    <row r="381" spans="1:2" s="21" customFormat="1" x14ac:dyDescent="0.3">
      <c r="A381" s="21" t="s">
        <v>654</v>
      </c>
      <c r="B381" s="21">
        <f>INDEX('vehicles specifications'!$B$3:$CK$86,MATCH(B367,'vehicles specifications'!$A$3:$A$86,0),MATCH("Electric energy available [kWh]",'vehicles specifications'!$B$2:$CK$2,0))</f>
        <v>0.8</v>
      </c>
    </row>
    <row r="382" spans="1:2" x14ac:dyDescent="0.3">
      <c r="A382" t="s">
        <v>143</v>
      </c>
      <c r="B382">
        <f>INDEX('vehicles specifications'!$B$3:$CK$86,MATCH(B367,'vehicles specifications'!$A$3:$A$86,0),MATCH("Oxydation energy stored [kWh]",'vehicles specifications'!$B$2:$CK$2,0))</f>
        <v>0</v>
      </c>
    </row>
    <row r="383" spans="1:2" x14ac:dyDescent="0.3">
      <c r="A383" t="s">
        <v>145</v>
      </c>
      <c r="B383">
        <f>INDEX('vehicles specifications'!$B$3:$CK$86,MATCH(B367,'vehicles specifications'!$A$3:$A$86,0),MATCH("Fuel mass [kg]",'vehicles specifications'!$B$2:$CK$2,0))</f>
        <v>0</v>
      </c>
    </row>
    <row r="384" spans="1:2" x14ac:dyDescent="0.3">
      <c r="A384" t="s">
        <v>141</v>
      </c>
      <c r="B384" s="2">
        <f>INDEX('vehicles specifications'!$B$3:$CK$86,MATCH(B367,'vehicles specifications'!$A$3:$A$86,0),MATCH("Range [km]",'vehicles specifications'!$B$2:$CK$2,0))</f>
        <v>63.563613392293121</v>
      </c>
    </row>
    <row r="385" spans="1:8" x14ac:dyDescent="0.3">
      <c r="A385" t="s">
        <v>142</v>
      </c>
      <c r="B385" t="str">
        <f>INDEX('vehicles specifications'!$B$3:$CK$86,MATCH(B367,'vehicles specifications'!$A$3:$A$86,0),MATCH("Emission standard",'vehicles specifications'!$B$2:$CK$2,0))</f>
        <v>None</v>
      </c>
    </row>
    <row r="386" spans="1:8" x14ac:dyDescent="0.3">
      <c r="A386" t="s">
        <v>144</v>
      </c>
      <c r="B386" s="6">
        <f>INDEX('vehicles specifications'!$B$3:$CK$86,MATCH(B367,'vehicles specifications'!$A$3:$A$86,0),MATCH("Lightweighting rate [%]",'vehicles specifications'!$B$2:$CK$2,0))</f>
        <v>0.03</v>
      </c>
    </row>
    <row r="387" spans="1:8" x14ac:dyDescent="0.3">
      <c r="A387" t="s">
        <v>84</v>
      </c>
      <c r="B387" s="21" t="str">
        <f>"Power: "&amp;B378&amp;" kW. Lifetime: "&amp;B372&amp;" km. Annual kilometers: "&amp;B376&amp;" km. Number of passengers: "&amp;B373&amp;". Curb mass: "&amp;ROUND(B377,1)&amp;" kg. Lightweighting of glider: "&amp;ROUND(B386*100,0)&amp;"%. Emission standard: "&amp;B385&amp;". Service visits throughout lifetime: "&amp;ROUND(B374,1)&amp;". Range: "&amp;ROUND(B384,0)&amp;" km. Battery capacity: "&amp;ROUND(B380,1)&amp;" kWh. Available battery capacity: "&amp;B381&amp;" kWh. Battery mass: "&amp;ROUND(B379,1)&amp; " kg. Battery replacement throughout lifetime: "&amp;ROUND(B375,1)&amp;". Fuel tank capacity: "&amp;ROUND(B382,1)&amp;" kWh. Fuel mass: "&amp;ROUND(B383,1)&amp;" kg. Documentation: "&amp;Readmefirst!$B$2&amp;", "&amp;Readmefirst!$B$3&amp;". "&amp;B371</f>
        <v>Power: 0.5 kW. Lifetime: 30000 km. Annual kilometers: 3000 km. Number of passengers: 1. Curb mass: 27.7 kg. Lightweighting of glider: 3%. Emission standard: None. Service visits throughout lifetime: 7.5. Range: 64 km. Battery capacity: 1 kWh. Available battery capacity: 0.8 kWh. Battery mass: 4.3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88" spans="1:8" ht="15.6" x14ac:dyDescent="0.3">
      <c r="A388" s="11" t="s">
        <v>80</v>
      </c>
    </row>
    <row r="389" spans="1:8" x14ac:dyDescent="0.3">
      <c r="A389" t="s">
        <v>81</v>
      </c>
      <c r="B389" t="s">
        <v>82</v>
      </c>
      <c r="C389" t="s">
        <v>73</v>
      </c>
      <c r="D389" t="s">
        <v>77</v>
      </c>
      <c r="E389" t="s">
        <v>83</v>
      </c>
      <c r="F389" t="s">
        <v>75</v>
      </c>
      <c r="G389" t="s">
        <v>84</v>
      </c>
      <c r="H389" t="s">
        <v>74</v>
      </c>
    </row>
    <row r="390" spans="1:8" x14ac:dyDescent="0.3">
      <c r="A390" s="12" t="str">
        <f>B362</f>
        <v>transport, Bicycle, electric (&lt;45 km/h), 2030, label-certified electricity</v>
      </c>
      <c r="B390" s="12">
        <v>1</v>
      </c>
      <c r="C390" s="12" t="str">
        <f>B363</f>
        <v>CH</v>
      </c>
      <c r="D390" s="12" t="s">
        <v>172</v>
      </c>
      <c r="E390" s="12"/>
      <c r="F390" s="12" t="s">
        <v>85</v>
      </c>
      <c r="G390" s="12" t="s">
        <v>86</v>
      </c>
      <c r="H390" s="12" t="str">
        <f>B368</f>
        <v>transport, Bicycle, electric (&lt;45 km/h)</v>
      </c>
    </row>
    <row r="391" spans="1:8" x14ac:dyDescent="0.3">
      <c r="A391" s="12" t="str">
        <f>B364&amp;", "&amp;B366</f>
        <v>Bicycle, electric (&lt;45 km/h), 2030</v>
      </c>
      <c r="B391" s="12">
        <f>1/B372</f>
        <v>3.3333333333333335E-5</v>
      </c>
      <c r="C391" s="12" t="str">
        <f>B363</f>
        <v>CH</v>
      </c>
      <c r="D391" s="12" t="s">
        <v>77</v>
      </c>
      <c r="E391" s="12"/>
      <c r="F391" s="12" t="s">
        <v>91</v>
      </c>
      <c r="G391" s="12"/>
      <c r="H391" s="12" t="str">
        <f>RIGHT(H390,LEN(H390)-11)</f>
        <v>Bicycle, electric (&lt;45 km/h)</v>
      </c>
    </row>
    <row r="392" spans="1:8" s="21" customFormat="1" x14ac:dyDescent="0.3">
      <c r="A392" s="12" t="str">
        <f>INDEX('ei names mapping'!$B$4:$R$33,MATCH(B364,'ei names mapping'!$A$4:$A$33,0),MATCH(G392,'ei names mapping'!$B$3:$R$3,0))</f>
        <v>road construction</v>
      </c>
      <c r="B392" s="16">
        <f>INDEX('vehicles specifications'!$B$3:$CK$86,MATCH(B367,'vehicles specifications'!$A$3:$A$86,0),MATCH(G392,'vehicles specifications'!$B$2:$CK$2,0))*INDEX('ei names mapping'!$B$137:$BK$220,MATCH(B367,'ei names mapping'!$A$137:$A$220,0),MATCH(G392,'ei names mapping'!$B$136:$BK$136,0))</f>
        <v>5.2982209999999996E-5</v>
      </c>
      <c r="C392" s="12" t="str">
        <f>INDEX('ei names mapping'!$B$38:$R$67,MATCH(B364,'ei names mapping'!$A$4:$A$33,0),MATCH(G392,'ei names mapping'!$B$3:$R$3,0))</f>
        <v>CH</v>
      </c>
      <c r="D392" s="12" t="str">
        <f>INDEX('ei names mapping'!$B$104:$BK$133,MATCH(B364,'ei names mapping'!$A$4:$A$33,0),MATCH(G392,'ei names mapping'!$B$3:$BK$3,0))</f>
        <v>meter-year</v>
      </c>
      <c r="E392" s="12"/>
      <c r="F392" s="12" t="s">
        <v>91</v>
      </c>
      <c r="G392" s="21" t="s">
        <v>108</v>
      </c>
      <c r="H392" s="12" t="str">
        <f>INDEX('ei names mapping'!$B$71:$BK$100,MATCH(B364,'ei names mapping'!$A$4:$A$33,0),MATCH(G392,'ei names mapping'!$B$3:$BK$3,0))</f>
        <v>road</v>
      </c>
    </row>
    <row r="393" spans="1:8" x14ac:dyDescent="0.3">
      <c r="A393" s="12" t="s">
        <v>114</v>
      </c>
      <c r="B393" s="14">
        <f>INDEX('vehicles specifications'!$B$3:$CK$86,MATCH(B367,'vehicles specifications'!$A$3:$A$86,0),MATCH(G393,'vehicles specifications'!$B$2:$CK$2,0))*INDEX('ei names mapping'!$B$137:$BK$220,MATCH(B367,'ei names mapping'!$A$137:$A$220,0),MATCH(G393,'ei names mapping'!$B$136:$BK$136,0))</f>
        <v>1.3844398595922134E-2</v>
      </c>
      <c r="C393" s="12" t="str">
        <f>INDEX('ei names mapping'!$B$38:$R$67,MATCH($B$3,'ei names mapping'!$A$4:$A$33,0),MATCH(G393,'ei names mapping'!$B$3:$R$3,0))</f>
        <v>CH</v>
      </c>
      <c r="D393" s="12" t="str">
        <f>INDEX('ei names mapping'!$B$104:$R$133,MATCH($B$3,'ei names mapping'!$A$4:$A$33,0),MATCH(G393,'ei names mapping'!$B$3:$R$3,0))</f>
        <v>kilowatt hour</v>
      </c>
      <c r="E393" s="12"/>
      <c r="F393" s="12" t="s">
        <v>91</v>
      </c>
      <c r="G393" t="s">
        <v>28</v>
      </c>
      <c r="H393" s="12" t="s">
        <v>116</v>
      </c>
    </row>
    <row r="394" spans="1:8" x14ac:dyDescent="0.3">
      <c r="A394" s="12" t="str">
        <f>INDEX('ei names mapping'!$B$4:$R$33,MATCH($B$3,'ei names mapping'!$A$4:$A$33,0),MATCH(G394,'ei names mapping'!$B$3:$R$3,0))</f>
        <v>maintenance, electric bicycle, without battery</v>
      </c>
      <c r="B394" s="14">
        <f>INDEX('vehicles specifications'!$B$3:$CK$86,MATCH(B367,'vehicles specifications'!$A$3:$A$86,0),MATCH(G394,'vehicles specifications'!$B$2:$CK$2,0))*INDEX('ei names mapping'!$B$137:$BK$220,MATCH(B367,'ei names mapping'!$A$137:$A$220,0),MATCH(G394,'ei names mapping'!$B$136:$BK$136,0))</f>
        <v>2.5000000000000001E-4</v>
      </c>
      <c r="C394" s="12" t="str">
        <f>INDEX('ei names mapping'!$B$38:$R$67,MATCH($B$3,'ei names mapping'!$A$4:$A$33,0),MATCH(G394,'ei names mapping'!$B$3:$R$3,0))</f>
        <v>CH</v>
      </c>
      <c r="D394" s="12" t="str">
        <f>INDEX('ei names mapping'!$B$104:$R$133,MATCH($B$3,'ei names mapping'!$A$4:$A$33,0),MATCH(G394,'ei names mapping'!$B$3:$R$3,0))</f>
        <v>unit</v>
      </c>
      <c r="E394" s="12"/>
      <c r="F394" s="12" t="s">
        <v>91</v>
      </c>
      <c r="G394" t="s">
        <v>123</v>
      </c>
      <c r="H394" s="12" t="str">
        <f>INDEX('ei names mapping'!$B$71:$R$100,MATCH($B$3,'ei names mapping'!$A$4:$A$33,0),MATCH(G394,'ei names mapping'!$B$3:$R$3,0))</f>
        <v>maintenance, electric bicycle, without battery</v>
      </c>
    </row>
    <row r="395" spans="1:8" x14ac:dyDescent="0.3">
      <c r="A395" s="12" t="str">
        <f>INDEX('ei names mapping'!$B$4:$BK$33,MATCH($B$179,'ei names mapping'!$A$4:$A$33,0),MATCH(G395,'ei names mapping'!$B$3:$BK$3,0))</f>
        <v>treatment of road wear emissions, passenger car</v>
      </c>
      <c r="B395" s="15">
        <f>INDEX('vehicles specifications'!$B$3:$CK$86,MATCH(B367,'vehicles specifications'!$A$3:$A$86,0),MATCH(G395,'vehicles specifications'!$B$2:$CK$2,0))*INDEX('ei names mapping'!$B$137:$BK$220,MATCH(B367,'ei names mapping'!$A$137:$A$220,0),MATCH(G395,'ei names mapping'!$B$136:$BK$136,0))</f>
        <v>-3.0000000000000001E-6</v>
      </c>
      <c r="C395" s="12" t="str">
        <f>INDEX('ei names mapping'!$B$38:$BK$67,MATCH($B$179,'ei names mapping'!$A$4:$A$33,0),MATCH(G395,'ei names mapping'!$B$3:$BK$3,0))</f>
        <v>RER</v>
      </c>
      <c r="D395" s="12" t="str">
        <f>INDEX('ei names mapping'!$B$104:$BK$133,MATCH($B$179,'ei names mapping'!$A$4:$A$33,0),MATCH(G395,'ei names mapping'!$B$3:$BK$3,0))</f>
        <v>kilogram</v>
      </c>
      <c r="E395" s="12"/>
      <c r="F395" s="12" t="s">
        <v>91</v>
      </c>
      <c r="G395" t="s">
        <v>29</v>
      </c>
      <c r="H395" s="12" t="str">
        <f>INDEX('ei names mapping'!$B$71:$BK$100,MATCH(B364,'ei names mapping'!$A$4:$A$33,0),MATCH(G395,'ei names mapping'!$B$3:$BK$3,0))</f>
        <v>road wear emissions, passenger car</v>
      </c>
    </row>
    <row r="396" spans="1:8" x14ac:dyDescent="0.3">
      <c r="A396" s="12" t="str">
        <f>INDEX('ei names mapping'!$B$4:$BK$33,MATCH($B$179,'ei names mapping'!$A$4:$A$33,0),MATCH(G396,'ei names mapping'!$B$3:$BK$3,0))</f>
        <v>treatment of tyre wear emissions, passenger car</v>
      </c>
      <c r="B396" s="15">
        <f>INDEX('vehicles specifications'!$B$3:$CK$86,MATCH(B367,'vehicles specifications'!$A$3:$A$86,0),MATCH(G396,'vehicles specifications'!$B$2:$CK$2,0))*INDEX('ei names mapping'!$B$137:$BK$220,MATCH(B367,'ei names mapping'!$A$137:$A$220,0),MATCH(G396,'ei names mapping'!$B$136:$BK$136,0))</f>
        <v>-2.9189999999999999E-6</v>
      </c>
      <c r="C396" s="12" t="str">
        <f>INDEX('ei names mapping'!$B$38:$BK$67,MATCH($B$179,'ei names mapping'!$A$4:$A$33,0),MATCH(G396,'ei names mapping'!$B$3:$BK$3,0))</f>
        <v>RER</v>
      </c>
      <c r="D396" s="12" t="str">
        <f>INDEX('ei names mapping'!$B$104:$BK$133,MATCH($B$179,'ei names mapping'!$A$4:$A$33,0),MATCH(G396,'ei names mapping'!$B$3:$BK$3,0))</f>
        <v>kilogram</v>
      </c>
      <c r="E396" s="12"/>
      <c r="F396" s="12" t="s">
        <v>91</v>
      </c>
      <c r="G396" t="s">
        <v>30</v>
      </c>
      <c r="H396" s="12" t="str">
        <f>INDEX('ei names mapping'!$B$71:$BK$100,MATCH($B$179,'ei names mapping'!$A$4:$A$33,0),MATCH(G396,'ei names mapping'!$B$3:$BK$3,0))</f>
        <v>tyre wear emissions, passenger car</v>
      </c>
    </row>
    <row r="397" spans="1:8" x14ac:dyDescent="0.3">
      <c r="A397" s="12" t="str">
        <f>INDEX('ei names mapping'!$B$4:$BK$33,MATCH($B$179,'ei names mapping'!$A$4:$A$33,0),MATCH(G397,'ei names mapping'!$B$3:$BK$3,0))</f>
        <v>treatment of brake wear emissions, passenger car</v>
      </c>
      <c r="B397" s="15">
        <f>INDEX('vehicles specifications'!$B$3:$CK$86,MATCH(B367,'vehicles specifications'!$A$3:$A$86,0),MATCH(G397,'vehicles specifications'!$B$2:$CK$2,0))*INDEX('ei names mapping'!$B$137:$BK$220,MATCH(B367,'ei names mapping'!$A$137:$A$220,0),MATCH(G397,'ei names mapping'!$B$136:$BK$136,0))</f>
        <v>-1.8370000000000002E-6</v>
      </c>
      <c r="C397" s="12" t="str">
        <f>INDEX('ei names mapping'!$B$38:$BK$67,MATCH($B$179,'ei names mapping'!$A$4:$A$33,0),MATCH(G397,'ei names mapping'!$B$3:$BK$3,0))</f>
        <v>RER</v>
      </c>
      <c r="D397" s="12" t="str">
        <f>INDEX('ei names mapping'!$B$104:$BK$133,MATCH($B$179,'ei names mapping'!$A$4:$A$33,0),MATCH(G397,'ei names mapping'!$B$3:$BK$3,0))</f>
        <v>kilogram</v>
      </c>
      <c r="E397" s="12"/>
      <c r="F397" s="12" t="s">
        <v>91</v>
      </c>
      <c r="G397" t="s">
        <v>31</v>
      </c>
      <c r="H397" s="12" t="str">
        <f>INDEX('ei names mapping'!$B$71:$BK$100,MATCH($B$179,'ei names mapping'!$A$4:$A$33,0),MATCH(G397,'ei names mapping'!$B$3:$BK$3,0))</f>
        <v>brake wear emissions, passenger car</v>
      </c>
    </row>
    <row r="399" spans="1:8" ht="15.6" x14ac:dyDescent="0.3">
      <c r="A399" s="11" t="s">
        <v>72</v>
      </c>
      <c r="B399" s="9" t="str">
        <f>"transport, "&amp;B401&amp;", "&amp;B403&amp;", label-certified electricity"</f>
        <v>transport, Bicycle, electric (&lt;45 km/h), 2040, label-certified electricity</v>
      </c>
    </row>
    <row r="400" spans="1:8" x14ac:dyDescent="0.3">
      <c r="A400" t="s">
        <v>73</v>
      </c>
      <c r="B400" t="s">
        <v>37</v>
      </c>
    </row>
    <row r="401" spans="1:2" x14ac:dyDescent="0.3">
      <c r="A401" t="s">
        <v>87</v>
      </c>
      <c r="B401" s="21" t="s">
        <v>518</v>
      </c>
    </row>
    <row r="402" spans="1:2" x14ac:dyDescent="0.3">
      <c r="A402" t="s">
        <v>88</v>
      </c>
      <c r="B402" s="12"/>
    </row>
    <row r="403" spans="1:2" x14ac:dyDescent="0.3">
      <c r="A403" t="s">
        <v>89</v>
      </c>
      <c r="B403" s="12">
        <v>2040</v>
      </c>
    </row>
    <row r="404" spans="1:2" x14ac:dyDescent="0.3">
      <c r="A404" t="s">
        <v>131</v>
      </c>
      <c r="B404" s="12" t="str">
        <f>B401&amp;" - "&amp;B403&amp;" - "&amp;B400</f>
        <v>Bicycle, electric (&lt;45 km/h) - 2040 - CH</v>
      </c>
    </row>
    <row r="405" spans="1:2" x14ac:dyDescent="0.3">
      <c r="A405" t="s">
        <v>74</v>
      </c>
      <c r="B405" s="12" t="str">
        <f>"transport, "&amp;B401</f>
        <v>transport, Bicycle, electric (&lt;45 km/h)</v>
      </c>
    </row>
    <row r="406" spans="1:2" x14ac:dyDescent="0.3">
      <c r="A406" t="s">
        <v>75</v>
      </c>
      <c r="B406" t="s">
        <v>76</v>
      </c>
    </row>
    <row r="407" spans="1:2" x14ac:dyDescent="0.3">
      <c r="A407" t="s">
        <v>77</v>
      </c>
      <c r="B407" t="s">
        <v>172</v>
      </c>
    </row>
    <row r="408" spans="1:2" x14ac:dyDescent="0.3">
      <c r="A408" t="s">
        <v>79</v>
      </c>
      <c r="B408" t="s">
        <v>90</v>
      </c>
    </row>
    <row r="409" spans="1:2" x14ac:dyDescent="0.3">
      <c r="A409" t="s">
        <v>132</v>
      </c>
      <c r="B409">
        <f>INDEX('vehicles specifications'!$B$3:$CK$86,MATCH(B404,'vehicles specifications'!$A$3:$A$86,0),MATCH("Lifetime [km]",'vehicles specifications'!$B$2:$CK$2,0))</f>
        <v>30000</v>
      </c>
    </row>
    <row r="410" spans="1:2" x14ac:dyDescent="0.3">
      <c r="A410" t="s">
        <v>133</v>
      </c>
      <c r="B410">
        <f>INDEX('vehicles specifications'!$B$3:$CK$86,MATCH(B404,'vehicles specifications'!$A$3:$A$86,0),MATCH("Passengers [unit]",'vehicles specifications'!$B$2:$CK$2,0))</f>
        <v>1</v>
      </c>
    </row>
    <row r="411" spans="1:2" x14ac:dyDescent="0.3">
      <c r="A411" t="s">
        <v>134</v>
      </c>
      <c r="B411">
        <f>INDEX('vehicles specifications'!$B$3:$CK$86,MATCH(B404,'vehicles specifications'!$A$3:$A$86,0),MATCH("Servicing [unit]",'vehicles specifications'!$B$2:$CK$2,0))</f>
        <v>7.5</v>
      </c>
    </row>
    <row r="412" spans="1:2" x14ac:dyDescent="0.3">
      <c r="A412" t="s">
        <v>135</v>
      </c>
      <c r="B412">
        <f>INDEX('vehicles specifications'!$B$3:$CK$86,MATCH(B404,'vehicles specifications'!$A$3:$A$86,0),MATCH("Energy battery replacement [unit]",'vehicles specifications'!$B$2:$CK$2,0))</f>
        <v>0.25</v>
      </c>
    </row>
    <row r="413" spans="1:2" x14ac:dyDescent="0.3">
      <c r="A413" t="s">
        <v>136</v>
      </c>
      <c r="B413">
        <f>INDEX('vehicles specifications'!$B$3:$CK$86,MATCH(B404,'vehicles specifications'!$A$3:$A$86,0),MATCH("Annual kilometers [km]",'vehicles specifications'!$B$2:$CK$2,0))</f>
        <v>3000</v>
      </c>
    </row>
    <row r="414" spans="1:2" x14ac:dyDescent="0.3">
      <c r="A414" t="s">
        <v>137</v>
      </c>
      <c r="B414">
        <f>INDEX('vehicles specifications'!$B$3:$CK$86,MATCH(B404,'vehicles specifications'!$A$3:$A$86,0),MATCH("Curb mass [kg]",'vehicles specifications'!$B$2:$CK$2,0))</f>
        <v>27.625</v>
      </c>
    </row>
    <row r="415" spans="1:2" x14ac:dyDescent="0.3">
      <c r="A415" t="s">
        <v>138</v>
      </c>
      <c r="B415">
        <f>INDEX('vehicles specifications'!$B$3:$CK$86,MATCH(B404,'vehicles specifications'!$A$3:$A$86,0),MATCH("Power [kW]",'vehicles specifications'!$B$2:$CK$2,0))</f>
        <v>0.5</v>
      </c>
    </row>
    <row r="416" spans="1:2" x14ac:dyDescent="0.3">
      <c r="A416" t="s">
        <v>139</v>
      </c>
      <c r="B416">
        <f>INDEX('vehicles specifications'!$B$3:$CK$86,MATCH(B404,'vehicles specifications'!$A$3:$A$86,0),MATCH("Energy battery mass [kg]",'vehicles specifications'!$B$2:$CK$2,0))</f>
        <v>4.875</v>
      </c>
    </row>
    <row r="417" spans="1:8" x14ac:dyDescent="0.3">
      <c r="A417" t="s">
        <v>140</v>
      </c>
      <c r="B417">
        <f>INDEX('vehicles specifications'!$B$3:$CK$86,MATCH(B404,'vehicles specifications'!$A$3:$A$86,0),MATCH("Electric energy stored [kWh]",'vehicles specifications'!$B$2:$CK$2,0))</f>
        <v>1.5</v>
      </c>
    </row>
    <row r="418" spans="1:8" s="21" customFormat="1" x14ac:dyDescent="0.3">
      <c r="A418" s="21" t="s">
        <v>654</v>
      </c>
      <c r="B418" s="21">
        <f>INDEX('vehicles specifications'!$B$3:$CK$86,MATCH(B404,'vehicles specifications'!$A$3:$A$86,0),MATCH("Electric energy available [kWh]",'vehicles specifications'!$B$2:$CK$2,0))</f>
        <v>1.2000000000000002</v>
      </c>
    </row>
    <row r="419" spans="1:8" x14ac:dyDescent="0.3">
      <c r="A419" t="s">
        <v>143</v>
      </c>
      <c r="B419">
        <f>INDEX('vehicles specifications'!$B$3:$CK$86,MATCH(B404,'vehicles specifications'!$A$3:$A$86,0),MATCH("Oxydation energy stored [kWh]",'vehicles specifications'!$B$2:$CK$2,0))</f>
        <v>0</v>
      </c>
    </row>
    <row r="420" spans="1:8" x14ac:dyDescent="0.3">
      <c r="A420" t="s">
        <v>145</v>
      </c>
      <c r="B420">
        <f>INDEX('vehicles specifications'!$B$3:$CK$86,MATCH(B404,'vehicles specifications'!$A$3:$A$86,0),MATCH("Fuel mass [kg]",'vehicles specifications'!$B$2:$CK$2,0))</f>
        <v>0</v>
      </c>
    </row>
    <row r="421" spans="1:8" x14ac:dyDescent="0.3">
      <c r="A421" t="s">
        <v>141</v>
      </c>
      <c r="B421" s="2">
        <f>INDEX('vehicles specifications'!$B$3:$CK$86,MATCH(B404,'vehicles specifications'!$A$3:$A$86,0),MATCH("Range [km]",'vehicles specifications'!$B$2:$CK$2,0))</f>
        <v>95.345420088439695</v>
      </c>
    </row>
    <row r="422" spans="1:8" x14ac:dyDescent="0.3">
      <c r="A422" t="s">
        <v>142</v>
      </c>
      <c r="B422" t="str">
        <f>INDEX('vehicles specifications'!$B$3:$CK$86,MATCH(B404,'vehicles specifications'!$A$3:$A$86,0),MATCH("Emission standard",'vehicles specifications'!$B$2:$CK$2,0))</f>
        <v>None</v>
      </c>
    </row>
    <row r="423" spans="1:8" x14ac:dyDescent="0.3">
      <c r="A423" t="s">
        <v>144</v>
      </c>
      <c r="B423" s="6">
        <f>INDEX('vehicles specifications'!$B$3:$CK$86,MATCH(B404,'vehicles specifications'!$A$3:$A$86,0),MATCH("Lightweighting rate [%]",'vehicles specifications'!$B$2:$CK$2,0))</f>
        <v>0.05</v>
      </c>
    </row>
    <row r="424" spans="1:8" x14ac:dyDescent="0.3">
      <c r="A424" t="s">
        <v>84</v>
      </c>
      <c r="B424" s="21" t="str">
        <f>"Power: "&amp;B415&amp;" kW. Lifetime: "&amp;B409&amp;" km. Annual kilometers: "&amp;B413&amp;" km. Number of passengers: "&amp;B410&amp;". Curb mass: "&amp;ROUND(B414,1)&amp;" kg. Lightweighting of glider: "&amp;ROUND(B423*100,0)&amp;"%. Emission standard: "&amp;B422&amp;". Service visits throughout lifetime: "&amp;ROUND(B411,1)&amp;". Range: "&amp;ROUND(B421,0)&amp;" km. Battery capacity: "&amp;ROUND(B417,1)&amp;" kWh. Available battery capacity: "&amp;B418&amp;" kWh. Battery mass: "&amp;ROUND(B416,1)&amp; " kg. Battery replacement throughout lifetime: "&amp;ROUND(B412,1)&amp;". Fuel tank capacity: "&amp;ROUND(B419,1)&amp;" kWh. Fuel mass: "&amp;ROUND(B420,1)&amp;" kg. Documentation: "&amp;Readmefirst!$B$2&amp;", "&amp;Readmefirst!$B$3&amp;". "&amp;B408</f>
        <v>Power: 0.5 kW. Lifetime: 30000 km. Annual kilometers: 3000 km. Number of passengers: 1. Curb mass: 27.6 kg. Lightweighting of glider: 5%. Emission standard: None. Service visits throughout lifetime: 7.5. Range: 95 km. Battery capacity: 1.5 kWh. Available battery capacity: 1.2 kWh. Battery mass: 4.9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25" spans="1:8" ht="15.6" x14ac:dyDescent="0.3">
      <c r="A425" s="11" t="s">
        <v>80</v>
      </c>
    </row>
    <row r="426" spans="1:8" x14ac:dyDescent="0.3">
      <c r="A426" t="s">
        <v>81</v>
      </c>
      <c r="B426" t="s">
        <v>82</v>
      </c>
      <c r="C426" t="s">
        <v>73</v>
      </c>
      <c r="D426" t="s">
        <v>77</v>
      </c>
      <c r="E426" t="s">
        <v>83</v>
      </c>
      <c r="F426" t="s">
        <v>75</v>
      </c>
      <c r="G426" t="s">
        <v>84</v>
      </c>
      <c r="H426" t="s">
        <v>74</v>
      </c>
    </row>
    <row r="427" spans="1:8" x14ac:dyDescent="0.3">
      <c r="A427" s="12" t="str">
        <f>B399</f>
        <v>transport, Bicycle, electric (&lt;45 km/h), 2040, label-certified electricity</v>
      </c>
      <c r="B427" s="12">
        <v>1</v>
      </c>
      <c r="C427" s="12" t="str">
        <f>B400</f>
        <v>CH</v>
      </c>
      <c r="D427" s="12" t="s">
        <v>172</v>
      </c>
      <c r="E427" s="12"/>
      <c r="F427" s="12" t="s">
        <v>85</v>
      </c>
      <c r="G427" s="12" t="s">
        <v>86</v>
      </c>
      <c r="H427" s="12" t="str">
        <f>B405</f>
        <v>transport, Bicycle, electric (&lt;45 km/h)</v>
      </c>
    </row>
    <row r="428" spans="1:8" x14ac:dyDescent="0.3">
      <c r="A428" s="12" t="str">
        <f>B401&amp;", "&amp;B403</f>
        <v>Bicycle, electric (&lt;45 km/h), 2040</v>
      </c>
      <c r="B428" s="12">
        <f>1/B409</f>
        <v>3.3333333333333335E-5</v>
      </c>
      <c r="C428" s="12" t="str">
        <f>B400</f>
        <v>CH</v>
      </c>
      <c r="D428" s="12" t="s">
        <v>77</v>
      </c>
      <c r="E428" s="12"/>
      <c r="F428" s="12" t="s">
        <v>91</v>
      </c>
      <c r="G428" s="12"/>
      <c r="H428" s="12" t="str">
        <f>RIGHT(H427,LEN(H427)-11)</f>
        <v>Bicycle, electric (&lt;45 km/h)</v>
      </c>
    </row>
    <row r="429" spans="1:8" s="21" customFormat="1" x14ac:dyDescent="0.3">
      <c r="A429" s="12" t="str">
        <f>INDEX('ei names mapping'!$B$4:$R$33,MATCH(B401,'ei names mapping'!$A$4:$A$33,0),MATCH(G429,'ei names mapping'!$B$3:$R$3,0))</f>
        <v>road construction</v>
      </c>
      <c r="B429" s="16">
        <f>INDEX('vehicles specifications'!$B$3:$CK$86,MATCH(B404,'vehicles specifications'!$A$3:$A$86,0),MATCH(G429,'vehicles specifications'!$B$2:$CK$2,0))*INDEX('ei names mapping'!$B$137:$BK$220,MATCH(B404,'ei names mapping'!$A$137:$A$220,0),MATCH(G429,'ei names mapping'!$B$136:$BK$136,0))</f>
        <v>5.2961625E-5</v>
      </c>
      <c r="C429" s="12" t="str">
        <f>INDEX('ei names mapping'!$B$38:$R$67,MATCH(B401,'ei names mapping'!$A$4:$A$33,0),MATCH(G429,'ei names mapping'!$B$3:$R$3,0))</f>
        <v>CH</v>
      </c>
      <c r="D429" s="12" t="str">
        <f>INDEX('ei names mapping'!$B$104:$BK$133,MATCH(B401,'ei names mapping'!$A$4:$A$33,0),MATCH(G429,'ei names mapping'!$B$3:$BK$3,0))</f>
        <v>meter-year</v>
      </c>
      <c r="E429" s="12"/>
      <c r="F429" s="12" t="s">
        <v>91</v>
      </c>
      <c r="G429" s="21" t="s">
        <v>108</v>
      </c>
      <c r="H429" s="12" t="str">
        <f>INDEX('ei names mapping'!$B$71:$BK$100,MATCH(B401,'ei names mapping'!$A$4:$A$33,0),MATCH(G429,'ei names mapping'!$B$3:$BK$3,0))</f>
        <v>road</v>
      </c>
    </row>
    <row r="430" spans="1:8" x14ac:dyDescent="0.3">
      <c r="A430" s="12" t="s">
        <v>114</v>
      </c>
      <c r="B430" s="14">
        <f>INDEX('vehicles specifications'!$B$3:$CK$86,MATCH(B404,'vehicles specifications'!$A$3:$A$86,0),MATCH(G430,'vehicles specifications'!$B$2:$CK$2,0))*INDEX('ei names mapping'!$B$137:$BK$220,MATCH(B404,'ei names mapping'!$A$137:$A$220,0),MATCH(G430,'ei names mapping'!$B$136:$BK$136,0))</f>
        <v>1.3844398595922134E-2</v>
      </c>
      <c r="C430" s="12" t="str">
        <f>INDEX('ei names mapping'!$B$38:$R$67,MATCH($B$3,'ei names mapping'!$A$4:$A$33,0),MATCH(G430,'ei names mapping'!$B$3:$R$3,0))</f>
        <v>CH</v>
      </c>
      <c r="D430" s="12" t="str">
        <f>INDEX('ei names mapping'!$B$104:$R$133,MATCH($B$3,'ei names mapping'!$A$4:$A$33,0),MATCH(G430,'ei names mapping'!$B$3:$R$3,0))</f>
        <v>kilowatt hour</v>
      </c>
      <c r="E430" s="12"/>
      <c r="F430" s="12" t="s">
        <v>91</v>
      </c>
      <c r="G430" t="s">
        <v>28</v>
      </c>
      <c r="H430" s="12" t="s">
        <v>116</v>
      </c>
    </row>
    <row r="431" spans="1:8" x14ac:dyDescent="0.3">
      <c r="A431" s="12" t="str">
        <f>INDEX('ei names mapping'!$B$4:$R$33,MATCH($B$3,'ei names mapping'!$A$4:$A$33,0),MATCH(G431,'ei names mapping'!$B$3:$R$3,0))</f>
        <v>maintenance, electric bicycle, without battery</v>
      </c>
      <c r="B431" s="14">
        <f>INDEX('vehicles specifications'!$B$3:$CK$86,MATCH(B404,'vehicles specifications'!$A$3:$A$86,0),MATCH(G431,'vehicles specifications'!$B$2:$CK$2,0))*INDEX('ei names mapping'!$B$137:$BK$220,MATCH(B404,'ei names mapping'!$A$137:$A$220,0),MATCH(G431,'ei names mapping'!$B$136:$BK$136,0))</f>
        <v>2.5000000000000001E-4</v>
      </c>
      <c r="C431" s="12" t="str">
        <f>INDEX('ei names mapping'!$B$38:$R$67,MATCH($B$3,'ei names mapping'!$A$4:$A$33,0),MATCH(G431,'ei names mapping'!$B$3:$R$3,0))</f>
        <v>CH</v>
      </c>
      <c r="D431" s="12" t="str">
        <f>INDEX('ei names mapping'!$B$104:$R$133,MATCH($B$3,'ei names mapping'!$A$4:$A$33,0),MATCH(G431,'ei names mapping'!$B$3:$R$3,0))</f>
        <v>unit</v>
      </c>
      <c r="E431" s="12"/>
      <c r="F431" s="12" t="s">
        <v>91</v>
      </c>
      <c r="G431" t="s">
        <v>123</v>
      </c>
      <c r="H431" s="12" t="str">
        <f>INDEX('ei names mapping'!$B$71:$R$100,MATCH($B$3,'ei names mapping'!$A$4:$A$33,0),MATCH(G431,'ei names mapping'!$B$3:$R$3,0))</f>
        <v>maintenance, electric bicycle, without battery</v>
      </c>
    </row>
    <row r="432" spans="1:8" x14ac:dyDescent="0.3">
      <c r="A432" s="12" t="str">
        <f>INDEX('ei names mapping'!$B$4:$BK$33,MATCH($B$179,'ei names mapping'!$A$4:$A$33,0),MATCH(G432,'ei names mapping'!$B$3:$BK$3,0))</f>
        <v>treatment of road wear emissions, passenger car</v>
      </c>
      <c r="B432" s="15">
        <f>INDEX('vehicles specifications'!$B$3:$CK$86,MATCH(B404,'vehicles specifications'!$A$3:$A$86,0),MATCH(G432,'vehicles specifications'!$B$2:$CK$2,0))*INDEX('ei names mapping'!$B$137:$BK$220,MATCH(B404,'ei names mapping'!$A$137:$A$220,0),MATCH(G432,'ei names mapping'!$B$136:$BK$136,0))</f>
        <v>-3.0000000000000001E-6</v>
      </c>
      <c r="C432" s="12" t="str">
        <f>INDEX('ei names mapping'!$B$38:$BK$67,MATCH($B$179,'ei names mapping'!$A$4:$A$33,0),MATCH(G432,'ei names mapping'!$B$3:$BK$3,0))</f>
        <v>RER</v>
      </c>
      <c r="D432" s="12" t="str">
        <f>INDEX('ei names mapping'!$B$104:$BK$133,MATCH($B$179,'ei names mapping'!$A$4:$A$33,0),MATCH(G432,'ei names mapping'!$B$3:$BK$3,0))</f>
        <v>kilogram</v>
      </c>
      <c r="E432" s="12"/>
      <c r="F432" s="12" t="s">
        <v>91</v>
      </c>
      <c r="G432" t="s">
        <v>29</v>
      </c>
      <c r="H432" s="12" t="str">
        <f>INDEX('ei names mapping'!$B$71:$BK$100,MATCH(B401,'ei names mapping'!$A$4:$A$33,0),MATCH(G432,'ei names mapping'!$B$3:$BK$3,0))</f>
        <v>road wear emissions, passenger car</v>
      </c>
    </row>
    <row r="433" spans="1:8" x14ac:dyDescent="0.3">
      <c r="A433" s="12" t="str">
        <f>INDEX('ei names mapping'!$B$4:$BK$33,MATCH($B$179,'ei names mapping'!$A$4:$A$33,0),MATCH(G433,'ei names mapping'!$B$3:$BK$3,0))</f>
        <v>treatment of tyre wear emissions, passenger car</v>
      </c>
      <c r="B433" s="15">
        <f>INDEX('vehicles specifications'!$B$3:$CK$86,MATCH(B404,'vehicles specifications'!$A$3:$A$86,0),MATCH(G433,'vehicles specifications'!$B$2:$CK$2,0))*INDEX('ei names mapping'!$B$137:$BK$220,MATCH(B404,'ei names mapping'!$A$137:$A$220,0),MATCH(G433,'ei names mapping'!$B$136:$BK$136,0))</f>
        <v>-2.9189999999999999E-6</v>
      </c>
      <c r="C433" s="12" t="str">
        <f>INDEX('ei names mapping'!$B$38:$BK$67,MATCH($B$179,'ei names mapping'!$A$4:$A$33,0),MATCH(G433,'ei names mapping'!$B$3:$BK$3,0))</f>
        <v>RER</v>
      </c>
      <c r="D433" s="12" t="str">
        <f>INDEX('ei names mapping'!$B$104:$BK$133,MATCH($B$179,'ei names mapping'!$A$4:$A$33,0),MATCH(G433,'ei names mapping'!$B$3:$BK$3,0))</f>
        <v>kilogram</v>
      </c>
      <c r="E433" s="12"/>
      <c r="F433" s="12" t="s">
        <v>91</v>
      </c>
      <c r="G433" t="s">
        <v>30</v>
      </c>
      <c r="H433" s="12" t="str">
        <f>INDEX('ei names mapping'!$B$71:$BK$100,MATCH($B$179,'ei names mapping'!$A$4:$A$33,0),MATCH(G433,'ei names mapping'!$B$3:$BK$3,0))</f>
        <v>tyre wear emissions, passenger car</v>
      </c>
    </row>
    <row r="434" spans="1:8" x14ac:dyDescent="0.3">
      <c r="A434" s="12" t="str">
        <f>INDEX('ei names mapping'!$B$4:$BK$33,MATCH($B$179,'ei names mapping'!$A$4:$A$33,0),MATCH(G434,'ei names mapping'!$B$3:$BK$3,0))</f>
        <v>treatment of brake wear emissions, passenger car</v>
      </c>
      <c r="B434" s="15">
        <f>INDEX('vehicles specifications'!$B$3:$CK$86,MATCH(B404,'vehicles specifications'!$A$3:$A$86,0),MATCH(G434,'vehicles specifications'!$B$2:$CK$2,0))*INDEX('ei names mapping'!$B$137:$BK$220,MATCH(B404,'ei names mapping'!$A$137:$A$220,0),MATCH(G434,'ei names mapping'!$B$136:$BK$136,0))</f>
        <v>-1.8370000000000002E-6</v>
      </c>
      <c r="C434" s="12" t="str">
        <f>INDEX('ei names mapping'!$B$38:$BK$67,MATCH($B$179,'ei names mapping'!$A$4:$A$33,0),MATCH(G434,'ei names mapping'!$B$3:$BK$3,0))</f>
        <v>RER</v>
      </c>
      <c r="D434" s="12" t="str">
        <f>INDEX('ei names mapping'!$B$104:$BK$133,MATCH($B$179,'ei names mapping'!$A$4:$A$33,0),MATCH(G434,'ei names mapping'!$B$3:$BK$3,0))</f>
        <v>kilogram</v>
      </c>
      <c r="E434" s="12"/>
      <c r="F434" s="12" t="s">
        <v>91</v>
      </c>
      <c r="G434" t="s">
        <v>31</v>
      </c>
      <c r="H434" s="12" t="str">
        <f>INDEX('ei names mapping'!$B$71:$BK$100,MATCH($B$179,'ei names mapping'!$A$4:$A$33,0),MATCH(G434,'ei names mapping'!$B$3:$BK$3,0))</f>
        <v>brake wear emissions, passenger car</v>
      </c>
    </row>
    <row r="436" spans="1:8" ht="15.6" x14ac:dyDescent="0.3">
      <c r="A436" s="11" t="s">
        <v>72</v>
      </c>
      <c r="B436" s="9" t="str">
        <f>"transport, "&amp;B438&amp;", "&amp;B440&amp;", label-certified electricity"</f>
        <v>transport, Bicycle, electric (&lt;45 km/h), 2050, label-certified electricity</v>
      </c>
    </row>
    <row r="437" spans="1:8" x14ac:dyDescent="0.3">
      <c r="A437" t="s">
        <v>73</v>
      </c>
      <c r="B437" t="s">
        <v>37</v>
      </c>
    </row>
    <row r="438" spans="1:8" x14ac:dyDescent="0.3">
      <c r="A438" t="s">
        <v>87</v>
      </c>
      <c r="B438" s="21" t="s">
        <v>518</v>
      </c>
    </row>
    <row r="439" spans="1:8" x14ac:dyDescent="0.3">
      <c r="A439" t="s">
        <v>88</v>
      </c>
      <c r="B439" s="12"/>
    </row>
    <row r="440" spans="1:8" x14ac:dyDescent="0.3">
      <c r="A440" t="s">
        <v>89</v>
      </c>
      <c r="B440" s="12">
        <v>2050</v>
      </c>
    </row>
    <row r="441" spans="1:8" x14ac:dyDescent="0.3">
      <c r="A441" t="s">
        <v>131</v>
      </c>
      <c r="B441" s="12" t="str">
        <f>B438&amp;" - "&amp;B440&amp;" - "&amp;B437</f>
        <v>Bicycle, electric (&lt;45 km/h) - 2050 - CH</v>
      </c>
    </row>
    <row r="442" spans="1:8" x14ac:dyDescent="0.3">
      <c r="A442" t="s">
        <v>74</v>
      </c>
      <c r="B442" s="12" t="str">
        <f>"transport, "&amp;B438</f>
        <v>transport, Bicycle, electric (&lt;45 km/h)</v>
      </c>
    </row>
    <row r="443" spans="1:8" x14ac:dyDescent="0.3">
      <c r="A443" t="s">
        <v>75</v>
      </c>
      <c r="B443" t="s">
        <v>76</v>
      </c>
    </row>
    <row r="444" spans="1:8" x14ac:dyDescent="0.3">
      <c r="A444" t="s">
        <v>77</v>
      </c>
      <c r="B444" t="s">
        <v>172</v>
      </c>
    </row>
    <row r="445" spans="1:8" x14ac:dyDescent="0.3">
      <c r="A445" t="s">
        <v>79</v>
      </c>
      <c r="B445" t="s">
        <v>90</v>
      </c>
    </row>
    <row r="446" spans="1:8" x14ac:dyDescent="0.3">
      <c r="A446" t="s">
        <v>132</v>
      </c>
      <c r="B446">
        <f>INDEX('vehicles specifications'!$B$3:$CK$86,MATCH(B441,'vehicles specifications'!$A$3:$A$86,0),MATCH("Lifetime [km]",'vehicles specifications'!$B$2:$CK$2,0))</f>
        <v>30000</v>
      </c>
    </row>
    <row r="447" spans="1:8" x14ac:dyDescent="0.3">
      <c r="A447" t="s">
        <v>133</v>
      </c>
      <c r="B447">
        <f>INDEX('vehicles specifications'!$B$3:$CK$86,MATCH(B441,'vehicles specifications'!$A$3:$A$86,0),MATCH("Passengers [unit]",'vehicles specifications'!$B$2:$CK$2,0))</f>
        <v>1</v>
      </c>
    </row>
    <row r="448" spans="1:8" x14ac:dyDescent="0.3">
      <c r="A448" t="s">
        <v>134</v>
      </c>
      <c r="B448">
        <f>INDEX('vehicles specifications'!$B$3:$CK$86,MATCH(B441,'vehicles specifications'!$A$3:$A$86,0),MATCH("Servicing [unit]",'vehicles specifications'!$B$2:$CK$2,0))</f>
        <v>7.5</v>
      </c>
    </row>
    <row r="449" spans="1:8" x14ac:dyDescent="0.3">
      <c r="A449" t="s">
        <v>135</v>
      </c>
      <c r="B449">
        <f>INDEX('vehicles specifications'!$B$3:$CK$86,MATCH(B441,'vehicles specifications'!$A$3:$A$86,0),MATCH("Energy battery replacement [unit]",'vehicles specifications'!$B$2:$CK$2,0))</f>
        <v>0</v>
      </c>
    </row>
    <row r="450" spans="1:8" x14ac:dyDescent="0.3">
      <c r="A450" t="s">
        <v>136</v>
      </c>
      <c r="B450">
        <f>INDEX('vehicles specifications'!$B$3:$CK$86,MATCH(B441,'vehicles specifications'!$A$3:$A$86,0),MATCH("Annual kilometers [km]",'vehicles specifications'!$B$2:$CK$2,0))</f>
        <v>3000</v>
      </c>
    </row>
    <row r="451" spans="1:8" x14ac:dyDescent="0.3">
      <c r="A451" t="s">
        <v>137</v>
      </c>
      <c r="B451">
        <f>INDEX('vehicles specifications'!$B$3:$CK$86,MATCH(B441,'vehicles specifications'!$A$3:$A$86,0),MATCH("Curb mass [kg]",'vehicles specifications'!$B$2:$CK$2,0))</f>
        <v>27.989999999999995</v>
      </c>
    </row>
    <row r="452" spans="1:8" x14ac:dyDescent="0.3">
      <c r="A452" t="s">
        <v>138</v>
      </c>
      <c r="B452">
        <f>INDEX('vehicles specifications'!$B$3:$CK$86,MATCH(B441,'vehicles specifications'!$A$3:$A$86,0),MATCH("Power [kW]",'vehicles specifications'!$B$2:$CK$2,0))</f>
        <v>0.5</v>
      </c>
    </row>
    <row r="453" spans="1:8" x14ac:dyDescent="0.3">
      <c r="A453" t="s">
        <v>139</v>
      </c>
      <c r="B453">
        <f>INDEX('vehicles specifications'!$B$3:$CK$86,MATCH(B441,'vehicles specifications'!$A$3:$A$86,0),MATCH("Energy battery mass [kg]",'vehicles specifications'!$B$2:$CK$2,0))</f>
        <v>5.7200000000000006</v>
      </c>
    </row>
    <row r="454" spans="1:8" x14ac:dyDescent="0.3">
      <c r="A454" t="s">
        <v>140</v>
      </c>
      <c r="B454">
        <f>INDEX('vehicles specifications'!$B$3:$CK$86,MATCH(B441,'vehicles specifications'!$A$3:$A$86,0),MATCH("Electric energy stored [kWh]",'vehicles specifications'!$B$2:$CK$2,0))</f>
        <v>2.2000000000000002</v>
      </c>
    </row>
    <row r="455" spans="1:8" s="21" customFormat="1" x14ac:dyDescent="0.3">
      <c r="A455" s="21" t="s">
        <v>654</v>
      </c>
      <c r="B455" s="21">
        <f>INDEX('vehicles specifications'!$B$3:$CK$86,MATCH(B441,'vehicles specifications'!$A$3:$A$86,0),MATCH("Electric energy available [kWh]",'vehicles specifications'!$B$2:$CK$2,0))</f>
        <v>1.7600000000000002</v>
      </c>
    </row>
    <row r="456" spans="1:8" x14ac:dyDescent="0.3">
      <c r="A456" t="s">
        <v>143</v>
      </c>
      <c r="B456">
        <f>INDEX('vehicles specifications'!$B$3:$CK$86,MATCH(B441,'vehicles specifications'!$A$3:$A$86,0),MATCH("Oxydation energy stored [kWh]",'vehicles specifications'!$B$2:$CK$2,0))</f>
        <v>0</v>
      </c>
    </row>
    <row r="457" spans="1:8" x14ac:dyDescent="0.3">
      <c r="A457" t="s">
        <v>145</v>
      </c>
      <c r="B457">
        <f>INDEX('vehicles specifications'!$B$3:$CK$86,MATCH(B441,'vehicles specifications'!$A$3:$A$86,0),MATCH("Fuel mass [kg]",'vehicles specifications'!$B$2:$CK$2,0))</f>
        <v>0</v>
      </c>
    </row>
    <row r="458" spans="1:8" x14ac:dyDescent="0.3">
      <c r="A458" t="s">
        <v>141</v>
      </c>
      <c r="B458" s="2">
        <f>INDEX('vehicles specifications'!$B$3:$CK$86,MATCH(B441,'vehicles specifications'!$A$3:$A$86,0),MATCH("Range [km]",'vehicles specifications'!$B$2:$CK$2,0))</f>
        <v>139.83994946304489</v>
      </c>
    </row>
    <row r="459" spans="1:8" x14ac:dyDescent="0.3">
      <c r="A459" t="s">
        <v>142</v>
      </c>
      <c r="B459" t="str">
        <f>INDEX('vehicles specifications'!$B$3:$CK$86,MATCH(B441,'vehicles specifications'!$A$3:$A$86,0),MATCH("Emission standard",'vehicles specifications'!$B$2:$CK$2,0))</f>
        <v>None</v>
      </c>
    </row>
    <row r="460" spans="1:8" x14ac:dyDescent="0.3">
      <c r="A460" t="s">
        <v>144</v>
      </c>
      <c r="B460" s="6">
        <f>INDEX('vehicles specifications'!$B$3:$CK$86,MATCH(B441,'vehicles specifications'!$A$3:$A$86,0),MATCH("Lightweighting rate [%]",'vehicles specifications'!$B$2:$CK$2,0))</f>
        <v>7.0000000000000007E-2</v>
      </c>
    </row>
    <row r="461" spans="1:8" x14ac:dyDescent="0.3">
      <c r="A461" t="s">
        <v>84</v>
      </c>
      <c r="B461" s="21" t="str">
        <f>"Power: "&amp;B452&amp;" kW. Lifetime: "&amp;B446&amp;" km. Annual kilometers: "&amp;B450&amp;" km. Number of passengers: "&amp;B447&amp;". Curb mass: "&amp;ROUND(B451,1)&amp;" kg. Lightweighting of glider: "&amp;ROUND(B460*100,0)&amp;"%. Emission standard: "&amp;B459&amp;". Service visits throughout lifetime: "&amp;ROUND(B448,1)&amp;". Range: "&amp;ROUND(B458,0)&amp;" km. Battery capacity: "&amp;ROUND(B454,1)&amp;" kWh. Available battery capacity: "&amp;B455&amp;" kWh. Battery mass: "&amp;ROUND(B453,1)&amp; " kg. Battery replacement throughout lifetime: "&amp;ROUND(B449,1)&amp;". Fuel tank capacity: "&amp;ROUND(B456,1)&amp;" kWh. Fuel mass: "&amp;ROUND(B457,1)&amp;" kg. Documentation: "&amp;Readmefirst!$B$2&amp;", "&amp;Readmefirst!$B$3&amp;". "&amp;B445</f>
        <v>Power: 0.5 kW. Lifetime: 30000 km. Annual kilometers: 3000 km. Number of passengers: 1. Curb mass: 28 kg. Lightweighting of glider: 7%. Emission standard: None. Service visits throughout lifetime: 7.5. Range: 140 km. Battery capacity: 2.2 kWh. Available battery capacity: 1.76 kWh. Battery mass: 5.7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62" spans="1:8" ht="15.6" x14ac:dyDescent="0.3">
      <c r="A462" s="11" t="s">
        <v>80</v>
      </c>
    </row>
    <row r="463" spans="1:8" x14ac:dyDescent="0.3">
      <c r="A463" t="s">
        <v>81</v>
      </c>
      <c r="B463" t="s">
        <v>82</v>
      </c>
      <c r="C463" t="s">
        <v>73</v>
      </c>
      <c r="D463" t="s">
        <v>77</v>
      </c>
      <c r="E463" t="s">
        <v>83</v>
      </c>
      <c r="F463" t="s">
        <v>75</v>
      </c>
      <c r="G463" t="s">
        <v>84</v>
      </c>
      <c r="H463" t="s">
        <v>74</v>
      </c>
    </row>
    <row r="464" spans="1:8" x14ac:dyDescent="0.3">
      <c r="A464" s="12" t="str">
        <f>B436</f>
        <v>transport, Bicycle, electric (&lt;45 km/h), 2050, label-certified electricity</v>
      </c>
      <c r="B464" s="12">
        <v>1</v>
      </c>
      <c r="C464" s="12" t="str">
        <f>B437</f>
        <v>CH</v>
      </c>
      <c r="D464" s="12" t="s">
        <v>172</v>
      </c>
      <c r="E464" s="12"/>
      <c r="F464" s="12" t="s">
        <v>85</v>
      </c>
      <c r="G464" s="12" t="s">
        <v>86</v>
      </c>
      <c r="H464" s="12" t="str">
        <f>B442</f>
        <v>transport, Bicycle, electric (&lt;45 km/h)</v>
      </c>
    </row>
    <row r="465" spans="1:8" x14ac:dyDescent="0.3">
      <c r="A465" s="12" t="str">
        <f>B438&amp;", "&amp;B440</f>
        <v>Bicycle, electric (&lt;45 km/h), 2050</v>
      </c>
      <c r="B465" s="12">
        <f>1/B446</f>
        <v>3.3333333333333335E-5</v>
      </c>
      <c r="C465" s="12" t="str">
        <f>B437</f>
        <v>CH</v>
      </c>
      <c r="D465" s="12" t="s">
        <v>77</v>
      </c>
      <c r="E465" s="12"/>
      <c r="F465" s="12" t="s">
        <v>91</v>
      </c>
      <c r="G465" s="12"/>
      <c r="H465" s="12" t="str">
        <f>RIGHT(H464,LEN(H464)-11)</f>
        <v>Bicycle, electric (&lt;45 km/h)</v>
      </c>
    </row>
    <row r="466" spans="1:8" s="21" customFormat="1" x14ac:dyDescent="0.3">
      <c r="A466" s="12" t="str">
        <f>INDEX('ei names mapping'!$B$4:$R$33,MATCH(B438,'ei names mapping'!$A$4:$A$33,0),MATCH(G466,'ei names mapping'!$B$3:$R$3,0))</f>
        <v>road construction</v>
      </c>
      <c r="B466" s="16">
        <f>INDEX('vehicles specifications'!$B$3:$CK$86,MATCH(B441,'vehicles specifications'!$A$3:$A$86,0),MATCH(G466,'vehicles specifications'!$B$2:$CK$2,0))*INDEX('ei names mapping'!$B$137:$BK$220,MATCH(B441,'ei names mapping'!$A$137:$A$220,0),MATCH(G466,'ei names mapping'!$B$136:$BK$136,0))</f>
        <v>5.3157629999999996E-5</v>
      </c>
      <c r="C466" s="12" t="str">
        <f>INDEX('ei names mapping'!$B$38:$R$67,MATCH(B438,'ei names mapping'!$A$4:$A$33,0),MATCH(G466,'ei names mapping'!$B$3:$R$3,0))</f>
        <v>CH</v>
      </c>
      <c r="D466" s="12" t="str">
        <f>INDEX('ei names mapping'!$B$104:$BK$133,MATCH(B438,'ei names mapping'!$A$4:$A$33,0),MATCH(G466,'ei names mapping'!$B$3:$BK$3,0))</f>
        <v>meter-year</v>
      </c>
      <c r="E466" s="12"/>
      <c r="F466" s="12" t="s">
        <v>91</v>
      </c>
      <c r="G466" s="21" t="s">
        <v>108</v>
      </c>
      <c r="H466" s="12" t="str">
        <f>INDEX('ei names mapping'!$B$71:$BK$100,MATCH(B438,'ei names mapping'!$A$4:$A$33,0),MATCH(G466,'ei names mapping'!$B$3:$BK$3,0))</f>
        <v>road</v>
      </c>
    </row>
    <row r="467" spans="1:8" x14ac:dyDescent="0.3">
      <c r="A467" s="12" t="s">
        <v>114</v>
      </c>
      <c r="B467" s="14">
        <f>INDEX('vehicles specifications'!$B$3:$CK$86,MATCH(B441,'vehicles specifications'!$A$3:$A$86,0),MATCH(G467,'vehicles specifications'!$B$2:$CK$2,0))*INDEX('ei names mapping'!$B$137:$BK$220,MATCH(B441,'ei names mapping'!$A$137:$A$220,0),MATCH(G467,'ei names mapping'!$B$136:$BK$136,0))</f>
        <v>1.3844398595922134E-2</v>
      </c>
      <c r="C467" s="12" t="str">
        <f>INDEX('ei names mapping'!$B$38:$R$67,MATCH($B$3,'ei names mapping'!$A$4:$A$33,0),MATCH(G467,'ei names mapping'!$B$3:$R$3,0))</f>
        <v>CH</v>
      </c>
      <c r="D467" s="12" t="str">
        <f>INDEX('ei names mapping'!$B$104:$R$133,MATCH($B$3,'ei names mapping'!$A$4:$A$33,0),MATCH(G467,'ei names mapping'!$B$3:$R$3,0))</f>
        <v>kilowatt hour</v>
      </c>
      <c r="E467" s="12"/>
      <c r="F467" s="12" t="s">
        <v>91</v>
      </c>
      <c r="G467" t="s">
        <v>28</v>
      </c>
      <c r="H467" s="12" t="s">
        <v>116</v>
      </c>
    </row>
    <row r="468" spans="1:8" x14ac:dyDescent="0.3">
      <c r="A468" s="12" t="str">
        <f>INDEX('ei names mapping'!$B$4:$R$33,MATCH($B$3,'ei names mapping'!$A$4:$A$33,0),MATCH(G468,'ei names mapping'!$B$3:$R$3,0))</f>
        <v>maintenance, electric bicycle, without battery</v>
      </c>
      <c r="B468" s="14">
        <f>INDEX('vehicles specifications'!$B$3:$CK$86,MATCH(B441,'vehicles specifications'!$A$3:$A$86,0),MATCH(G468,'vehicles specifications'!$B$2:$CK$2,0))*INDEX('ei names mapping'!$B$137:$BK$220,MATCH(B441,'ei names mapping'!$A$137:$A$220,0),MATCH(G468,'ei names mapping'!$B$136:$BK$136,0))</f>
        <v>2.5000000000000001E-4</v>
      </c>
      <c r="C468" s="12" t="str">
        <f>INDEX('ei names mapping'!$B$38:$R$67,MATCH($B$3,'ei names mapping'!$A$4:$A$33,0),MATCH(G468,'ei names mapping'!$B$3:$R$3,0))</f>
        <v>CH</v>
      </c>
      <c r="D468" s="12" t="str">
        <f>INDEX('ei names mapping'!$B$104:$R$133,MATCH($B$3,'ei names mapping'!$A$4:$A$33,0),MATCH(G468,'ei names mapping'!$B$3:$R$3,0))</f>
        <v>unit</v>
      </c>
      <c r="E468" s="12"/>
      <c r="F468" s="12" t="s">
        <v>91</v>
      </c>
      <c r="G468" t="s">
        <v>123</v>
      </c>
      <c r="H468" s="12" t="str">
        <f>INDEX('ei names mapping'!$B$71:$R$100,MATCH($B$3,'ei names mapping'!$A$4:$A$33,0),MATCH(G468,'ei names mapping'!$B$3:$R$3,0))</f>
        <v>maintenance, electric bicycle, without battery</v>
      </c>
    </row>
    <row r="469" spans="1:8" x14ac:dyDescent="0.3">
      <c r="A469" s="12" t="str">
        <f>INDEX('ei names mapping'!$B$4:$BK$33,MATCH($B$179,'ei names mapping'!$A$4:$A$33,0),MATCH(G469,'ei names mapping'!$B$3:$BK$3,0))</f>
        <v>treatment of road wear emissions, passenger car</v>
      </c>
      <c r="B469" s="15">
        <f>INDEX('vehicles specifications'!$B$3:$CK$86,MATCH(B441,'vehicles specifications'!$A$3:$A$86,0),MATCH(G469,'vehicles specifications'!$B$2:$CK$2,0))*INDEX('ei names mapping'!$B$137:$BK$220,MATCH(B441,'ei names mapping'!$A$137:$A$220,0),MATCH(G469,'ei names mapping'!$B$136:$BK$136,0))</f>
        <v>-3.0000000000000001E-6</v>
      </c>
      <c r="C469" s="12" t="str">
        <f>INDEX('ei names mapping'!$B$38:$BK$67,MATCH($B$179,'ei names mapping'!$A$4:$A$33,0),MATCH(G469,'ei names mapping'!$B$3:$BK$3,0))</f>
        <v>RER</v>
      </c>
      <c r="D469" s="12" t="str">
        <f>INDEX('ei names mapping'!$B$104:$BK$133,MATCH($B$179,'ei names mapping'!$A$4:$A$33,0),MATCH(G469,'ei names mapping'!$B$3:$BK$3,0))</f>
        <v>kilogram</v>
      </c>
      <c r="E469" s="12"/>
      <c r="F469" s="12" t="s">
        <v>91</v>
      </c>
      <c r="G469" t="s">
        <v>29</v>
      </c>
      <c r="H469" s="12" t="str">
        <f>INDEX('ei names mapping'!$B$71:$BK$100,MATCH(B438,'ei names mapping'!$A$4:$A$33,0),MATCH(G469,'ei names mapping'!$B$3:$BK$3,0))</f>
        <v>road wear emissions, passenger car</v>
      </c>
    </row>
    <row r="470" spans="1:8" x14ac:dyDescent="0.3">
      <c r="A470" s="12" t="str">
        <f>INDEX('ei names mapping'!$B$4:$BK$33,MATCH($B$179,'ei names mapping'!$A$4:$A$33,0),MATCH(G470,'ei names mapping'!$B$3:$BK$3,0))</f>
        <v>treatment of tyre wear emissions, passenger car</v>
      </c>
      <c r="B470" s="15">
        <f>INDEX('vehicles specifications'!$B$3:$CK$86,MATCH(B441,'vehicles specifications'!$A$3:$A$86,0),MATCH(G470,'vehicles specifications'!$B$2:$CK$2,0))*INDEX('ei names mapping'!$B$137:$BK$220,MATCH(B441,'ei names mapping'!$A$137:$A$220,0),MATCH(G470,'ei names mapping'!$B$136:$BK$136,0))</f>
        <v>-2.9189999999999999E-6</v>
      </c>
      <c r="C470" s="12" t="str">
        <f>INDEX('ei names mapping'!$B$38:$BK$67,MATCH($B$179,'ei names mapping'!$A$4:$A$33,0),MATCH(G470,'ei names mapping'!$B$3:$BK$3,0))</f>
        <v>RER</v>
      </c>
      <c r="D470" s="12" t="str">
        <f>INDEX('ei names mapping'!$B$104:$BK$133,MATCH($B$179,'ei names mapping'!$A$4:$A$33,0),MATCH(G470,'ei names mapping'!$B$3:$BK$3,0))</f>
        <v>kilogram</v>
      </c>
      <c r="E470" s="12"/>
      <c r="F470" s="12" t="s">
        <v>91</v>
      </c>
      <c r="G470" t="s">
        <v>30</v>
      </c>
      <c r="H470" s="12" t="str">
        <f>INDEX('ei names mapping'!$B$71:$BK$100,MATCH($B$179,'ei names mapping'!$A$4:$A$33,0),MATCH(G470,'ei names mapping'!$B$3:$BK$3,0))</f>
        <v>tyre wear emissions, passenger car</v>
      </c>
    </row>
    <row r="471" spans="1:8" x14ac:dyDescent="0.3">
      <c r="A471" s="12" t="str">
        <f>INDEX('ei names mapping'!$B$4:$BK$33,MATCH($B$179,'ei names mapping'!$A$4:$A$33,0),MATCH(G471,'ei names mapping'!$B$3:$BK$3,0))</f>
        <v>treatment of brake wear emissions, passenger car</v>
      </c>
      <c r="B471" s="15">
        <f>INDEX('vehicles specifications'!$B$3:$CK$86,MATCH(B441,'vehicles specifications'!$A$3:$A$86,0),MATCH(G471,'vehicles specifications'!$B$2:$CK$2,0))*INDEX('ei names mapping'!$B$137:$BK$220,MATCH(B441,'ei names mapping'!$A$137:$A$220,0),MATCH(G471,'ei names mapping'!$B$136:$BK$136,0))</f>
        <v>-1.8370000000000002E-6</v>
      </c>
      <c r="C471" s="12" t="str">
        <f>INDEX('ei names mapping'!$B$38:$BK$67,MATCH($B$179,'ei names mapping'!$A$4:$A$33,0),MATCH(G471,'ei names mapping'!$B$3:$BK$3,0))</f>
        <v>RER</v>
      </c>
      <c r="D471" s="12" t="str">
        <f>INDEX('ei names mapping'!$B$104:$BK$133,MATCH($B$179,'ei names mapping'!$A$4:$A$33,0),MATCH(G471,'ei names mapping'!$B$3:$BK$3,0))</f>
        <v>kilogram</v>
      </c>
      <c r="E471" s="12"/>
      <c r="F471" s="12" t="s">
        <v>91</v>
      </c>
      <c r="G471" t="s">
        <v>31</v>
      </c>
      <c r="H471" s="12" t="str">
        <f>INDEX('ei names mapping'!$B$71:$BK$100,MATCH($B$179,'ei names mapping'!$A$4:$A$33,0),MATCH(G471,'ei names mapping'!$B$3:$BK$3,0))</f>
        <v>brake wear emissions, passenger car</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1"/>
  <sheetViews>
    <sheetView topLeftCell="A454" workbookViewId="0">
      <selection activeCell="F465" sqref="F465"/>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Bicycle, electric, cargo bike, 2020</v>
      </c>
    </row>
    <row r="2" spans="1:2" x14ac:dyDescent="0.3">
      <c r="A2" t="s">
        <v>73</v>
      </c>
      <c r="B2" t="s">
        <v>37</v>
      </c>
    </row>
    <row r="3" spans="1:2" x14ac:dyDescent="0.3">
      <c r="A3" t="s">
        <v>87</v>
      </c>
      <c r="B3" t="s">
        <v>524</v>
      </c>
    </row>
    <row r="4" spans="1:2" x14ac:dyDescent="0.3">
      <c r="A4" t="s">
        <v>88</v>
      </c>
      <c r="B4" s="12"/>
    </row>
    <row r="5" spans="1:2" x14ac:dyDescent="0.3">
      <c r="A5" t="s">
        <v>89</v>
      </c>
      <c r="B5" s="12">
        <v>2020</v>
      </c>
    </row>
    <row r="6" spans="1:2" x14ac:dyDescent="0.3">
      <c r="A6" t="s">
        <v>131</v>
      </c>
      <c r="B6" s="12" t="str">
        <f>B3&amp;" - "&amp;B5&amp;" - "&amp;B2</f>
        <v>Bicycle, electric, cargo bike - 2020 - CH</v>
      </c>
    </row>
    <row r="7" spans="1:2" x14ac:dyDescent="0.3">
      <c r="A7" t="s">
        <v>74</v>
      </c>
      <c r="B7" t="str">
        <f>B3</f>
        <v>Bicycle, electric, cargo bike</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20000</v>
      </c>
    </row>
    <row r="12" spans="1:2" x14ac:dyDescent="0.3">
      <c r="A12" t="s">
        <v>133</v>
      </c>
      <c r="B12">
        <f>INDEX('vehicles specifications'!$B$3:$CK$86,MATCH(B6,'vehicles specifications'!$A$3:$A$86,0),MATCH("Passengers [unit]",'vehicles specifications'!$B$2:$CK$2,0))</f>
        <v>1</v>
      </c>
    </row>
    <row r="13" spans="1:2" x14ac:dyDescent="0.3">
      <c r="A13" t="s">
        <v>134</v>
      </c>
      <c r="B13">
        <f>INDEX('vehicles specifications'!$B$3:$CK$86,MATCH(B6,'vehicles specifications'!$A$3:$A$86,0),MATCH("Servicing [unit]",'vehicles specifications'!$B$2:$CK$2,0))</f>
        <v>5</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2060</v>
      </c>
    </row>
    <row r="16" spans="1:2" x14ac:dyDescent="0.3">
      <c r="A16" t="s">
        <v>137</v>
      </c>
      <c r="B16">
        <f>INDEX('vehicles specifications'!$B$3:$CK$86,MATCH(B6,'vehicles specifications'!$A$3:$A$86,0),MATCH("Curb mass [kg]",'vehicles specifications'!$B$2:$CK$2,0))</f>
        <v>36.9</v>
      </c>
    </row>
    <row r="17" spans="1:8" x14ac:dyDescent="0.3">
      <c r="A17" t="s">
        <v>138</v>
      </c>
      <c r="B17">
        <f>INDEX('vehicles specifications'!$B$3:$CK$86,MATCH(B6,'vehicles specifications'!$A$3:$A$86,0),MATCH("Power [kW]",'vehicles specifications'!$B$2:$CK$2,0))</f>
        <v>0.5</v>
      </c>
    </row>
    <row r="18" spans="1:8" x14ac:dyDescent="0.3">
      <c r="A18" t="s">
        <v>139</v>
      </c>
      <c r="B18">
        <f>INDEX('vehicles specifications'!$B$3:$CK$86,MATCH(B6,'vehicles specifications'!$A$3:$A$86,0),MATCH("Energy battery mass [kg]",'vehicles specifications'!$B$2:$CK$2,0))</f>
        <v>3.8999999999999995</v>
      </c>
    </row>
    <row r="19" spans="1:8" x14ac:dyDescent="0.3">
      <c r="A19" t="s">
        <v>140</v>
      </c>
      <c r="B19">
        <f>INDEX('vehicles specifications'!$B$3:$CK$86,MATCH(B6,'vehicles specifications'!$A$3:$A$86,0),MATCH("Electric energy stored [kWh]",'vehicles specifications'!$B$2:$CK$2,0))</f>
        <v>0.6</v>
      </c>
    </row>
    <row r="20" spans="1:8" s="21" customFormat="1" x14ac:dyDescent="0.3">
      <c r="A20" s="21" t="s">
        <v>654</v>
      </c>
      <c r="B20" s="21">
        <f>INDEX('vehicles specifications'!$B$3:$CK$86,MATCH(B6,'vehicles specifications'!$A$3:$A$86,0),MATCH("Electric energy available [kWh]",'vehicles specifications'!$B$2:$CK$2,0))</f>
        <v>0.48</v>
      </c>
    </row>
    <row r="21" spans="1:8" x14ac:dyDescent="0.3">
      <c r="A21" t="s">
        <v>143</v>
      </c>
      <c r="B21">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49.786329113924047</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s="21" customFormat="1" x14ac:dyDescent="0.3">
      <c r="A29" s="21"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0.5 kW. Lifetime: 20000 km. Annual kilometers: 2060 km. Number of passengers: 1. Curb mass: 36.9 kg. Lightweighting of glider: 0%. Emission standard: None. Service visits throughout lifetime: 5. Range: 50 km. Battery capacity: 0.6 kWh. Available battery capacity: 0.48 kWh. Battery mass: 3.9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Bicycle, electric, cargo bike, 2020</v>
      </c>
      <c r="B32" s="12">
        <v>1</v>
      </c>
      <c r="C32" s="12" t="str">
        <f>B2</f>
        <v>CH</v>
      </c>
      <c r="D32" s="12" t="str">
        <f>B9</f>
        <v>unit</v>
      </c>
      <c r="E32" s="12"/>
      <c r="F32" s="12" t="s">
        <v>85</v>
      </c>
      <c r="G32" s="12" t="s">
        <v>86</v>
      </c>
      <c r="H32" s="12" t="str">
        <f>B3</f>
        <v>Bicycle, electric, cargo bike</v>
      </c>
    </row>
    <row r="33" spans="1:8" x14ac:dyDescent="0.3">
      <c r="A33" s="12" t="str">
        <f>INDEX('ei names mapping'!$B$4:$R$33,MATCH($B$3,'ei names mapping'!$A$4:$A$33,0),MATCH(G33,'ei names mapping'!$B$3:$R$3,0))</f>
        <v>electric bicycle production, without battery and motor</v>
      </c>
      <c r="B33" s="14">
        <f>INDEX('vehicles specifications'!$B$3:$CK$86,MATCH(B6,'vehicles specifications'!$A$3:$A$86,0),MATCH(G33,'vehicles specifications'!$B$2:$CK$2,0))*INDEX('ei names mapping'!$B$137:$BK$220,MATCH(B6,'ei names mapping'!$A$137:$A$220,0),MATCH(G33,'ei names mapping'!$B$136:$BK$136,0))</f>
        <v>1.6470588235294117</v>
      </c>
      <c r="C33" s="12" t="str">
        <f>INDEX('ei names mapping'!$B$38:$R$67,MATCH($B$3,'ei names mapping'!$A$4:$A$33,0),MATCH(G33,'ei names mapping'!$B$3:$R$3,0))</f>
        <v>RER</v>
      </c>
      <c r="D33" s="12" t="str">
        <f>INDEX('ei names mapping'!$B$104:$R$133,MATCH(B3,'ei names mapping'!$A$104:$A$133,0),MATCH(G33,'ei names mapping'!$B$3:$R$3,0))</f>
        <v>unit</v>
      </c>
      <c r="E33" s="12"/>
      <c r="F33" s="12" t="s">
        <v>91</v>
      </c>
      <c r="G33" s="21" t="s">
        <v>15</v>
      </c>
      <c r="H33" s="12" t="str">
        <f>INDEX('ei names mapping'!$B$71:$R$100,MATCH($B$3,'ei names mapping'!$A$4:$A$33,0),MATCH(G33,'ei names mapping'!$B$3:$R$3,0))</f>
        <v>electric bicycle, without battery and motor</v>
      </c>
    </row>
    <row r="34" spans="1:8" x14ac:dyDescent="0.3">
      <c r="A34" s="12" t="str">
        <f>INDEX('ei names mapping'!$B$4:$R$33,MATCH($B$3,'ei names mapping'!$A$4:$A$33,0),MATCH(G34,'ei names mapping'!$B$3:$R$3,0))</f>
        <v>market for electric motor, vehicle</v>
      </c>
      <c r="B34" s="14">
        <f>INDEX('vehicles specifications'!$B$3:$CK$86,MATCH(B6,'vehicles specifications'!$A$3:$A$86,0),MATCH(G34,'vehicles specifications'!$B$2:$CK$2,0))*INDEX('ei names mapping'!$B$137:$BK$220,MATCH(B6,'ei names mapping'!$A$137:$A$220,0),MATCH(G34,'ei names mapping'!$B$136:$BK$136,0))</f>
        <v>5</v>
      </c>
      <c r="C34" s="12" t="str">
        <f>INDEX('ei names mapping'!$B$38:$R$67,MATCH($B$3,'ei names mapping'!$A$4:$A$33,0),MATCH(G34,'ei names mapping'!$B$3:$R$3,0))</f>
        <v>GLO</v>
      </c>
      <c r="D34" s="12" t="str">
        <f>INDEX('ei names mapping'!$B$104:$R$133,MATCH(B3,'ei names mapping'!$A$104:$A$133,0),MATCH(G34,'ei names mapping'!$B$3:$R$3,0))</f>
        <v>kilogram</v>
      </c>
      <c r="E34" s="12"/>
      <c r="F34" s="12" t="s">
        <v>91</v>
      </c>
      <c r="G34" t="s">
        <v>557</v>
      </c>
      <c r="H34" s="12" t="str">
        <f>INDEX('ei names mapping'!$B$71:$R$100,MATCH($B$3,'ei names mapping'!$A$4:$A$33,0),MATCH(G34,'ei names mapping'!$B$3:$R$3,0))</f>
        <v>electric motor, vehicle</v>
      </c>
    </row>
    <row r="35" spans="1:8" s="21" customFormat="1" x14ac:dyDescent="0.3">
      <c r="A35" s="12" t="str">
        <f>INDEX('ei names mapping'!$B$4:$R$33,MATCH(B3,'ei names mapping'!$A$4:$A$33,0),MATCH(G35,'ei names mapping'!$B$3:$R$3,0))</f>
        <v>glider lightweighting</v>
      </c>
      <c r="B35" s="16">
        <f>INDEX('vehicles specifications'!$B$3:$CK$86,MATCH(B6,'vehicles specifications'!$A$3:$A$86,0),MATCH(G35,'vehicles specifications'!$B$2:$CK$2,0))*INDEX('ei names mapping'!$B$137:$BK$220,MATCH(B6,'ei names mapping'!$A$137:$A$220,0),MATCH(G35,'ei names mapping'!$B$136:$BK$136,0))</f>
        <v>0</v>
      </c>
      <c r="C35" s="12" t="str">
        <f>INDEX('ei names mapping'!$B$38:$R$67,MATCH(B3,'ei names mapping'!$A$4:$A$33,0),MATCH(G35,'ei names mapping'!$B$3:$R$3,0))</f>
        <v>GLO</v>
      </c>
      <c r="D35" s="12" t="str">
        <f>INDEX('ei names mapping'!$B$104:$R$133,MATCH(B3,'ei names mapping'!$A$104:$A$133,0),MATCH(G35,'ei names mapping'!$B$3:$R$3,0))</f>
        <v>kilogram</v>
      </c>
      <c r="E35" s="12"/>
      <c r="F35" s="12" t="s">
        <v>91</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Battery cell, NMC</v>
      </c>
      <c r="B36" s="14">
        <f>INDEX('vehicles specifications'!$B$3:$CK$86,MATCH(B6,'vehicles specifications'!$A$3:$A$86,0),MATCH(G36,'vehicles specifications'!$B$2:$CK$2,0))*INDEX('ei names mapping'!$B$137:$BK$220,MATCH(B6,'ei names mapping'!$A$137:$A$220,0),MATCH(G36,'ei names mapping'!$B$136:$BK$136,0))</f>
        <v>5.9999999999999991</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19</v>
      </c>
      <c r="H36" s="12" t="str">
        <f>INDEX('ei names mapping'!$B$71:$R$100,MATCH($B$3,'ei names mapping'!$A$4:$A$33,0),MATCH(G36,'ei names mapping'!$B$3:$R$3,0))</f>
        <v>Battery cell</v>
      </c>
    </row>
    <row r="37" spans="1:8" x14ac:dyDescent="0.3">
      <c r="A37" s="12" t="str">
        <f>INDEX('ei names mapping'!$B$4:$R$33,MATCH($B$3,'ei names mapping'!$A$4:$A$33,0),MATCH(G37,'ei names mapping'!$B$3:$R$3,0))</f>
        <v>Battery BoP</v>
      </c>
      <c r="B37" s="14">
        <f>INDEX('vehicles specifications'!$B$3:$CK$86,MATCH(B6,'vehicles specifications'!$A$3:$A$86,0),MATCH(G37,'vehicles specifications'!$B$2:$CK$2,0))*INDEX('ei names mapping'!$B$137:$BK$220,MATCH(B6,'ei names mapping'!$A$137:$A$220,0),MATCH(G37,'ei names mapping'!$B$136:$BK$136,0))</f>
        <v>1.7999999999999996</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20</v>
      </c>
      <c r="H37" s="12" t="str">
        <f>INDEX('ei names mapping'!$B$71:$R$100,MATCH($B$3,'ei names mapping'!$A$4:$A$33,0),MATCH(G37,'ei names mapping'!$B$3:$R$3,0))</f>
        <v>Battery BoP</v>
      </c>
    </row>
    <row r="38" spans="1:8" x14ac:dyDescent="0.3">
      <c r="A38" s="12" t="str">
        <f>INDEX('ei names mapping'!$B$4:$R$33,MATCH($B$3,'ei names mapping'!$A$4:$A$33,0),MATCH(G38,'ei names mapping'!$B$3:$R$3,0))</f>
        <v>charging station, 500W</v>
      </c>
      <c r="B38" s="14">
        <f>INDEX('vehicles specifications'!$B$3:$CK$86,MATCH(B6,'vehicles specifications'!$A$3:$A$86,0),MATCH(G38,'vehicles specifications'!$B$2:$CK$2,0))*INDEX('ei names mapping'!$B$137:$BK$220,MATCH(B6,'ei names mapping'!$A$137:$A$220,0),MATCH(G38,'ei names mapping'!$B$136:$BK$136,0))</f>
        <v>1</v>
      </c>
      <c r="C38" s="12" t="str">
        <f>INDEX('ei names mapping'!$B$38:$R$67,MATCH($B$3,'ei names mapping'!$A$4:$A$33,0),MATCH(G38,'ei names mapping'!$B$3:$R$3,0))</f>
        <v>GLO</v>
      </c>
      <c r="D38" s="12" t="str">
        <f>INDEX('ei names mapping'!$B$104:$R$133,MATCH(B3,'ei names mapping'!$A$104:$A$133,0),MATCH(G38,'ei names mapping'!$B$3:$R$3,0))</f>
        <v>unit</v>
      </c>
      <c r="E38" s="12"/>
      <c r="F38" s="12" t="s">
        <v>91</v>
      </c>
      <c r="G38" t="s">
        <v>53</v>
      </c>
      <c r="H38" s="12" t="str">
        <f>INDEX('ei names mapping'!$B$71:$R$100,MATCH($B$3,'ei names mapping'!$A$4:$A$33,0),MATCH(G38,'ei names mapping'!$B$3:$R$3,0))</f>
        <v>charging station, 500W</v>
      </c>
    </row>
    <row r="39" spans="1:8" x14ac:dyDescent="0.3">
      <c r="A39" s="12" t="str">
        <f>INDEX('ei names mapping'!$B$4:$R$33,MATCH($B$3,'ei names mapping'!$A$4:$A$33,0),MATCH(G39,'ei names mapping'!$B$3:$R$3,0))</f>
        <v>treatment of used electric bicycle</v>
      </c>
      <c r="B39" s="14">
        <f>INDEX('vehicles specifications'!$B$3:$CK$86,MATCH(B6,'vehicles specifications'!$A$3:$A$86,0),MATCH(G39,'vehicles specifications'!$B$2:$CK$2,0))*INDEX('ei names mapping'!$B$137:$BK$220,MATCH(B6,'ei names mapping'!$A$137:$A$220,0),MATCH(G39,'ei names mapping'!$B$136:$BK$136,0))</f>
        <v>-1.1666666666666665</v>
      </c>
      <c r="C39" s="12" t="str">
        <f>INDEX('ei names mapping'!$B$38:$R$67,MATCH($B$3,'ei names mapping'!$A$4:$A$33,0),MATCH(G39,'ei names mapping'!$B$3:$R$3,0))</f>
        <v>CH</v>
      </c>
      <c r="D39" s="12" t="str">
        <f>INDEX('ei names mapping'!$B$104:$R$133,MATCH(B3,'ei names mapping'!$A$104:$A$133,0),MATCH(G39,'ei names mapping'!$B$3:$R$3,0))</f>
        <v>unit</v>
      </c>
      <c r="E39" s="12"/>
      <c r="F39" s="12" t="s">
        <v>91</v>
      </c>
      <c r="G39" t="s">
        <v>150</v>
      </c>
      <c r="H39" s="12" t="str">
        <f>INDEX('ei names mapping'!$B$71:$R$100,MATCH($B$3,'ei names mapping'!$A$4:$A$33,0),MATCH(G39,'ei names mapping'!$B$3:$R$3,0))</f>
        <v>used electric bicycle</v>
      </c>
    </row>
    <row r="40" spans="1:8" x14ac:dyDescent="0.3">
      <c r="A40" s="12" t="str">
        <f>INDEX('ei names mapping'!$B$4:$R$33,MATCH($B$3,'ei names mapping'!$A$4:$A$33,0),MATCH(G40,'ei names mapping'!$B$3:$R$3,0))</f>
        <v>treatment of used electric bicycle</v>
      </c>
      <c r="B40" s="14">
        <f>INDEX('vehicles specifications'!$B$3:$CK$86,MATCH(B6,'vehicles specifications'!$A$3:$A$86,0),MATCH(G40,'vehicles specifications'!$B$2:$CK$2,0))*INDEX('ei names mapping'!$B$137:$BK$220,MATCH(B6,'ei names mapping'!$A$137:$A$220,0),MATCH(G40,'ei names mapping'!$B$136:$BK$136,0))</f>
        <v>-0.20833333333333331</v>
      </c>
      <c r="C40" s="12" t="str">
        <f>INDEX('ei names mapping'!$B$38:$R$67,MATCH($B$3,'ei names mapping'!$A$4:$A$33,0),MATCH(G40,'ei names mapping'!$B$3:$R$3,0))</f>
        <v>CH</v>
      </c>
      <c r="D40" s="12" t="str">
        <f>INDEX('ei names mapping'!$B$104:$R$133,MATCH(B3,'ei names mapping'!$A$104:$A$133,0),MATCH(G40,'ei names mapping'!$B$3:$R$3,0))</f>
        <v>unit</v>
      </c>
      <c r="E40" s="12"/>
      <c r="F40" s="12" t="s">
        <v>91</v>
      </c>
      <c r="G40" t="s">
        <v>151</v>
      </c>
      <c r="H40" s="12" t="str">
        <f>INDEX('ei names mapping'!$B$71:$R$100,MATCH($B$3,'ei names mapping'!$A$4:$A$33,0),MATCH(G40,'ei names mapping'!$B$3:$R$3,0))</f>
        <v>used electric bicycle</v>
      </c>
    </row>
    <row r="41" spans="1:8" x14ac:dyDescent="0.3">
      <c r="A41" s="12" t="str">
        <f>INDEX('ei names mapping'!$B$4:$R$33,MATCH($B$3,'ei names mapping'!$A$4:$A$33,0),MATCH(G41,'ei names mapping'!$B$3:$R$3,0))</f>
        <v>market for used Li-ion battery</v>
      </c>
      <c r="B41" s="14">
        <f>INDEX('vehicles specifications'!$B$3:$CK$86,MATCH(B6,'vehicles specifications'!$A$3:$A$86,0),MATCH(G41,'vehicles specifications'!$B$2:$CK$2,0))*INDEX('ei names mapping'!$B$137:$BK$220,MATCH(B6,'ei names mapping'!$A$137:$A$220,0),MATCH(G41,'ei names mapping'!$B$136:$BK$136,0))</f>
        <v>-7.7999999999999989</v>
      </c>
      <c r="C41" s="12" t="str">
        <f>INDEX('ei names mapping'!$B$38:$R$67,MATCH($B$3,'ei names mapping'!$A$4:$A$33,0),MATCH(G41,'ei names mapping'!$B$3:$R$3,0))</f>
        <v>GLO</v>
      </c>
      <c r="D41" s="12" t="str">
        <f>INDEX('ei names mapping'!$B$104:$R$133,MATCH(B3,'ei names mapping'!$A$104:$A$133,0),MATCH(G41,'ei names mapping'!$B$3:$R$3,0))</f>
        <v>kilogram</v>
      </c>
      <c r="E41" s="12"/>
      <c r="F41" s="12" t="s">
        <v>91</v>
      </c>
      <c r="G41" t="s">
        <v>152</v>
      </c>
      <c r="H41" s="12" t="str">
        <f>INDEX('ei names mapping'!$B$71:$R$100,MATCH($B$3,'ei names mapping'!$A$4:$A$33,0),MATCH(G41,'ei names mapping'!$B$3:$R$3,0))</f>
        <v>used Li-ion battery</v>
      </c>
    </row>
    <row r="42" spans="1:8" s="21" customFormat="1" x14ac:dyDescent="0.3">
      <c r="A42" s="22" t="s">
        <v>468</v>
      </c>
      <c r="B42" s="21">
        <f>(B16/1000)*B28</f>
        <v>36.9</v>
      </c>
      <c r="C42" s="21" t="s">
        <v>94</v>
      </c>
      <c r="D42" s="21" t="s">
        <v>243</v>
      </c>
      <c r="F42" s="21" t="s">
        <v>91</v>
      </c>
      <c r="H42" s="22" t="s">
        <v>469</v>
      </c>
    </row>
    <row r="43" spans="1:8" s="21" customFormat="1" x14ac:dyDescent="0.3">
      <c r="A43" s="22" t="s">
        <v>467</v>
      </c>
      <c r="B43" s="2">
        <f>(B16/1000)*B27</f>
        <v>586.70999999999992</v>
      </c>
      <c r="C43" s="21" t="s">
        <v>98</v>
      </c>
      <c r="D43" s="21" t="s">
        <v>243</v>
      </c>
      <c r="F43" s="21" t="s">
        <v>91</v>
      </c>
      <c r="H43" s="22" t="s">
        <v>467</v>
      </c>
    </row>
    <row r="44" spans="1:8" x14ac:dyDescent="0.3">
      <c r="A44" s="12"/>
      <c r="B44" s="16"/>
      <c r="C44" s="12"/>
      <c r="D44" s="12"/>
      <c r="E44" s="12"/>
      <c r="F44" s="12"/>
      <c r="H44" s="12"/>
    </row>
    <row r="45" spans="1:8" ht="15.6" x14ac:dyDescent="0.3">
      <c r="A45" s="11" t="s">
        <v>72</v>
      </c>
      <c r="B45" s="9" t="str">
        <f>B47&amp;", "&amp;B49</f>
        <v>Bicycle, electric, cargo bike, 2030</v>
      </c>
    </row>
    <row r="46" spans="1:8" x14ac:dyDescent="0.3">
      <c r="A46" t="s">
        <v>73</v>
      </c>
      <c r="B46" t="s">
        <v>37</v>
      </c>
    </row>
    <row r="47" spans="1:8" x14ac:dyDescent="0.3">
      <c r="A47" t="s">
        <v>87</v>
      </c>
      <c r="B47" s="21" t="s">
        <v>524</v>
      </c>
    </row>
    <row r="48" spans="1:8" x14ac:dyDescent="0.3">
      <c r="A48" t="s">
        <v>88</v>
      </c>
      <c r="B48" s="12"/>
    </row>
    <row r="49" spans="1:2" x14ac:dyDescent="0.3">
      <c r="A49" t="s">
        <v>89</v>
      </c>
      <c r="B49" s="12">
        <v>2030</v>
      </c>
    </row>
    <row r="50" spans="1:2" x14ac:dyDescent="0.3">
      <c r="A50" t="s">
        <v>131</v>
      </c>
      <c r="B50" s="12" t="str">
        <f>B47&amp;" - "&amp;B49&amp;" - "&amp;B46</f>
        <v>Bicycle, electric, cargo bike - 2030 - CH</v>
      </c>
    </row>
    <row r="51" spans="1:2" x14ac:dyDescent="0.3">
      <c r="A51" t="s">
        <v>74</v>
      </c>
      <c r="B51" t="str">
        <f>B47</f>
        <v>Bicycle, electric, cargo bike</v>
      </c>
    </row>
    <row r="52" spans="1:2" x14ac:dyDescent="0.3">
      <c r="A52" t="s">
        <v>75</v>
      </c>
      <c r="B52" t="s">
        <v>76</v>
      </c>
    </row>
    <row r="53" spans="1:2" x14ac:dyDescent="0.3">
      <c r="A53" t="s">
        <v>77</v>
      </c>
      <c r="B53" t="s">
        <v>77</v>
      </c>
    </row>
    <row r="54" spans="1:2" x14ac:dyDescent="0.3">
      <c r="A54" t="s">
        <v>79</v>
      </c>
      <c r="B54" t="s">
        <v>90</v>
      </c>
    </row>
    <row r="55" spans="1:2" x14ac:dyDescent="0.3">
      <c r="A55" t="s">
        <v>132</v>
      </c>
      <c r="B55">
        <f>INDEX('vehicles specifications'!$B$3:$CK$86,MATCH(B50,'vehicles specifications'!$A$3:$A$86,0),MATCH("Lifetime [km]",'vehicles specifications'!$B$2:$CK$2,0))</f>
        <v>20000</v>
      </c>
    </row>
    <row r="56" spans="1:2" x14ac:dyDescent="0.3">
      <c r="A56" t="s">
        <v>133</v>
      </c>
      <c r="B56">
        <f>INDEX('vehicles specifications'!$B$3:$CK$86,MATCH(B50,'vehicles specifications'!$A$3:$A$86,0),MATCH("Passengers [unit]",'vehicles specifications'!$B$2:$CK$2,0))</f>
        <v>1</v>
      </c>
    </row>
    <row r="57" spans="1:2" x14ac:dyDescent="0.3">
      <c r="A57" t="s">
        <v>134</v>
      </c>
      <c r="B57">
        <f>INDEX('vehicles specifications'!$B$3:$CK$86,MATCH(B50,'vehicles specifications'!$A$3:$A$86,0),MATCH("Servicing [unit]",'vehicles specifications'!$B$2:$CK$2,0))</f>
        <v>5</v>
      </c>
    </row>
    <row r="58" spans="1:2" x14ac:dyDescent="0.3">
      <c r="A58" t="s">
        <v>135</v>
      </c>
      <c r="B58">
        <f>INDEX('vehicles specifications'!$B$3:$CK$86,MATCH(B50,'vehicles specifications'!$A$3:$A$86,0),MATCH("Energy battery replacement [unit]",'vehicles specifications'!$B$2:$CK$2,0))</f>
        <v>0.5</v>
      </c>
    </row>
    <row r="59" spans="1:2" x14ac:dyDescent="0.3">
      <c r="A59" t="s">
        <v>136</v>
      </c>
      <c r="B59">
        <f>INDEX('vehicles specifications'!$B$3:$CK$86,MATCH(B50,'vehicles specifications'!$A$3:$A$86,0),MATCH("Annual kilometers [km]",'vehicles specifications'!$B$2:$CK$2,0))</f>
        <v>2060</v>
      </c>
    </row>
    <row r="60" spans="1:2" x14ac:dyDescent="0.3">
      <c r="A60" t="s">
        <v>137</v>
      </c>
      <c r="B60">
        <f>INDEX('vehicles specifications'!$B$3:$CK$86,MATCH(B50,'vehicles specifications'!$A$3:$A$86,0),MATCH("Curb mass [kg]",'vehicles specifications'!$B$2:$CK$2,0))</f>
        <v>37.260000000000005</v>
      </c>
    </row>
    <row r="61" spans="1:2" x14ac:dyDescent="0.3">
      <c r="A61" t="s">
        <v>138</v>
      </c>
      <c r="B61">
        <f>INDEX('vehicles specifications'!$B$3:$CK$86,MATCH(B50,'vehicles specifications'!$A$3:$A$86,0),MATCH("Power [kW]",'vehicles specifications'!$B$2:$CK$2,0))</f>
        <v>0.5</v>
      </c>
    </row>
    <row r="62" spans="1:2" x14ac:dyDescent="0.3">
      <c r="A62" t="s">
        <v>139</v>
      </c>
      <c r="B62">
        <f>INDEX('vehicles specifications'!$B$3:$CK$86,MATCH(B50,'vehicles specifications'!$A$3:$A$86,0),MATCH("Energy battery mass [kg]",'vehicles specifications'!$B$2:$CK$2,0))</f>
        <v>5.2</v>
      </c>
    </row>
    <row r="63" spans="1:2" x14ac:dyDescent="0.3">
      <c r="A63" t="s">
        <v>140</v>
      </c>
      <c r="B63">
        <f>INDEX('vehicles specifications'!$B$3:$CK$86,MATCH(B50,'vehicles specifications'!$A$3:$A$86,0),MATCH("Electric energy stored [kWh]",'vehicles specifications'!$B$2:$CK$2,0))</f>
        <v>1.2</v>
      </c>
    </row>
    <row r="64" spans="1:2" s="21" customFormat="1" x14ac:dyDescent="0.3">
      <c r="A64" s="21" t="s">
        <v>654</v>
      </c>
      <c r="B64" s="21">
        <f>INDEX('vehicles specifications'!$B$3:$CK$86,MATCH(B50,'vehicles specifications'!$A$3:$A$86,0),MATCH("Electric energy available [kWh]",'vehicles specifications'!$B$2:$CK$2,0))</f>
        <v>0.96</v>
      </c>
    </row>
    <row r="65" spans="1:8" x14ac:dyDescent="0.3">
      <c r="A65" t="s">
        <v>143</v>
      </c>
      <c r="B65">
        <f>INDEX('vehicles specifications'!$B$3:$CK$86,MATCH(B50,'vehicles specifications'!$A$3:$A$86,0),MATCH("Oxydation energy stored [kWh]",'vehicles specifications'!$B$2:$CK$2,0))</f>
        <v>0</v>
      </c>
    </row>
    <row r="66" spans="1:8" x14ac:dyDescent="0.3">
      <c r="A66" t="s">
        <v>145</v>
      </c>
      <c r="B66">
        <f>INDEX('vehicles specifications'!$B$3:$CK$86,MATCH(B50,'vehicles specifications'!$A$3:$A$86,0),MATCH("Fuel mass [kg]",'vehicles specifications'!$B$2:$CK$2,0))</f>
        <v>0</v>
      </c>
    </row>
    <row r="67" spans="1:8" x14ac:dyDescent="0.3">
      <c r="A67" t="s">
        <v>141</v>
      </c>
      <c r="B67" s="2">
        <f>INDEX('vehicles specifications'!$B$3:$CK$86,MATCH(B50,'vehicles specifications'!$A$3:$A$86,0),MATCH("Range [km]",'vehicles specifications'!$B$2:$CK$2,0))</f>
        <v>99.572658227848095</v>
      </c>
    </row>
    <row r="68" spans="1:8" x14ac:dyDescent="0.3">
      <c r="A68" t="s">
        <v>142</v>
      </c>
      <c r="B68" t="str">
        <f>INDEX('vehicles specifications'!$B$3:$CK$86,MATCH(B50,'vehicles specifications'!$A$3:$A$86,0),MATCH("Emission standard",'vehicles specifications'!$B$2:$CK$2,0))</f>
        <v>None</v>
      </c>
    </row>
    <row r="69" spans="1:8" x14ac:dyDescent="0.3">
      <c r="A69" t="s">
        <v>144</v>
      </c>
      <c r="B69" s="6">
        <f>INDEX('vehicles specifications'!$B$3:$CK$86,MATCH(B50,'vehicles specifications'!$A$3:$A$86,0),MATCH("Lightweighting rate [%]",'vehicles specifications'!$B$2:$CK$2,0))</f>
        <v>0.03</v>
      </c>
    </row>
    <row r="70" spans="1:8" s="21" customFormat="1" x14ac:dyDescent="0.3">
      <c r="A70" s="21" t="s">
        <v>513</v>
      </c>
      <c r="B70" s="6" t="s">
        <v>514</v>
      </c>
    </row>
    <row r="71" spans="1:8" s="21" customFormat="1" x14ac:dyDescent="0.3">
      <c r="A71" s="21" t="s">
        <v>515</v>
      </c>
      <c r="B71" s="2">
        <v>15900</v>
      </c>
    </row>
    <row r="72" spans="1:8" s="21" customFormat="1" x14ac:dyDescent="0.3">
      <c r="A72" s="21" t="s">
        <v>516</v>
      </c>
      <c r="B72" s="2">
        <v>1000</v>
      </c>
    </row>
    <row r="73" spans="1:8" s="21" customFormat="1" x14ac:dyDescent="0.3">
      <c r="A73" s="21" t="s">
        <v>84</v>
      </c>
      <c r="B73" s="21" t="str">
        <f>"Power: "&amp;B61&amp;" kW. Lifetime: "&amp;B55&amp;" km. Annual kilometers: "&amp;ROUND(B59,0)&amp;" km. Number of passengers: "&amp;ROUND(B56,1)&amp;". Curb mass: "&amp;ROUND(B60,1)&amp;" kg. Lightweighting of glider: "&amp;ROUND(B69*100,0)&amp;"%. Emission standard: "&amp;B68&amp;". Service visits throughout lifetime: "&amp;ROUND(B57,1)&amp;". Range: "&amp;ROUND(B67,0)&amp;" km. Battery capacity: "&amp;ROUND(B63,1)&amp;" kWh. Available battery capacity: "&amp;B64&amp;" kWh. Battery mass: "&amp;ROUND(B62,1)&amp; " kg. Battery replacement throughout lifetime: "&amp;ROUND(B58,1)&amp;". Fuel tank capacity: "&amp;ROUND(B65,1)&amp;" kWh. Fuel mass: "&amp;ROUND(B66,1)&amp;" kg. Origin of manufacture: "&amp;B70&amp;". Shipping distance: "&amp;B71&amp;" km. Lorry distribution distance: "&amp;B72&amp;" km. Documentation: "&amp;Readmefirst!$B$2&amp;", "&amp;Readmefirst!$B$3&amp;". "&amp;'lci-kick scooter'!B54</f>
        <v>Power: 0.5 kW. Lifetime: 20000 km. Annual kilometers: 2060 km. Number of passengers: 1. Curb mass: 37.3 kg. Lightweighting of glider: 3%. Emission standard: None. Service visits throughout lifetime: 5. Range: 100 km. Battery capacity: 1.2 kWh. Available battery capacity: 0.96 kWh. Battery mass: 5.2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unit</v>
      </c>
    </row>
    <row r="74" spans="1:8" ht="15.6" x14ac:dyDescent="0.3">
      <c r="A74" s="11" t="s">
        <v>80</v>
      </c>
    </row>
    <row r="75" spans="1:8" x14ac:dyDescent="0.3">
      <c r="A75" t="s">
        <v>81</v>
      </c>
      <c r="B75" t="s">
        <v>82</v>
      </c>
      <c r="C75" t="s">
        <v>73</v>
      </c>
      <c r="D75" t="s">
        <v>77</v>
      </c>
      <c r="E75" t="s">
        <v>83</v>
      </c>
      <c r="F75" t="s">
        <v>75</v>
      </c>
      <c r="G75" t="s">
        <v>84</v>
      </c>
      <c r="H75" t="s">
        <v>74</v>
      </c>
    </row>
    <row r="76" spans="1:8" x14ac:dyDescent="0.3">
      <c r="A76" s="12" t="str">
        <f>B45</f>
        <v>Bicycle, electric, cargo bike, 2030</v>
      </c>
      <c r="B76" s="12">
        <v>1</v>
      </c>
      <c r="C76" s="12" t="str">
        <f>B46</f>
        <v>CH</v>
      </c>
      <c r="D76" s="12" t="str">
        <f>B53</f>
        <v>unit</v>
      </c>
      <c r="E76" s="12"/>
      <c r="F76" s="12" t="s">
        <v>85</v>
      </c>
      <c r="G76" s="12" t="s">
        <v>86</v>
      </c>
      <c r="H76" s="12" t="str">
        <f>B47</f>
        <v>Bicycle, electric, cargo bike</v>
      </c>
    </row>
    <row r="77" spans="1:8" x14ac:dyDescent="0.3">
      <c r="A77" s="12" t="str">
        <f>INDEX('ei names mapping'!$B$4:$R$33,MATCH($B$3,'ei names mapping'!$A$4:$A$33,0),MATCH(G77,'ei names mapping'!$B$3:$R$3,0))</f>
        <v>electric bicycle production, without battery and motor</v>
      </c>
      <c r="B77" s="14">
        <f>INDEX('vehicles specifications'!$B$3:$CK$86,MATCH(B50,'vehicles specifications'!$A$3:$A$86,0),MATCH(G77,'vehicles specifications'!$B$2:$CK$2,0))*INDEX('ei names mapping'!$B$137:$BK$220,MATCH(B50,'ei names mapping'!$A$137:$A$220,0),MATCH(G77,'ei names mapping'!$B$136:$BK$136,0))</f>
        <v>1.6470588235294117</v>
      </c>
      <c r="C77" s="12" t="str">
        <f>INDEX('ei names mapping'!$B$38:$R$67,MATCH($B$3,'ei names mapping'!$A$4:$A$33,0),MATCH(G77,'ei names mapping'!$B$3:$R$3,0))</f>
        <v>RER</v>
      </c>
      <c r="D77" s="12" t="str">
        <f>INDEX('ei names mapping'!$B$104:$R$133,MATCH(B47,'ei names mapping'!$A$104:$A$133,0),MATCH(G77,'ei names mapping'!$B$3:$R$3,0))</f>
        <v>unit</v>
      </c>
      <c r="E77" s="12"/>
      <c r="F77" s="12" t="s">
        <v>91</v>
      </c>
      <c r="G77" s="21" t="s">
        <v>15</v>
      </c>
      <c r="H77" s="12" t="str">
        <f>INDEX('ei names mapping'!$B$71:$R$100,MATCH($B$3,'ei names mapping'!$A$4:$A$33,0),MATCH(G77,'ei names mapping'!$B$3:$R$3,0))</f>
        <v>electric bicycle, without battery and motor</v>
      </c>
    </row>
    <row r="78" spans="1:8" x14ac:dyDescent="0.3">
      <c r="A78" s="12" t="str">
        <f>INDEX('ei names mapping'!$B$4:$R$33,MATCH($B$3,'ei names mapping'!$A$4:$A$33,0),MATCH(G78,'ei names mapping'!$B$3:$R$3,0))</f>
        <v>market for electric motor, vehicle</v>
      </c>
      <c r="B78" s="14">
        <f>INDEX('vehicles specifications'!$B$3:$CK$86,MATCH(B50,'vehicles specifications'!$A$3:$A$86,0),MATCH(G78,'vehicles specifications'!$B$2:$CK$2,0))*INDEX('ei names mapping'!$B$137:$BK$220,MATCH(B50,'ei names mapping'!$A$137:$A$220,0),MATCH(G78,'ei names mapping'!$B$136:$BK$136,0))</f>
        <v>4.9000000000000004</v>
      </c>
      <c r="C78" s="12" t="str">
        <f>INDEX('ei names mapping'!$B$38:$R$67,MATCH($B$3,'ei names mapping'!$A$4:$A$33,0),MATCH(G78,'ei names mapping'!$B$3:$R$3,0))</f>
        <v>GLO</v>
      </c>
      <c r="D78" s="12" t="str">
        <f>INDEX('ei names mapping'!$B$104:$R$133,MATCH(B47,'ei names mapping'!$A$104:$A$133,0),MATCH(G78,'ei names mapping'!$B$3:$R$3,0))</f>
        <v>kilogram</v>
      </c>
      <c r="E78" s="12"/>
      <c r="F78" s="12" t="s">
        <v>91</v>
      </c>
      <c r="G78" t="s">
        <v>557</v>
      </c>
      <c r="H78" s="12" t="str">
        <f>INDEX('ei names mapping'!$B$71:$R$100,MATCH($B$3,'ei names mapping'!$A$4:$A$33,0),MATCH(G78,'ei names mapping'!$B$3:$R$3,0))</f>
        <v>electric motor, vehicle</v>
      </c>
    </row>
    <row r="79" spans="1:8" s="21" customFormat="1" x14ac:dyDescent="0.3">
      <c r="A79" s="12" t="str">
        <f>INDEX('ei names mapping'!$B$4:$R$33,MATCH(B47,'ei names mapping'!$A$4:$A$33,0),MATCH(G79,'ei names mapping'!$B$3:$R$3,0))</f>
        <v>glider lightweighting</v>
      </c>
      <c r="B79" s="16">
        <f>INDEX('vehicles specifications'!$B$3:$CK$86,MATCH(B50,'vehicles specifications'!$A$3:$A$86,0),MATCH(G79,'vehicles specifications'!$B$2:$CK$2,0))*INDEX('ei names mapping'!$B$137:$BK$220,MATCH(B50,'ei names mapping'!$A$137:$A$220,0),MATCH(G79,'ei names mapping'!$B$136:$BK$136,0))</f>
        <v>0.84</v>
      </c>
      <c r="C79" s="12" t="str">
        <f>INDEX('ei names mapping'!$B$38:$R$67,MATCH(B47,'ei names mapping'!$A$4:$A$33,0),MATCH(G79,'ei names mapping'!$B$3:$R$3,0))</f>
        <v>GLO</v>
      </c>
      <c r="D79" s="12" t="str">
        <f>INDEX('ei names mapping'!$B$104:$R$133,MATCH(B47,'ei names mapping'!$A$104:$A$133,0),MATCH(G79,'ei names mapping'!$B$3:$R$3,0))</f>
        <v>kilogram</v>
      </c>
      <c r="E79" s="12"/>
      <c r="F79" s="12" t="s">
        <v>91</v>
      </c>
      <c r="G79" s="21" t="s">
        <v>14</v>
      </c>
      <c r="H79" s="12" t="str">
        <f>INDEX('ei names mapping'!$B$71:$R$100,MATCH(B47,'ei names mapping'!$A$4:$A$33,0),MATCH(G79,'ei names mapping'!$B$3:$R$3,0))</f>
        <v>glider lightweighting</v>
      </c>
    </row>
    <row r="80" spans="1:8" x14ac:dyDescent="0.3">
      <c r="A80" s="12" t="str">
        <f>INDEX('ei names mapping'!$B$4:$R$33,MATCH($B$3,'ei names mapping'!$A$4:$A$33,0),MATCH(G80,'ei names mapping'!$B$3:$R$3,0))</f>
        <v>Battery cell, NMC</v>
      </c>
      <c r="B80" s="14">
        <f>INDEX('vehicles specifications'!$B$3:$CK$86,MATCH(B50,'vehicles specifications'!$A$3:$A$86,0),MATCH(G80,'vehicles specifications'!$B$2:$CK$2,0))*INDEX('ei names mapping'!$B$137:$BK$220,MATCH(B50,'ei names mapping'!$A$137:$A$220,0),MATCH(G80,'ei names mapping'!$B$136:$BK$136,0))</f>
        <v>6</v>
      </c>
      <c r="C80" s="12" t="str">
        <f>INDEX('ei names mapping'!$B$38:$R$67,MATCH($B$3,'ei names mapping'!$A$4:$A$33,0),MATCH(G80,'ei names mapping'!$B$3:$R$3,0))</f>
        <v>GLO</v>
      </c>
      <c r="D80" s="12" t="str">
        <f>INDEX('ei names mapping'!$B$104:$R$133,MATCH(B47,'ei names mapping'!$A$104:$A$133,0),MATCH(G80,'ei names mapping'!$B$3:$R$3,0))</f>
        <v>kilogram</v>
      </c>
      <c r="E80" s="12"/>
      <c r="F80" s="12" t="s">
        <v>91</v>
      </c>
      <c r="G80" t="s">
        <v>19</v>
      </c>
      <c r="H80" s="12" t="str">
        <f>INDEX('ei names mapping'!$B$71:$R$100,MATCH($B$3,'ei names mapping'!$A$4:$A$33,0),MATCH(G80,'ei names mapping'!$B$3:$R$3,0))</f>
        <v>Battery cell</v>
      </c>
    </row>
    <row r="81" spans="1:8" x14ac:dyDescent="0.3">
      <c r="A81" s="12" t="str">
        <f>INDEX('ei names mapping'!$B$4:$R$33,MATCH($B$3,'ei names mapping'!$A$4:$A$33,0),MATCH(G81,'ei names mapping'!$B$3:$R$3,0))</f>
        <v>Battery BoP</v>
      </c>
      <c r="B81" s="14">
        <f>INDEX('vehicles specifications'!$B$3:$CK$86,MATCH(B50,'vehicles specifications'!$A$3:$A$86,0),MATCH(G81,'vehicles specifications'!$B$2:$CK$2,0))*INDEX('ei names mapping'!$B$137:$BK$220,MATCH(B50,'ei names mapping'!$A$137:$A$220,0),MATCH(G81,'ei names mapping'!$B$136:$BK$136,0))</f>
        <v>1.7999999999999998</v>
      </c>
      <c r="C81" s="12" t="str">
        <f>INDEX('ei names mapping'!$B$38:$R$67,MATCH($B$3,'ei names mapping'!$A$4:$A$33,0),MATCH(G81,'ei names mapping'!$B$3:$R$3,0))</f>
        <v>GLO</v>
      </c>
      <c r="D81" s="12" t="str">
        <f>INDEX('ei names mapping'!$B$104:$R$133,MATCH(B47,'ei names mapping'!$A$104:$A$133,0),MATCH(G81,'ei names mapping'!$B$3:$R$3,0))</f>
        <v>kilogram</v>
      </c>
      <c r="E81" s="12"/>
      <c r="F81" s="12" t="s">
        <v>91</v>
      </c>
      <c r="G81" t="s">
        <v>20</v>
      </c>
      <c r="H81" s="12" t="str">
        <f>INDEX('ei names mapping'!$B$71:$R$100,MATCH($B$3,'ei names mapping'!$A$4:$A$33,0),MATCH(G81,'ei names mapping'!$B$3:$R$3,0))</f>
        <v>Battery BoP</v>
      </c>
    </row>
    <row r="82" spans="1:8" x14ac:dyDescent="0.3">
      <c r="A82" s="12" t="str">
        <f>INDEX('ei names mapping'!$B$4:$R$33,MATCH($B$3,'ei names mapping'!$A$4:$A$33,0),MATCH(G82,'ei names mapping'!$B$3:$R$3,0))</f>
        <v>charging station, 500W</v>
      </c>
      <c r="B82" s="14">
        <f>INDEX('vehicles specifications'!$B$3:$CK$86,MATCH(B50,'vehicles specifications'!$A$3:$A$86,0),MATCH(G82,'vehicles specifications'!$B$2:$CK$2,0))*INDEX('ei names mapping'!$B$137:$BK$220,MATCH(B50,'ei names mapping'!$A$137:$A$220,0),MATCH(G82,'ei names mapping'!$B$136:$BK$136,0))</f>
        <v>1</v>
      </c>
      <c r="C82" s="12" t="str">
        <f>INDEX('ei names mapping'!$B$38:$R$67,MATCH($B$3,'ei names mapping'!$A$4:$A$33,0),MATCH(G82,'ei names mapping'!$B$3:$R$3,0))</f>
        <v>GLO</v>
      </c>
      <c r="D82" s="12" t="str">
        <f>INDEX('ei names mapping'!$B$104:$R$133,MATCH(B47,'ei names mapping'!$A$104:$A$133,0),MATCH(G82,'ei names mapping'!$B$3:$R$3,0))</f>
        <v>unit</v>
      </c>
      <c r="E82" s="12"/>
      <c r="F82" s="12" t="s">
        <v>91</v>
      </c>
      <c r="G82" t="s">
        <v>53</v>
      </c>
      <c r="H82" s="12" t="str">
        <f>INDEX('ei names mapping'!$B$71:$R$100,MATCH($B$3,'ei names mapping'!$A$4:$A$33,0),MATCH(G82,'ei names mapping'!$B$3:$R$3,0))</f>
        <v>charging station, 500W</v>
      </c>
    </row>
    <row r="83" spans="1:8" x14ac:dyDescent="0.3">
      <c r="A83" s="12" t="str">
        <f>INDEX('ei names mapping'!$B$4:$R$33,MATCH($B$3,'ei names mapping'!$A$4:$A$33,0),MATCH(G83,'ei names mapping'!$B$3:$R$3,0))</f>
        <v>treatment of used electric bicycle</v>
      </c>
      <c r="B83" s="14">
        <f>INDEX('vehicles specifications'!$B$3:$CK$86,MATCH(B50,'vehicles specifications'!$A$3:$A$86,0),MATCH(G83,'vehicles specifications'!$B$2:$CK$2,0))*INDEX('ei names mapping'!$B$137:$BK$220,MATCH(B50,'ei names mapping'!$A$137:$A$220,0),MATCH(G83,'ei names mapping'!$B$136:$BK$136,0))</f>
        <v>-1.1316666666666666</v>
      </c>
      <c r="C83" s="12" t="str">
        <f>INDEX('ei names mapping'!$B$38:$R$67,MATCH($B$3,'ei names mapping'!$A$4:$A$33,0),MATCH(G83,'ei names mapping'!$B$3:$R$3,0))</f>
        <v>CH</v>
      </c>
      <c r="D83" s="12" t="str">
        <f>INDEX('ei names mapping'!$B$104:$R$133,MATCH(B47,'ei names mapping'!$A$104:$A$133,0),MATCH(G83,'ei names mapping'!$B$3:$R$3,0))</f>
        <v>unit</v>
      </c>
      <c r="E83" s="12"/>
      <c r="F83" s="12" t="s">
        <v>91</v>
      </c>
      <c r="G83" t="s">
        <v>150</v>
      </c>
      <c r="H83" s="12" t="str">
        <f>INDEX('ei names mapping'!$B$71:$R$100,MATCH($B$3,'ei names mapping'!$A$4:$A$33,0),MATCH(G83,'ei names mapping'!$B$3:$R$3,0))</f>
        <v>used electric bicycle</v>
      </c>
    </row>
    <row r="84" spans="1:8" x14ac:dyDescent="0.3">
      <c r="A84" s="12" t="str">
        <f>INDEX('ei names mapping'!$B$4:$R$33,MATCH($B$3,'ei names mapping'!$A$4:$A$33,0),MATCH(G84,'ei names mapping'!$B$3:$R$3,0))</f>
        <v>treatment of used electric bicycle</v>
      </c>
      <c r="B84" s="14">
        <f>INDEX('vehicles specifications'!$B$3:$CK$86,MATCH(B50,'vehicles specifications'!$A$3:$A$86,0),MATCH(G84,'vehicles specifications'!$B$2:$CK$2,0))*INDEX('ei names mapping'!$B$137:$BK$220,MATCH(B50,'ei names mapping'!$A$137:$A$220,0),MATCH(G84,'ei names mapping'!$B$136:$BK$136,0))</f>
        <v>-0.20416666666666666</v>
      </c>
      <c r="C84" s="12" t="str">
        <f>INDEX('ei names mapping'!$B$38:$R$67,MATCH($B$3,'ei names mapping'!$A$4:$A$33,0),MATCH(G84,'ei names mapping'!$B$3:$R$3,0))</f>
        <v>CH</v>
      </c>
      <c r="D84" s="12" t="str">
        <f>INDEX('ei names mapping'!$B$104:$R$133,MATCH(B47,'ei names mapping'!$A$104:$A$133,0),MATCH(G84,'ei names mapping'!$B$3:$R$3,0))</f>
        <v>unit</v>
      </c>
      <c r="E84" s="12"/>
      <c r="F84" s="12" t="s">
        <v>91</v>
      </c>
      <c r="G84" t="s">
        <v>151</v>
      </c>
      <c r="H84" s="12" t="str">
        <f>INDEX('ei names mapping'!$B$71:$R$100,MATCH($B$3,'ei names mapping'!$A$4:$A$33,0),MATCH(G84,'ei names mapping'!$B$3:$R$3,0))</f>
        <v>used electric bicycle</v>
      </c>
    </row>
    <row r="85" spans="1:8" x14ac:dyDescent="0.3">
      <c r="A85" s="12" t="str">
        <f>INDEX('ei names mapping'!$B$4:$R$33,MATCH($B$3,'ei names mapping'!$A$4:$A$33,0),MATCH(G85,'ei names mapping'!$B$3:$R$3,0))</f>
        <v>market for used Li-ion battery</v>
      </c>
      <c r="B85" s="14">
        <f>INDEX('vehicles specifications'!$B$3:$CK$86,MATCH(B50,'vehicles specifications'!$A$3:$A$86,0),MATCH(G85,'vehicles specifications'!$B$2:$CK$2,0))*INDEX('ei names mapping'!$B$137:$BK$220,MATCH(B50,'ei names mapping'!$A$137:$A$220,0),MATCH(G85,'ei names mapping'!$B$136:$BK$136,0))</f>
        <v>-7.8000000000000007</v>
      </c>
      <c r="C85" s="12" t="str">
        <f>INDEX('ei names mapping'!$B$38:$R$67,MATCH($B$3,'ei names mapping'!$A$4:$A$33,0),MATCH(G85,'ei names mapping'!$B$3:$R$3,0))</f>
        <v>GLO</v>
      </c>
      <c r="D85" s="12" t="str">
        <f>INDEX('ei names mapping'!$B$104:$R$133,MATCH(B47,'ei names mapping'!$A$104:$A$133,0),MATCH(G85,'ei names mapping'!$B$3:$R$3,0))</f>
        <v>kilogram</v>
      </c>
      <c r="E85" s="12"/>
      <c r="F85" s="12" t="s">
        <v>91</v>
      </c>
      <c r="G85" t="s">
        <v>152</v>
      </c>
      <c r="H85" s="12" t="str">
        <f>INDEX('ei names mapping'!$B$71:$R$100,MATCH($B$3,'ei names mapping'!$A$4:$A$33,0),MATCH(G85,'ei names mapping'!$B$3:$R$3,0))</f>
        <v>used Li-ion battery</v>
      </c>
    </row>
    <row r="86" spans="1:8" s="21" customFormat="1" x14ac:dyDescent="0.3">
      <c r="A86" s="22" t="s">
        <v>468</v>
      </c>
      <c r="B86" s="21">
        <f>(B60/1000)*B72</f>
        <v>37.260000000000005</v>
      </c>
      <c r="C86" s="21" t="s">
        <v>94</v>
      </c>
      <c r="D86" s="21" t="s">
        <v>243</v>
      </c>
      <c r="F86" s="21" t="s">
        <v>91</v>
      </c>
      <c r="H86" s="22" t="s">
        <v>469</v>
      </c>
    </row>
    <row r="87" spans="1:8" s="21" customFormat="1" x14ac:dyDescent="0.3">
      <c r="A87" s="22" t="s">
        <v>467</v>
      </c>
      <c r="B87" s="2">
        <f>(B60/1000)*B71</f>
        <v>592.43400000000008</v>
      </c>
      <c r="C87" s="21" t="s">
        <v>98</v>
      </c>
      <c r="D87" s="21" t="s">
        <v>243</v>
      </c>
      <c r="F87" s="21" t="s">
        <v>91</v>
      </c>
      <c r="H87" s="22" t="s">
        <v>467</v>
      </c>
    </row>
    <row r="88" spans="1:8" x14ac:dyDescent="0.3">
      <c r="B88" s="12"/>
    </row>
    <row r="89" spans="1:8" ht="15.6" x14ac:dyDescent="0.3">
      <c r="A89" s="11" t="s">
        <v>72</v>
      </c>
      <c r="B89" s="9" t="str">
        <f>B91&amp;", "&amp;B93</f>
        <v>Bicycle, electric, cargo bike, 2040</v>
      </c>
    </row>
    <row r="90" spans="1:8" x14ac:dyDescent="0.3">
      <c r="A90" t="s">
        <v>73</v>
      </c>
      <c r="B90" t="s">
        <v>37</v>
      </c>
    </row>
    <row r="91" spans="1:8" x14ac:dyDescent="0.3">
      <c r="A91" t="s">
        <v>87</v>
      </c>
      <c r="B91" s="21" t="s">
        <v>524</v>
      </c>
    </row>
    <row r="92" spans="1:8" x14ac:dyDescent="0.3">
      <c r="A92" t="s">
        <v>88</v>
      </c>
      <c r="B92" s="12"/>
    </row>
    <row r="93" spans="1:8" x14ac:dyDescent="0.3">
      <c r="A93" t="s">
        <v>89</v>
      </c>
      <c r="B93" s="12">
        <v>2040</v>
      </c>
    </row>
    <row r="94" spans="1:8" x14ac:dyDescent="0.3">
      <c r="A94" t="s">
        <v>131</v>
      </c>
      <c r="B94" s="12" t="str">
        <f>B91&amp;" - "&amp;B93&amp;" - "&amp;B90</f>
        <v>Bicycle, electric, cargo bike - 2040 - CH</v>
      </c>
    </row>
    <row r="95" spans="1:8" x14ac:dyDescent="0.3">
      <c r="A95" t="s">
        <v>74</v>
      </c>
      <c r="B95" t="str">
        <f>B91</f>
        <v>Bicycle, electric, cargo bike</v>
      </c>
    </row>
    <row r="96" spans="1:8" x14ac:dyDescent="0.3">
      <c r="A96" t="s">
        <v>75</v>
      </c>
      <c r="B96" t="s">
        <v>76</v>
      </c>
    </row>
    <row r="97" spans="1:2" x14ac:dyDescent="0.3">
      <c r="A97" t="s">
        <v>77</v>
      </c>
      <c r="B97" t="s">
        <v>77</v>
      </c>
    </row>
    <row r="98" spans="1:2" x14ac:dyDescent="0.3">
      <c r="A98" t="s">
        <v>79</v>
      </c>
      <c r="B98" t="s">
        <v>90</v>
      </c>
    </row>
    <row r="99" spans="1:2" x14ac:dyDescent="0.3">
      <c r="A99" t="s">
        <v>132</v>
      </c>
      <c r="B99">
        <f>INDEX('vehicles specifications'!$B$3:$CK$86,MATCH(B94,'vehicles specifications'!$A$3:$A$86,0),MATCH("Lifetime [km]",'vehicles specifications'!$B$2:$CK$2,0))</f>
        <v>20000</v>
      </c>
    </row>
    <row r="100" spans="1:2" x14ac:dyDescent="0.3">
      <c r="A100" t="s">
        <v>133</v>
      </c>
      <c r="B100">
        <f>INDEX('vehicles specifications'!$B$3:$CK$86,MATCH(B94,'vehicles specifications'!$A$3:$A$86,0),MATCH("Passengers [unit]",'vehicles specifications'!$B$2:$CK$2,0))</f>
        <v>1</v>
      </c>
    </row>
    <row r="101" spans="1:2" x14ac:dyDescent="0.3">
      <c r="A101" t="s">
        <v>134</v>
      </c>
      <c r="B101">
        <f>INDEX('vehicles specifications'!$B$3:$CK$86,MATCH(B94,'vehicles specifications'!$A$3:$A$86,0),MATCH("Servicing [unit]",'vehicles specifications'!$B$2:$CK$2,0))</f>
        <v>5</v>
      </c>
    </row>
    <row r="102" spans="1:2" x14ac:dyDescent="0.3">
      <c r="A102" t="s">
        <v>135</v>
      </c>
      <c r="B102">
        <f>INDEX('vehicles specifications'!$B$3:$CK$86,MATCH(B94,'vehicles specifications'!$A$3:$A$86,0),MATCH("Energy battery replacement [unit]",'vehicles specifications'!$B$2:$CK$2,0))</f>
        <v>0.25</v>
      </c>
    </row>
    <row r="103" spans="1:2" x14ac:dyDescent="0.3">
      <c r="A103" t="s">
        <v>136</v>
      </c>
      <c r="B103">
        <f>INDEX('vehicles specifications'!$B$3:$CK$86,MATCH(B94,'vehicles specifications'!$A$3:$A$86,0),MATCH("Annual kilometers [km]",'vehicles specifications'!$B$2:$CK$2,0))</f>
        <v>2060</v>
      </c>
    </row>
    <row r="104" spans="1:2" x14ac:dyDescent="0.3">
      <c r="A104" t="s">
        <v>137</v>
      </c>
      <c r="B104">
        <f>INDEX('vehicles specifications'!$B$3:$CK$86,MATCH(B94,'vehicles specifications'!$A$3:$A$86,0),MATCH("Curb mass [kg]",'vehicles specifications'!$B$2:$CK$2,0))</f>
        <v>36.5</v>
      </c>
    </row>
    <row r="105" spans="1:2" x14ac:dyDescent="0.3">
      <c r="A105" t="s">
        <v>138</v>
      </c>
      <c r="B105">
        <f>INDEX('vehicles specifications'!$B$3:$CK$86,MATCH(B94,'vehicles specifications'!$A$3:$A$86,0),MATCH("Power [kW]",'vehicles specifications'!$B$2:$CK$2,0))</f>
        <v>0.5</v>
      </c>
    </row>
    <row r="106" spans="1:2" x14ac:dyDescent="0.3">
      <c r="A106" t="s">
        <v>139</v>
      </c>
      <c r="B106">
        <f>INDEX('vehicles specifications'!$B$3:$CK$86,MATCH(B94,'vehicles specifications'!$A$3:$A$86,0),MATCH("Energy battery mass [kg]",'vehicles specifications'!$B$2:$CK$2,0))</f>
        <v>5.2</v>
      </c>
    </row>
    <row r="107" spans="1:2" x14ac:dyDescent="0.3">
      <c r="A107" t="s">
        <v>140</v>
      </c>
      <c r="B107">
        <f>INDEX('vehicles specifications'!$B$3:$CK$86,MATCH(B94,'vehicles specifications'!$A$3:$A$86,0),MATCH("Electric energy stored [kWh]",'vehicles specifications'!$B$2:$CK$2,0))</f>
        <v>1.6</v>
      </c>
    </row>
    <row r="108" spans="1:2" s="21" customFormat="1" x14ac:dyDescent="0.3">
      <c r="A108" s="21" t="s">
        <v>654</v>
      </c>
      <c r="B108" s="21">
        <f>INDEX('vehicles specifications'!$B$3:$CK$86,MATCH(B94,'vehicles specifications'!$A$3:$A$86,0),MATCH("Electric energy available [kWh]",'vehicles specifications'!$B$2:$CK$2,0))</f>
        <v>1.2800000000000002</v>
      </c>
    </row>
    <row r="109" spans="1:2" x14ac:dyDescent="0.3">
      <c r="A109" t="s">
        <v>143</v>
      </c>
      <c r="B109">
        <f>INDEX('vehicles specifications'!$B$3:$CK$86,MATCH(B94,'vehicles specifications'!$A$3:$A$86,0),MATCH("Oxydation energy stored [kWh]",'vehicles specifications'!$B$2:$CK$2,0))</f>
        <v>0</v>
      </c>
    </row>
    <row r="110" spans="1:2" x14ac:dyDescent="0.3">
      <c r="A110" t="s">
        <v>145</v>
      </c>
      <c r="B110">
        <f>INDEX('vehicles specifications'!$B$3:$CK$86,MATCH(B94,'vehicles specifications'!$A$3:$A$86,0),MATCH("Fuel mass [kg]",'vehicles specifications'!$B$2:$CK$2,0))</f>
        <v>0</v>
      </c>
    </row>
    <row r="111" spans="1:2" x14ac:dyDescent="0.3">
      <c r="A111" t="s">
        <v>141</v>
      </c>
      <c r="B111" s="2">
        <f>INDEX('vehicles specifications'!$B$3:$CK$86,MATCH(B94,'vehicles specifications'!$A$3:$A$86,0),MATCH("Range [km]",'vehicles specifications'!$B$2:$CK$2,0))</f>
        <v>132.76354430379749</v>
      </c>
    </row>
    <row r="112" spans="1:2" x14ac:dyDescent="0.3">
      <c r="A112" t="s">
        <v>142</v>
      </c>
      <c r="B112" t="str">
        <f>INDEX('vehicles specifications'!$B$3:$CK$86,MATCH(B94,'vehicles specifications'!$A$3:$A$86,0),MATCH("Emission standard",'vehicles specifications'!$B$2:$CK$2,0))</f>
        <v>None</v>
      </c>
    </row>
    <row r="113" spans="1:8" x14ac:dyDescent="0.3">
      <c r="A113" t="s">
        <v>144</v>
      </c>
      <c r="B113" s="6">
        <f>INDEX('vehicles specifications'!$B$3:$CK$86,MATCH(B94,'vehicles specifications'!$A$3:$A$86,0),MATCH("Lightweighting rate [%]",'vehicles specifications'!$B$2:$CK$2,0))</f>
        <v>0.05</v>
      </c>
    </row>
    <row r="114" spans="1:8" s="21" customFormat="1" x14ac:dyDescent="0.3">
      <c r="A114" s="21" t="s">
        <v>513</v>
      </c>
      <c r="B114" s="6" t="s">
        <v>514</v>
      </c>
    </row>
    <row r="115" spans="1:8" s="21" customFormat="1" x14ac:dyDescent="0.3">
      <c r="A115" s="21" t="s">
        <v>515</v>
      </c>
      <c r="B115" s="2">
        <v>15900</v>
      </c>
    </row>
    <row r="116" spans="1:8" s="21" customFormat="1" x14ac:dyDescent="0.3">
      <c r="A116" s="21" t="s">
        <v>516</v>
      </c>
      <c r="B116" s="2">
        <v>1000</v>
      </c>
    </row>
    <row r="117" spans="1:8" s="21" customFormat="1" x14ac:dyDescent="0.3">
      <c r="A117" s="21" t="s">
        <v>84</v>
      </c>
      <c r="B117" s="21" t="str">
        <f>"Power: "&amp;B105&amp;" kW. Lifetime: "&amp;B99&amp;" km. Annual kilometers: "&amp;ROUND(B103,0)&amp;" km. Number of passengers: "&amp;ROUND(B100,1)&amp;". Curb mass: "&amp;ROUND(B104,1)&amp;" kg. Lightweighting of glider: "&amp;ROUND(B113*100,0)&amp;"%. Emission standard: "&amp;B112&amp;". Service visits throughout lifetime: "&amp;ROUND(B101,1)&amp;". Range: "&amp;ROUND(B111,0)&amp;" km. Battery capacity: "&amp;ROUND(B107,1)&amp;" kWh. Available battery capacity: "&amp;B108&amp;" kWh. Battery mass: "&amp;ROUND(B106,1)&amp; " kg. Battery replacement throughout lifetime: "&amp;ROUND(B102,1)&amp;". Fuel tank capacity: "&amp;ROUND(B109,1)&amp;" kWh. Fuel mass: "&amp;ROUND(B110,1)&amp;" kg. Origin of manufacture: "&amp;B114&amp;". Shipping distance: "&amp;B115&amp;" km. Lorry distribution distance: "&amp;B116&amp;" km. Documentation: "&amp;Readmefirst!$B$2&amp;", "&amp;Readmefirst!$B$3&amp;". "&amp;'lci-kick scooter'!B98</f>
        <v>Power: 0.5 kW. Lifetime: 20000 km. Annual kilometers: 2060 km. Number of passengers: 1. Curb mass: 36.5 kg. Lightweighting of glider: 5%. Emission standard: None. Service visits throughout lifetime: 5. Range: 133 km. Battery capacity: 1.6 kWh. Available battery capacity: 1.28 kWh. Battery mass: 5.2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18" spans="1:8" ht="15.6" x14ac:dyDescent="0.3">
      <c r="A118" s="11" t="s">
        <v>80</v>
      </c>
    </row>
    <row r="119" spans="1:8" x14ac:dyDescent="0.3">
      <c r="A119" t="s">
        <v>81</v>
      </c>
      <c r="B119" t="s">
        <v>82</v>
      </c>
      <c r="C119" t="s">
        <v>73</v>
      </c>
      <c r="D119" t="s">
        <v>77</v>
      </c>
      <c r="E119" t="s">
        <v>83</v>
      </c>
      <c r="F119" t="s">
        <v>75</v>
      </c>
      <c r="G119" t="s">
        <v>84</v>
      </c>
      <c r="H119" t="s">
        <v>74</v>
      </c>
    </row>
    <row r="120" spans="1:8" x14ac:dyDescent="0.3">
      <c r="A120" s="12" t="str">
        <f>B89</f>
        <v>Bicycle, electric, cargo bike, 2040</v>
      </c>
      <c r="B120" s="12">
        <v>1</v>
      </c>
      <c r="C120" s="12" t="str">
        <f>B90</f>
        <v>CH</v>
      </c>
      <c r="D120" s="12" t="str">
        <f>B97</f>
        <v>unit</v>
      </c>
      <c r="E120" s="12"/>
      <c r="F120" s="12" t="s">
        <v>85</v>
      </c>
      <c r="G120" s="12" t="s">
        <v>86</v>
      </c>
      <c r="H120" s="12" t="str">
        <f>B91</f>
        <v>Bicycle, electric, cargo bike</v>
      </c>
    </row>
    <row r="121" spans="1:8" x14ac:dyDescent="0.3">
      <c r="A121" s="12" t="str">
        <f>INDEX('ei names mapping'!$B$4:$R$33,MATCH($B$3,'ei names mapping'!$A$4:$A$33,0),MATCH(G121,'ei names mapping'!$B$3:$R$3,0))</f>
        <v>electric bicycle production, without battery and motor</v>
      </c>
      <c r="B121" s="14">
        <f>INDEX('vehicles specifications'!$B$3:$CK$86,MATCH(B94,'vehicles specifications'!$A$3:$A$86,0),MATCH(G121,'vehicles specifications'!$B$2:$CK$2,0))*INDEX('ei names mapping'!$B$137:$BK$220,MATCH(B94,'ei names mapping'!$A$137:$A$220,0),MATCH(G121,'ei names mapping'!$B$136:$BK$136,0))</f>
        <v>1.6470588235294117</v>
      </c>
      <c r="C121" s="12" t="str">
        <f>INDEX('ei names mapping'!$B$38:$R$67,MATCH($B$3,'ei names mapping'!$A$4:$A$33,0),MATCH(G121,'ei names mapping'!$B$3:$R$3,0))</f>
        <v>RER</v>
      </c>
      <c r="D121" s="12" t="str">
        <f>INDEX('ei names mapping'!$B$104:$R$133,MATCH(B91,'ei names mapping'!$A$104:$A$133,0),MATCH(G121,'ei names mapping'!$B$3:$R$3,0))</f>
        <v>unit</v>
      </c>
      <c r="E121" s="12"/>
      <c r="F121" s="12" t="s">
        <v>91</v>
      </c>
      <c r="G121" s="21" t="s">
        <v>15</v>
      </c>
      <c r="H121" s="12" t="str">
        <f>INDEX('ei names mapping'!$B$71:$R$100,MATCH($B$3,'ei names mapping'!$A$4:$A$33,0),MATCH(G121,'ei names mapping'!$B$3:$R$3,0))</f>
        <v>electric bicycle, without battery and motor</v>
      </c>
    </row>
    <row r="122" spans="1:8" x14ac:dyDescent="0.3">
      <c r="A122" s="12" t="str">
        <f>INDEX('ei names mapping'!$B$4:$R$33,MATCH($B$3,'ei names mapping'!$A$4:$A$33,0),MATCH(G122,'ei names mapping'!$B$3:$R$3,0))</f>
        <v>market for electric motor, vehicle</v>
      </c>
      <c r="B122" s="14">
        <f>INDEX('vehicles specifications'!$B$3:$CK$86,MATCH(B94,'vehicles specifications'!$A$3:$A$86,0),MATCH(G122,'vehicles specifications'!$B$2:$CK$2,0))*INDEX('ei names mapping'!$B$137:$BK$220,MATCH(B94,'ei names mapping'!$A$137:$A$220,0),MATCH(G122,'ei names mapping'!$B$136:$BK$136,0))</f>
        <v>4.7</v>
      </c>
      <c r="C122" s="12" t="str">
        <f>INDEX('ei names mapping'!$B$38:$R$67,MATCH($B$3,'ei names mapping'!$A$4:$A$33,0),MATCH(G122,'ei names mapping'!$B$3:$R$3,0))</f>
        <v>GLO</v>
      </c>
      <c r="D122" s="12" t="str">
        <f>INDEX('ei names mapping'!$B$104:$R$133,MATCH(B91,'ei names mapping'!$A$104:$A$133,0),MATCH(G122,'ei names mapping'!$B$3:$R$3,0))</f>
        <v>kilogram</v>
      </c>
      <c r="E122" s="12"/>
      <c r="F122" s="12" t="s">
        <v>91</v>
      </c>
      <c r="G122" t="s">
        <v>557</v>
      </c>
      <c r="H122" s="12" t="str">
        <f>INDEX('ei names mapping'!$B$71:$R$100,MATCH($B$3,'ei names mapping'!$A$4:$A$33,0),MATCH(G122,'ei names mapping'!$B$3:$R$3,0))</f>
        <v>electric motor, vehicle</v>
      </c>
    </row>
    <row r="123" spans="1:8" s="21" customFormat="1" x14ac:dyDescent="0.3">
      <c r="A123" s="12" t="str">
        <f>INDEX('ei names mapping'!$B$4:$R$33,MATCH(B91,'ei names mapping'!$A$4:$A$33,0),MATCH(G123,'ei names mapping'!$B$3:$R$3,0))</f>
        <v>glider lightweighting</v>
      </c>
      <c r="B123" s="16">
        <f>INDEX('vehicles specifications'!$B$3:$CK$86,MATCH(B94,'vehicles specifications'!$A$3:$A$86,0),MATCH(G123,'vehicles specifications'!$B$2:$CK$2,0))*INDEX('ei names mapping'!$B$137:$BK$220,MATCH(B94,'ei names mapping'!$A$137:$A$220,0),MATCH(G123,'ei names mapping'!$B$136:$BK$136,0))</f>
        <v>1.4000000000000001</v>
      </c>
      <c r="C123" s="12" t="str">
        <f>INDEX('ei names mapping'!$B$38:$R$67,MATCH(B91,'ei names mapping'!$A$4:$A$33,0),MATCH(G123,'ei names mapping'!$B$3:$R$3,0))</f>
        <v>GLO</v>
      </c>
      <c r="D123" s="12" t="str">
        <f>INDEX('ei names mapping'!$B$104:$R$133,MATCH(B91,'ei names mapping'!$A$104:$A$133,0),MATCH(G123,'ei names mapping'!$B$3:$R$3,0))</f>
        <v>kilogram</v>
      </c>
      <c r="E123" s="12"/>
      <c r="F123" s="12" t="s">
        <v>91</v>
      </c>
      <c r="G123" s="21" t="s">
        <v>14</v>
      </c>
      <c r="H123" s="12" t="str">
        <f>INDEX('ei names mapping'!$B$71:$R$100,MATCH(B91,'ei names mapping'!$A$4:$A$33,0),MATCH(G123,'ei names mapping'!$B$3:$R$3,0))</f>
        <v>glider lightweighting</v>
      </c>
    </row>
    <row r="124" spans="1:8" x14ac:dyDescent="0.3">
      <c r="A124" s="12" t="str">
        <f>INDEX('ei names mapping'!$B$4:$R$33,MATCH($B$3,'ei names mapping'!$A$4:$A$33,0),MATCH(G124,'ei names mapping'!$B$3:$R$3,0))</f>
        <v>Battery cell, NMC</v>
      </c>
      <c r="B124" s="14">
        <f>INDEX('vehicles specifications'!$B$3:$CK$86,MATCH(B94,'vehicles specifications'!$A$3:$A$86,0),MATCH(G124,'vehicles specifications'!$B$2:$CK$2,0))*INDEX('ei names mapping'!$B$137:$BK$220,MATCH(B94,'ei names mapping'!$A$137:$A$220,0),MATCH(G124,'ei names mapping'!$B$136:$BK$136,0))</f>
        <v>5</v>
      </c>
      <c r="C124" s="12" t="str">
        <f>INDEX('ei names mapping'!$B$38:$R$67,MATCH($B$3,'ei names mapping'!$A$4:$A$33,0),MATCH(G124,'ei names mapping'!$B$3:$R$3,0))</f>
        <v>GLO</v>
      </c>
      <c r="D124" s="12" t="str">
        <f>INDEX('ei names mapping'!$B$104:$R$133,MATCH(B91,'ei names mapping'!$A$104:$A$133,0),MATCH(G124,'ei names mapping'!$B$3:$R$3,0))</f>
        <v>kilogram</v>
      </c>
      <c r="E124" s="12"/>
      <c r="F124" s="12" t="s">
        <v>91</v>
      </c>
      <c r="G124" t="s">
        <v>19</v>
      </c>
      <c r="H124" s="12" t="str">
        <f>INDEX('ei names mapping'!$B$71:$R$100,MATCH($B$3,'ei names mapping'!$A$4:$A$33,0),MATCH(G124,'ei names mapping'!$B$3:$R$3,0))</f>
        <v>Battery cell</v>
      </c>
    </row>
    <row r="125" spans="1:8" x14ac:dyDescent="0.3">
      <c r="A125" s="12" t="str">
        <f>INDEX('ei names mapping'!$B$4:$R$33,MATCH($B$3,'ei names mapping'!$A$4:$A$33,0),MATCH(G125,'ei names mapping'!$B$3:$R$3,0))</f>
        <v>Battery BoP</v>
      </c>
      <c r="B125" s="14">
        <f>INDEX('vehicles specifications'!$B$3:$CK$86,MATCH(B94,'vehicles specifications'!$A$3:$A$86,0),MATCH(G125,'vehicles specifications'!$B$2:$CK$2,0))*INDEX('ei names mapping'!$B$137:$BK$220,MATCH(B94,'ei names mapping'!$A$137:$A$220,0),MATCH(G125,'ei names mapping'!$B$136:$BK$136,0))</f>
        <v>1.5</v>
      </c>
      <c r="C125" s="12" t="str">
        <f>INDEX('ei names mapping'!$B$38:$R$67,MATCH($B$3,'ei names mapping'!$A$4:$A$33,0),MATCH(G125,'ei names mapping'!$B$3:$R$3,0))</f>
        <v>GLO</v>
      </c>
      <c r="D125" s="12" t="str">
        <f>INDEX('ei names mapping'!$B$104:$R$133,MATCH(B91,'ei names mapping'!$A$104:$A$133,0),MATCH(G125,'ei names mapping'!$B$3:$R$3,0))</f>
        <v>kilogram</v>
      </c>
      <c r="E125" s="12"/>
      <c r="F125" s="12" t="s">
        <v>91</v>
      </c>
      <c r="G125" t="s">
        <v>20</v>
      </c>
      <c r="H125" s="12" t="str">
        <f>INDEX('ei names mapping'!$B$71:$R$100,MATCH($B$3,'ei names mapping'!$A$4:$A$33,0),MATCH(G125,'ei names mapping'!$B$3:$R$3,0))</f>
        <v>Battery BoP</v>
      </c>
    </row>
    <row r="126" spans="1:8" x14ac:dyDescent="0.3">
      <c r="A126" s="12" t="str">
        <f>INDEX('ei names mapping'!$B$4:$R$33,MATCH($B$3,'ei names mapping'!$A$4:$A$33,0),MATCH(G126,'ei names mapping'!$B$3:$R$3,0))</f>
        <v>charging station, 500W</v>
      </c>
      <c r="B126" s="14">
        <f>INDEX('vehicles specifications'!$B$3:$CK$86,MATCH(B94,'vehicles specifications'!$A$3:$A$86,0),MATCH(G126,'vehicles specifications'!$B$2:$CK$2,0))*INDEX('ei names mapping'!$B$137:$BK$220,MATCH(B94,'ei names mapping'!$A$137:$A$220,0),MATCH(G126,'ei names mapping'!$B$136:$BK$136,0))</f>
        <v>1</v>
      </c>
      <c r="C126" s="12" t="str">
        <f>INDEX('ei names mapping'!$B$38:$R$67,MATCH($B$3,'ei names mapping'!$A$4:$A$33,0),MATCH(G126,'ei names mapping'!$B$3:$R$3,0))</f>
        <v>GLO</v>
      </c>
      <c r="D126" s="12" t="str">
        <f>INDEX('ei names mapping'!$B$104:$R$133,MATCH(B91,'ei names mapping'!$A$104:$A$133,0),MATCH(G126,'ei names mapping'!$B$3:$R$3,0))</f>
        <v>unit</v>
      </c>
      <c r="E126" s="12"/>
      <c r="F126" s="12" t="s">
        <v>91</v>
      </c>
      <c r="G126" t="s">
        <v>53</v>
      </c>
      <c r="H126" s="12" t="str">
        <f>INDEX('ei names mapping'!$B$71:$R$100,MATCH($B$3,'ei names mapping'!$A$4:$A$33,0),MATCH(G126,'ei names mapping'!$B$3:$R$3,0))</f>
        <v>charging station, 500W</v>
      </c>
    </row>
    <row r="127" spans="1:8" x14ac:dyDescent="0.3">
      <c r="A127" s="12" t="str">
        <f>INDEX('ei names mapping'!$B$4:$R$33,MATCH($B$3,'ei names mapping'!$A$4:$A$33,0),MATCH(G127,'ei names mapping'!$B$3:$R$3,0))</f>
        <v>treatment of used electric bicycle</v>
      </c>
      <c r="B127" s="14">
        <f>INDEX('vehicles specifications'!$B$3:$CK$86,MATCH(B94,'vehicles specifications'!$A$3:$A$86,0),MATCH(G127,'vehicles specifications'!$B$2:$CK$2,0))*INDEX('ei names mapping'!$B$137:$BK$220,MATCH(B94,'ei names mapping'!$A$137:$A$220,0),MATCH(G127,'ei names mapping'!$B$136:$BK$136,0))</f>
        <v>-1.1083333333333332</v>
      </c>
      <c r="C127" s="12" t="str">
        <f>INDEX('ei names mapping'!$B$38:$R$67,MATCH($B$3,'ei names mapping'!$A$4:$A$33,0),MATCH(G127,'ei names mapping'!$B$3:$R$3,0))</f>
        <v>CH</v>
      </c>
      <c r="D127" s="12" t="str">
        <f>INDEX('ei names mapping'!$B$104:$R$133,MATCH(B91,'ei names mapping'!$A$104:$A$133,0),MATCH(G127,'ei names mapping'!$B$3:$R$3,0))</f>
        <v>unit</v>
      </c>
      <c r="E127" s="12"/>
      <c r="F127" s="12" t="s">
        <v>91</v>
      </c>
      <c r="G127" t="s">
        <v>150</v>
      </c>
      <c r="H127" s="12" t="str">
        <f>INDEX('ei names mapping'!$B$71:$R$100,MATCH($B$3,'ei names mapping'!$A$4:$A$33,0),MATCH(G127,'ei names mapping'!$B$3:$R$3,0))</f>
        <v>used electric bicycle</v>
      </c>
    </row>
    <row r="128" spans="1:8" x14ac:dyDescent="0.3">
      <c r="A128" s="12" t="str">
        <f>INDEX('ei names mapping'!$B$4:$R$33,MATCH($B$3,'ei names mapping'!$A$4:$A$33,0),MATCH(G128,'ei names mapping'!$B$3:$R$3,0))</f>
        <v>treatment of used electric bicycle</v>
      </c>
      <c r="B128" s="14">
        <f>INDEX('vehicles specifications'!$B$3:$CK$86,MATCH(B94,'vehicles specifications'!$A$3:$A$86,0),MATCH(G128,'vehicles specifications'!$B$2:$CK$2,0))*INDEX('ei names mapping'!$B$137:$BK$220,MATCH(B94,'ei names mapping'!$A$137:$A$220,0),MATCH(G128,'ei names mapping'!$B$136:$BK$136,0))</f>
        <v>-0.19583333333333333</v>
      </c>
      <c r="C128" s="12" t="str">
        <f>INDEX('ei names mapping'!$B$38:$R$67,MATCH($B$3,'ei names mapping'!$A$4:$A$33,0),MATCH(G128,'ei names mapping'!$B$3:$R$3,0))</f>
        <v>CH</v>
      </c>
      <c r="D128" s="12" t="str">
        <f>INDEX('ei names mapping'!$B$104:$R$133,MATCH(B91,'ei names mapping'!$A$104:$A$133,0),MATCH(G128,'ei names mapping'!$B$3:$R$3,0))</f>
        <v>unit</v>
      </c>
      <c r="E128" s="12"/>
      <c r="F128" s="12" t="s">
        <v>91</v>
      </c>
      <c r="G128" t="s">
        <v>151</v>
      </c>
      <c r="H128" s="12" t="str">
        <f>INDEX('ei names mapping'!$B$71:$R$100,MATCH($B$3,'ei names mapping'!$A$4:$A$33,0),MATCH(G128,'ei names mapping'!$B$3:$R$3,0))</f>
        <v>used electric bicycle</v>
      </c>
    </row>
    <row r="129" spans="1:8" x14ac:dyDescent="0.3">
      <c r="A129" s="12" t="str">
        <f>INDEX('ei names mapping'!$B$4:$R$33,MATCH($B$3,'ei names mapping'!$A$4:$A$33,0),MATCH(G129,'ei names mapping'!$B$3:$R$3,0))</f>
        <v>market for used Li-ion battery</v>
      </c>
      <c r="B129" s="14">
        <f>INDEX('vehicles specifications'!$B$3:$CK$86,MATCH(B94,'vehicles specifications'!$A$3:$A$86,0),MATCH(G129,'vehicles specifications'!$B$2:$CK$2,0))*INDEX('ei names mapping'!$B$137:$BK$220,MATCH(B94,'ei names mapping'!$A$137:$A$220,0),MATCH(G129,'ei names mapping'!$B$136:$BK$136,0))</f>
        <v>-6.5</v>
      </c>
      <c r="C129" s="12" t="str">
        <f>INDEX('ei names mapping'!$B$38:$R$67,MATCH($B$3,'ei names mapping'!$A$4:$A$33,0),MATCH(G129,'ei names mapping'!$B$3:$R$3,0))</f>
        <v>GLO</v>
      </c>
      <c r="D129" s="12" t="str">
        <f>INDEX('ei names mapping'!$B$104:$R$133,MATCH(B91,'ei names mapping'!$A$104:$A$133,0),MATCH(G129,'ei names mapping'!$B$3:$R$3,0))</f>
        <v>kilogram</v>
      </c>
      <c r="E129" s="12"/>
      <c r="F129" s="12" t="s">
        <v>91</v>
      </c>
      <c r="G129" t="s">
        <v>152</v>
      </c>
      <c r="H129" s="12" t="str">
        <f>INDEX('ei names mapping'!$B$71:$R$100,MATCH($B$3,'ei names mapping'!$A$4:$A$33,0),MATCH(G129,'ei names mapping'!$B$3:$R$3,0))</f>
        <v>used Li-ion battery</v>
      </c>
    </row>
    <row r="130" spans="1:8" s="21" customFormat="1" x14ac:dyDescent="0.3">
      <c r="A130" s="22" t="s">
        <v>468</v>
      </c>
      <c r="B130" s="21">
        <f>(B104/1000)*B116</f>
        <v>36.5</v>
      </c>
      <c r="C130" s="21" t="s">
        <v>94</v>
      </c>
      <c r="D130" s="21" t="s">
        <v>243</v>
      </c>
      <c r="F130" s="21" t="s">
        <v>91</v>
      </c>
      <c r="H130" s="22" t="s">
        <v>469</v>
      </c>
    </row>
    <row r="131" spans="1:8" s="21" customFormat="1" x14ac:dyDescent="0.3">
      <c r="A131" s="22" t="s">
        <v>467</v>
      </c>
      <c r="B131" s="2">
        <f>(B104/1000)*B115</f>
        <v>580.34999999999991</v>
      </c>
      <c r="C131" s="21" t="s">
        <v>98</v>
      </c>
      <c r="D131" s="21" t="s">
        <v>243</v>
      </c>
      <c r="F131" s="21" t="s">
        <v>91</v>
      </c>
      <c r="H131" s="22" t="s">
        <v>467</v>
      </c>
    </row>
    <row r="133" spans="1:8" ht="15.6" x14ac:dyDescent="0.3">
      <c r="A133" s="11" t="s">
        <v>72</v>
      </c>
      <c r="B133" s="9" t="str">
        <f>B135&amp;", "&amp;B137</f>
        <v>Bicycle, electric, cargo bike, 2050</v>
      </c>
    </row>
    <row r="134" spans="1:8" x14ac:dyDescent="0.3">
      <c r="A134" t="s">
        <v>73</v>
      </c>
      <c r="B134" t="s">
        <v>37</v>
      </c>
    </row>
    <row r="135" spans="1:8" x14ac:dyDescent="0.3">
      <c r="A135" t="s">
        <v>87</v>
      </c>
      <c r="B135" s="21" t="s">
        <v>524</v>
      </c>
    </row>
    <row r="136" spans="1:8" x14ac:dyDescent="0.3">
      <c r="A136" t="s">
        <v>88</v>
      </c>
      <c r="B136" s="12"/>
    </row>
    <row r="137" spans="1:8" x14ac:dyDescent="0.3">
      <c r="A137" t="s">
        <v>89</v>
      </c>
      <c r="B137" s="12">
        <v>2050</v>
      </c>
    </row>
    <row r="138" spans="1:8" x14ac:dyDescent="0.3">
      <c r="A138" t="s">
        <v>131</v>
      </c>
      <c r="B138" s="12" t="str">
        <f>B135&amp;" - "&amp;B137&amp;" - "&amp;B134</f>
        <v>Bicycle, electric, cargo bike - 2050 - CH</v>
      </c>
    </row>
    <row r="139" spans="1:8" x14ac:dyDescent="0.3">
      <c r="A139" t="s">
        <v>74</v>
      </c>
      <c r="B139" t="str">
        <f>B135</f>
        <v>Bicycle, electric, cargo bike</v>
      </c>
    </row>
    <row r="140" spans="1:8" x14ac:dyDescent="0.3">
      <c r="A140" t="s">
        <v>75</v>
      </c>
      <c r="B140" t="s">
        <v>76</v>
      </c>
    </row>
    <row r="141" spans="1:8" x14ac:dyDescent="0.3">
      <c r="A141" t="s">
        <v>77</v>
      </c>
      <c r="B141" t="s">
        <v>77</v>
      </c>
    </row>
    <row r="142" spans="1:8" x14ac:dyDescent="0.3">
      <c r="A142" t="s">
        <v>79</v>
      </c>
      <c r="B142" t="s">
        <v>90</v>
      </c>
    </row>
    <row r="143" spans="1:8" x14ac:dyDescent="0.3">
      <c r="A143" t="s">
        <v>132</v>
      </c>
      <c r="B143">
        <f>INDEX('vehicles specifications'!$B$3:$CK$86,MATCH(B138,'vehicles specifications'!$A$3:$A$86,0),MATCH("Lifetime [km]",'vehicles specifications'!$B$2:$CK$2,0))</f>
        <v>20000</v>
      </c>
    </row>
    <row r="144" spans="1:8" x14ac:dyDescent="0.3">
      <c r="A144" t="s">
        <v>133</v>
      </c>
      <c r="B144">
        <f>INDEX('vehicles specifications'!$B$3:$CK$86,MATCH(B138,'vehicles specifications'!$A$3:$A$86,0),MATCH("Passengers [unit]",'vehicles specifications'!$B$2:$CK$2,0))</f>
        <v>1</v>
      </c>
    </row>
    <row r="145" spans="1:2" x14ac:dyDescent="0.3">
      <c r="A145" t="s">
        <v>134</v>
      </c>
      <c r="B145">
        <f>INDEX('vehicles specifications'!$B$3:$CK$86,MATCH(B138,'vehicles specifications'!$A$3:$A$86,0),MATCH("Servicing [unit]",'vehicles specifications'!$B$2:$CK$2,0))</f>
        <v>5</v>
      </c>
    </row>
    <row r="146" spans="1:2" x14ac:dyDescent="0.3">
      <c r="A146" t="s">
        <v>135</v>
      </c>
      <c r="B146">
        <f>INDEX('vehicles specifications'!$B$3:$CK$86,MATCH(B138,'vehicles specifications'!$A$3:$A$86,0),MATCH("Energy battery replacement [unit]",'vehicles specifications'!$B$2:$CK$2,0))</f>
        <v>0</v>
      </c>
    </row>
    <row r="147" spans="1:2" x14ac:dyDescent="0.3">
      <c r="A147" t="s">
        <v>136</v>
      </c>
      <c r="B147">
        <f>INDEX('vehicles specifications'!$B$3:$CK$86,MATCH(B138,'vehicles specifications'!$A$3:$A$86,0),MATCH("Annual kilometers [km]",'vehicles specifications'!$B$2:$CK$2,0))</f>
        <v>2060</v>
      </c>
    </row>
    <row r="148" spans="1:2" x14ac:dyDescent="0.3">
      <c r="A148" t="s">
        <v>137</v>
      </c>
      <c r="B148">
        <f>INDEX('vehicles specifications'!$B$3:$CK$86,MATCH(B138,'vehicles specifications'!$A$3:$A$86,0),MATCH("Curb mass [kg]",'vehicles specifications'!$B$2:$CK$2,0))</f>
        <v>36.619999999999997</v>
      </c>
    </row>
    <row r="149" spans="1:2" x14ac:dyDescent="0.3">
      <c r="A149" t="s">
        <v>138</v>
      </c>
      <c r="B149">
        <f>INDEX('vehicles specifications'!$B$3:$CK$86,MATCH(B138,'vehicles specifications'!$A$3:$A$86,0),MATCH("Power [kW]",'vehicles specifications'!$B$2:$CK$2,0))</f>
        <v>0.5</v>
      </c>
    </row>
    <row r="150" spans="1:2" x14ac:dyDescent="0.3">
      <c r="A150" t="s">
        <v>139</v>
      </c>
      <c r="B150">
        <f>INDEX('vehicles specifications'!$B$3:$CK$86,MATCH(B138,'vehicles specifications'!$A$3:$A$86,0),MATCH("Energy battery mass [kg]",'vehicles specifications'!$B$2:$CK$2,0))</f>
        <v>5.9799999999999995</v>
      </c>
    </row>
    <row r="151" spans="1:2" x14ac:dyDescent="0.3">
      <c r="A151" t="s">
        <v>140</v>
      </c>
      <c r="B151">
        <f>INDEX('vehicles specifications'!$B$3:$CK$86,MATCH(B138,'vehicles specifications'!$A$3:$A$86,0),MATCH("Electric energy stored [kWh]",'vehicles specifications'!$B$2:$CK$2,0))</f>
        <v>2.2999999999999998</v>
      </c>
    </row>
    <row r="152" spans="1:2" s="21" customFormat="1" x14ac:dyDescent="0.3">
      <c r="A152" s="21" t="s">
        <v>654</v>
      </c>
      <c r="B152" s="21">
        <f>INDEX('vehicles specifications'!$B$3:$CK$86,MATCH(B138,'vehicles specifications'!$A$3:$A$86,0),MATCH("Electric energy available [kWh]",'vehicles specifications'!$B$2:$CK$2,0))</f>
        <v>1.8399999999999999</v>
      </c>
    </row>
    <row r="153" spans="1:2" x14ac:dyDescent="0.3">
      <c r="A153" t="s">
        <v>143</v>
      </c>
      <c r="B153">
        <f>INDEX('vehicles specifications'!$B$3:$CK$86,MATCH(B138,'vehicles specifications'!$A$3:$A$86,0),MATCH("Oxydation energy stored [kWh]",'vehicles specifications'!$B$2:$CK$2,0))</f>
        <v>0</v>
      </c>
    </row>
    <row r="154" spans="1:2" x14ac:dyDescent="0.3">
      <c r="A154" t="s">
        <v>145</v>
      </c>
      <c r="B154">
        <f>INDEX('vehicles specifications'!$B$3:$CK$86,MATCH(B138,'vehicles specifications'!$A$3:$A$86,0),MATCH("Fuel mass [kg]",'vehicles specifications'!$B$2:$CK$2,0))</f>
        <v>0</v>
      </c>
    </row>
    <row r="155" spans="1:2" x14ac:dyDescent="0.3">
      <c r="A155" t="s">
        <v>141</v>
      </c>
      <c r="B155" s="2">
        <f>INDEX('vehicles specifications'!$B$3:$CK$86,MATCH(B138,'vehicles specifications'!$A$3:$A$86,0),MATCH("Range [km]",'vehicles specifications'!$B$2:$CK$2,0))</f>
        <v>190.84759493670884</v>
      </c>
    </row>
    <row r="156" spans="1:2" x14ac:dyDescent="0.3">
      <c r="A156" t="s">
        <v>142</v>
      </c>
      <c r="B156" t="str">
        <f>INDEX('vehicles specifications'!$B$3:$CK$86,MATCH(B138,'vehicles specifications'!$A$3:$A$86,0),MATCH("Emission standard",'vehicles specifications'!$B$2:$CK$2,0))</f>
        <v>None</v>
      </c>
    </row>
    <row r="157" spans="1:2" x14ac:dyDescent="0.3">
      <c r="A157" t="s">
        <v>144</v>
      </c>
      <c r="B157" s="6">
        <f>INDEX('vehicles specifications'!$B$3:$CK$86,MATCH(B138,'vehicles specifications'!$A$3:$A$86,0),MATCH("Lightweighting rate [%]",'vehicles specifications'!$B$2:$CK$2,0))</f>
        <v>7.0000000000000007E-2</v>
      </c>
    </row>
    <row r="158" spans="1:2" s="21" customFormat="1" x14ac:dyDescent="0.3">
      <c r="A158" s="21" t="s">
        <v>513</v>
      </c>
      <c r="B158" s="6" t="s">
        <v>514</v>
      </c>
    </row>
    <row r="159" spans="1:2" s="21" customFormat="1" x14ac:dyDescent="0.3">
      <c r="A159" s="21" t="s">
        <v>515</v>
      </c>
      <c r="B159" s="2">
        <v>15900</v>
      </c>
    </row>
    <row r="160" spans="1:2" s="21" customFormat="1" x14ac:dyDescent="0.3">
      <c r="A160" s="21" t="s">
        <v>516</v>
      </c>
      <c r="B160" s="2">
        <v>1000</v>
      </c>
    </row>
    <row r="161" spans="1:8" s="21" customFormat="1" x14ac:dyDescent="0.3">
      <c r="A161" s="21" t="s">
        <v>84</v>
      </c>
      <c r="B161" s="21" t="str">
        <f>"Power: "&amp;B149&amp;" kW. Lifetime: "&amp;B143&amp;" km. Annual kilometers: "&amp;ROUND(B147,0)&amp;" km. Number of passengers: "&amp;ROUND(B144,1)&amp;". Curb mass: "&amp;ROUND(B148,1)&amp;" kg. Lightweighting of glider: "&amp;ROUND(B157*100,0)&amp;"%. Emission standard: "&amp;B156&amp;". Service visits throughout lifetime: "&amp;ROUND(B145,1)&amp;". Range: "&amp;ROUND(B155,0)&amp;" km. Battery capacity: "&amp;ROUND(B151,1)&amp;" kWh. Available battery capacity: "&amp;B152&amp;" kWh. Battery mass: "&amp;ROUND(B150,1)&amp; " kg. Battery replacement throughout lifetime: "&amp;ROUND(B146,1)&amp;". Fuel tank capacity: "&amp;ROUND(B153,1)&amp;" kWh. Fuel mass: "&amp;ROUND(B154,1)&amp;" kg. Origin of manufacture: "&amp;B158&amp;". Shipping distance: "&amp;B159&amp;" km. Lorry distribution distance: "&amp;B160&amp;" km. Documentation: "&amp;Readmefirst!$B$2&amp;", "&amp;Readmefirst!$B$3&amp;". "&amp;'lci-kick scooter'!B142</f>
        <v>Power: 0.5 kW. Lifetime: 20000 km. Annual kilometers: 2060 km. Number of passengers: 1. Curb mass: 36.6 kg. Lightweighting of glider: 7%. Emission standard: None. Service visits throughout lifetime: 5. Range: 191 km. Battery capacity: 2.3 kWh. Available battery capacity: 1.84 kWh. Battery mass: 6 kg. Battery replacement throughout lifetime: 0. Fuel tank capacity: 0 kWh. Fuel mass: 0 kg. Origin of manufacture: China. Shipping distance: 15900 km. Lorry distribution distance: 1000 km. Documentation: 2021 UVEK life-cycle inventories update of on-road vehicles, Sacchi R. (PSI), Bauer C. (PSI), 2021. 1785</v>
      </c>
    </row>
    <row r="162" spans="1:8" ht="15.6" x14ac:dyDescent="0.3">
      <c r="A162" s="11" t="s">
        <v>80</v>
      </c>
    </row>
    <row r="163" spans="1:8" x14ac:dyDescent="0.3">
      <c r="A163" t="s">
        <v>81</v>
      </c>
      <c r="B163" t="s">
        <v>82</v>
      </c>
      <c r="C163" t="s">
        <v>73</v>
      </c>
      <c r="D163" t="s">
        <v>77</v>
      </c>
      <c r="E163" t="s">
        <v>83</v>
      </c>
      <c r="F163" t="s">
        <v>75</v>
      </c>
      <c r="G163" t="s">
        <v>84</v>
      </c>
      <c r="H163" t="s">
        <v>74</v>
      </c>
    </row>
    <row r="164" spans="1:8" x14ac:dyDescent="0.3">
      <c r="A164" s="12" t="str">
        <f>B133</f>
        <v>Bicycle, electric, cargo bike, 2050</v>
      </c>
      <c r="B164" s="12">
        <v>1</v>
      </c>
      <c r="C164" s="12" t="str">
        <f>B134</f>
        <v>CH</v>
      </c>
      <c r="D164" s="12" t="str">
        <f>B141</f>
        <v>unit</v>
      </c>
      <c r="E164" s="12"/>
      <c r="F164" s="12" t="s">
        <v>85</v>
      </c>
      <c r="G164" s="12" t="s">
        <v>86</v>
      </c>
      <c r="H164" s="12" t="str">
        <f>B135</f>
        <v>Bicycle, electric, cargo bike</v>
      </c>
    </row>
    <row r="165" spans="1:8" x14ac:dyDescent="0.3">
      <c r="A165" s="12" t="str">
        <f>INDEX('ei names mapping'!$B$4:$R$33,MATCH($B$3,'ei names mapping'!$A$4:$A$33,0),MATCH(G165,'ei names mapping'!$B$3:$R$3,0))</f>
        <v>electric bicycle production, without battery and motor</v>
      </c>
      <c r="B165" s="14">
        <f>INDEX('vehicles specifications'!$B$3:$CK$86,MATCH(B138,'vehicles specifications'!$A$3:$A$86,0),MATCH(G165,'vehicles specifications'!$B$2:$CK$2,0))*INDEX('ei names mapping'!$B$137:$BK$220,MATCH(B138,'ei names mapping'!$A$137:$A$220,0),MATCH(G165,'ei names mapping'!$B$136:$BK$136,0))</f>
        <v>1.6470588235294117</v>
      </c>
      <c r="C165" s="12" t="str">
        <f>INDEX('ei names mapping'!$B$38:$R$67,MATCH($B$3,'ei names mapping'!$A$4:$A$33,0),MATCH(G165,'ei names mapping'!$B$3:$R$3,0))</f>
        <v>RER</v>
      </c>
      <c r="D165" s="12" t="str">
        <f>INDEX('ei names mapping'!$B$104:$R$133,MATCH(B135,'ei names mapping'!$A$104:$A$133,0),MATCH(G165,'ei names mapping'!$B$3:$R$3,0))</f>
        <v>unit</v>
      </c>
      <c r="E165" s="12"/>
      <c r="F165" s="12" t="s">
        <v>91</v>
      </c>
      <c r="G165" s="21" t="s">
        <v>15</v>
      </c>
      <c r="H165" s="12" t="str">
        <f>INDEX('ei names mapping'!$B$71:$R$100,MATCH($B$3,'ei names mapping'!$A$4:$A$33,0),MATCH(G165,'ei names mapping'!$B$3:$R$3,0))</f>
        <v>electric bicycle, without battery and motor</v>
      </c>
    </row>
    <row r="166" spans="1:8" x14ac:dyDescent="0.3">
      <c r="A166" s="12" t="str">
        <f>INDEX('ei names mapping'!$B$4:$R$33,MATCH($B$3,'ei names mapping'!$A$4:$A$33,0),MATCH(G166,'ei names mapping'!$B$3:$R$3,0))</f>
        <v>market for electric motor, vehicle</v>
      </c>
      <c r="B166" s="14">
        <f>INDEX('vehicles specifications'!$B$3:$CK$86,MATCH(B138,'vehicles specifications'!$A$3:$A$86,0),MATCH(G166,'vehicles specifications'!$B$2:$CK$2,0))*INDEX('ei names mapping'!$B$137:$BK$220,MATCH(B138,'ei names mapping'!$A$137:$A$220,0),MATCH(G166,'ei names mapping'!$B$136:$BK$136,0))</f>
        <v>4.5999999999999996</v>
      </c>
      <c r="C166" s="12" t="str">
        <f>INDEX('ei names mapping'!$B$38:$R$67,MATCH($B$3,'ei names mapping'!$A$4:$A$33,0),MATCH(G166,'ei names mapping'!$B$3:$R$3,0))</f>
        <v>GLO</v>
      </c>
      <c r="D166" s="12" t="str">
        <f>INDEX('ei names mapping'!$B$104:$R$133,MATCH(B135,'ei names mapping'!$A$104:$A$133,0),MATCH(G166,'ei names mapping'!$B$3:$R$3,0))</f>
        <v>kilogram</v>
      </c>
      <c r="E166" s="12"/>
      <c r="F166" s="12" t="s">
        <v>91</v>
      </c>
      <c r="G166" t="s">
        <v>557</v>
      </c>
      <c r="H166" s="12" t="str">
        <f>INDEX('ei names mapping'!$B$71:$R$100,MATCH($B$3,'ei names mapping'!$A$4:$A$33,0),MATCH(G166,'ei names mapping'!$B$3:$R$3,0))</f>
        <v>electric motor, vehicle</v>
      </c>
    </row>
    <row r="167" spans="1:8" s="21" customFormat="1" x14ac:dyDescent="0.3">
      <c r="A167" s="12" t="str">
        <f>INDEX('ei names mapping'!$B$4:$R$33,MATCH(B135,'ei names mapping'!$A$4:$A$33,0),MATCH(G167,'ei names mapping'!$B$3:$R$3,0))</f>
        <v>glider lightweighting</v>
      </c>
      <c r="B167" s="16">
        <f>INDEX('vehicles specifications'!$B$3:$CK$86,MATCH(B138,'vehicles specifications'!$A$3:$A$86,0),MATCH(G167,'vehicles specifications'!$B$2:$CK$2,0))*INDEX('ei names mapping'!$B$137:$BK$220,MATCH(B138,'ei names mapping'!$A$137:$A$220,0),MATCH(G167,'ei names mapping'!$B$136:$BK$136,0))</f>
        <v>1.9600000000000002</v>
      </c>
      <c r="C167" s="12" t="str">
        <f>INDEX('ei names mapping'!$B$38:$R$67,MATCH(B135,'ei names mapping'!$A$4:$A$33,0),MATCH(G167,'ei names mapping'!$B$3:$R$3,0))</f>
        <v>GLO</v>
      </c>
      <c r="D167" s="12" t="str">
        <f>INDEX('ei names mapping'!$B$104:$R$133,MATCH(B135,'ei names mapping'!$A$104:$A$133,0),MATCH(G167,'ei names mapping'!$B$3:$R$3,0))</f>
        <v>kilogram</v>
      </c>
      <c r="E167" s="12"/>
      <c r="F167" s="12" t="s">
        <v>91</v>
      </c>
      <c r="G167" s="21" t="s">
        <v>14</v>
      </c>
      <c r="H167" s="12" t="str">
        <f>INDEX('ei names mapping'!$B$71:$R$100,MATCH(B135,'ei names mapping'!$A$4:$A$33,0),MATCH(G167,'ei names mapping'!$B$3:$R$3,0))</f>
        <v>glider lightweighting</v>
      </c>
    </row>
    <row r="168" spans="1:8" x14ac:dyDescent="0.3">
      <c r="A168" s="12" t="str">
        <f>INDEX('ei names mapping'!$B$4:$R$33,MATCH($B$3,'ei names mapping'!$A$4:$A$33,0),MATCH(G168,'ei names mapping'!$B$3:$R$3,0))</f>
        <v>Battery cell, NMC</v>
      </c>
      <c r="B168" s="14">
        <f>INDEX('vehicles specifications'!$B$3:$CK$86,MATCH(B138,'vehicles specifications'!$A$3:$A$86,0),MATCH(G168,'vehicles specifications'!$B$2:$CK$2,0))*INDEX('ei names mapping'!$B$137:$BK$220,MATCH(B138,'ei names mapping'!$A$137:$A$220,0),MATCH(G168,'ei names mapping'!$B$136:$BK$136,0))</f>
        <v>4.5999999999999996</v>
      </c>
      <c r="C168" s="12" t="str">
        <f>INDEX('ei names mapping'!$B$38:$R$67,MATCH($B$3,'ei names mapping'!$A$4:$A$33,0),MATCH(G168,'ei names mapping'!$B$3:$R$3,0))</f>
        <v>GLO</v>
      </c>
      <c r="D168" s="12" t="str">
        <f>INDEX('ei names mapping'!$B$104:$R$133,MATCH(B135,'ei names mapping'!$A$104:$A$133,0),MATCH(G168,'ei names mapping'!$B$3:$R$3,0))</f>
        <v>kilogram</v>
      </c>
      <c r="E168" s="12"/>
      <c r="F168" s="12" t="s">
        <v>91</v>
      </c>
      <c r="G168" t="s">
        <v>19</v>
      </c>
      <c r="H168" s="12" t="str">
        <f>INDEX('ei names mapping'!$B$71:$R$100,MATCH($B$3,'ei names mapping'!$A$4:$A$33,0),MATCH(G168,'ei names mapping'!$B$3:$R$3,0))</f>
        <v>Battery cell</v>
      </c>
    </row>
    <row r="169" spans="1:8" x14ac:dyDescent="0.3">
      <c r="A169" s="12" t="str">
        <f>INDEX('ei names mapping'!$B$4:$R$33,MATCH($B$3,'ei names mapping'!$A$4:$A$33,0),MATCH(G169,'ei names mapping'!$B$3:$R$3,0))</f>
        <v>Battery BoP</v>
      </c>
      <c r="B169" s="14">
        <f>INDEX('vehicles specifications'!$B$3:$CK$86,MATCH(B138,'vehicles specifications'!$A$3:$A$86,0),MATCH(G169,'vehicles specifications'!$B$2:$CK$2,0))*INDEX('ei names mapping'!$B$137:$BK$220,MATCH(B138,'ei names mapping'!$A$137:$A$220,0),MATCH(G169,'ei names mapping'!$B$136:$BK$136,0))</f>
        <v>1.38</v>
      </c>
      <c r="C169" s="12" t="str">
        <f>INDEX('ei names mapping'!$B$38:$R$67,MATCH($B$3,'ei names mapping'!$A$4:$A$33,0),MATCH(G169,'ei names mapping'!$B$3:$R$3,0))</f>
        <v>GLO</v>
      </c>
      <c r="D169" s="12" t="str">
        <f>INDEX('ei names mapping'!$B$104:$R$133,MATCH(B135,'ei names mapping'!$A$104:$A$133,0),MATCH(G169,'ei names mapping'!$B$3:$R$3,0))</f>
        <v>kilogram</v>
      </c>
      <c r="E169" s="12"/>
      <c r="F169" s="12" t="s">
        <v>91</v>
      </c>
      <c r="G169" t="s">
        <v>20</v>
      </c>
      <c r="H169" s="12" t="str">
        <f>INDEX('ei names mapping'!$B$71:$R$100,MATCH($B$3,'ei names mapping'!$A$4:$A$33,0),MATCH(G169,'ei names mapping'!$B$3:$R$3,0))</f>
        <v>Battery BoP</v>
      </c>
    </row>
    <row r="170" spans="1:8" x14ac:dyDescent="0.3">
      <c r="A170" s="12" t="str">
        <f>INDEX('ei names mapping'!$B$4:$R$33,MATCH($B$3,'ei names mapping'!$A$4:$A$33,0),MATCH(G170,'ei names mapping'!$B$3:$R$3,0))</f>
        <v>charging station, 500W</v>
      </c>
      <c r="B170" s="14">
        <f>INDEX('vehicles specifications'!$B$3:$CK$86,MATCH(B138,'vehicles specifications'!$A$3:$A$86,0),MATCH(G170,'vehicles specifications'!$B$2:$CK$2,0))*INDEX('ei names mapping'!$B$137:$BK$220,MATCH(B138,'ei names mapping'!$A$137:$A$220,0),MATCH(G170,'ei names mapping'!$B$136:$BK$136,0))</f>
        <v>1</v>
      </c>
      <c r="C170" s="12" t="str">
        <f>INDEX('ei names mapping'!$B$38:$R$67,MATCH($B$3,'ei names mapping'!$A$4:$A$33,0),MATCH(G170,'ei names mapping'!$B$3:$R$3,0))</f>
        <v>GLO</v>
      </c>
      <c r="D170" s="12" t="str">
        <f>INDEX('ei names mapping'!$B$104:$R$133,MATCH(B135,'ei names mapping'!$A$104:$A$133,0),MATCH(G170,'ei names mapping'!$B$3:$R$3,0))</f>
        <v>unit</v>
      </c>
      <c r="E170" s="12"/>
      <c r="F170" s="12" t="s">
        <v>91</v>
      </c>
      <c r="G170" t="s">
        <v>53</v>
      </c>
      <c r="H170" s="12" t="str">
        <f>INDEX('ei names mapping'!$B$71:$R$100,MATCH($B$3,'ei names mapping'!$A$4:$A$33,0),MATCH(G170,'ei names mapping'!$B$3:$R$3,0))</f>
        <v>charging station, 500W</v>
      </c>
    </row>
    <row r="171" spans="1:8" x14ac:dyDescent="0.3">
      <c r="A171" s="12" t="str">
        <f>INDEX('ei names mapping'!$B$4:$R$33,MATCH($B$3,'ei names mapping'!$A$4:$A$33,0),MATCH(G171,'ei names mapping'!$B$3:$R$3,0))</f>
        <v>treatment of used electric bicycle</v>
      </c>
      <c r="B171" s="14">
        <f>INDEX('vehicles specifications'!$B$3:$CK$86,MATCH(B138,'vehicles specifications'!$A$3:$A$86,0),MATCH(G171,'vehicles specifications'!$B$2:$CK$2,0))*INDEX('ei names mapping'!$B$137:$BK$220,MATCH(B138,'ei names mapping'!$A$137:$A$220,0),MATCH(G171,'ei names mapping'!$B$136:$BK$136,0))</f>
        <v>-1.085</v>
      </c>
      <c r="C171" s="12" t="str">
        <f>INDEX('ei names mapping'!$B$38:$R$67,MATCH($B$3,'ei names mapping'!$A$4:$A$33,0),MATCH(G171,'ei names mapping'!$B$3:$R$3,0))</f>
        <v>CH</v>
      </c>
      <c r="D171" s="12" t="str">
        <f>INDEX('ei names mapping'!$B$104:$R$133,MATCH(B135,'ei names mapping'!$A$104:$A$133,0),MATCH(G171,'ei names mapping'!$B$3:$R$3,0))</f>
        <v>unit</v>
      </c>
      <c r="E171" s="12"/>
      <c r="F171" s="12" t="s">
        <v>91</v>
      </c>
      <c r="G171" t="s">
        <v>150</v>
      </c>
      <c r="H171" s="12" t="str">
        <f>INDEX('ei names mapping'!$B$71:$R$100,MATCH($B$3,'ei names mapping'!$A$4:$A$33,0),MATCH(G171,'ei names mapping'!$B$3:$R$3,0))</f>
        <v>used electric bicycle</v>
      </c>
    </row>
    <row r="172" spans="1:8" x14ac:dyDescent="0.3">
      <c r="A172" s="12" t="str">
        <f>INDEX('ei names mapping'!$B$4:$R$33,MATCH($B$3,'ei names mapping'!$A$4:$A$33,0),MATCH(G172,'ei names mapping'!$B$3:$R$3,0))</f>
        <v>treatment of used electric bicycle</v>
      </c>
      <c r="B172" s="14">
        <f>INDEX('vehicles specifications'!$B$3:$CK$86,MATCH(B138,'vehicles specifications'!$A$3:$A$86,0),MATCH(G172,'vehicles specifications'!$B$2:$CK$2,0))*INDEX('ei names mapping'!$B$137:$BK$220,MATCH(B138,'ei names mapping'!$A$137:$A$220,0),MATCH(G172,'ei names mapping'!$B$136:$BK$136,0))</f>
        <v>-0.19166666666666665</v>
      </c>
      <c r="C172" s="12" t="str">
        <f>INDEX('ei names mapping'!$B$38:$R$67,MATCH($B$3,'ei names mapping'!$A$4:$A$33,0),MATCH(G172,'ei names mapping'!$B$3:$R$3,0))</f>
        <v>CH</v>
      </c>
      <c r="D172" s="12" t="str">
        <f>INDEX('ei names mapping'!$B$104:$R$133,MATCH(B135,'ei names mapping'!$A$104:$A$133,0),MATCH(G172,'ei names mapping'!$B$3:$R$3,0))</f>
        <v>unit</v>
      </c>
      <c r="E172" s="12"/>
      <c r="F172" s="12" t="s">
        <v>91</v>
      </c>
      <c r="G172" t="s">
        <v>151</v>
      </c>
      <c r="H172" s="12" t="str">
        <f>INDEX('ei names mapping'!$B$71:$R$100,MATCH($B$3,'ei names mapping'!$A$4:$A$33,0),MATCH(G172,'ei names mapping'!$B$3:$R$3,0))</f>
        <v>used electric bicycle</v>
      </c>
    </row>
    <row r="173" spans="1:8" x14ac:dyDescent="0.3">
      <c r="A173" s="12" t="str">
        <f>INDEX('ei names mapping'!$B$4:$R$33,MATCH($B$3,'ei names mapping'!$A$4:$A$33,0),MATCH(G173,'ei names mapping'!$B$3:$R$3,0))</f>
        <v>market for used Li-ion battery</v>
      </c>
      <c r="B173" s="14">
        <f>INDEX('vehicles specifications'!$B$3:$CK$86,MATCH(B138,'vehicles specifications'!$A$3:$A$86,0),MATCH(G173,'vehicles specifications'!$B$2:$CK$2,0))*INDEX('ei names mapping'!$B$137:$BK$220,MATCH(B138,'ei names mapping'!$A$137:$A$220,0),MATCH(G173,'ei names mapping'!$B$136:$BK$136,0))</f>
        <v>-5.9799999999999995</v>
      </c>
      <c r="C173" s="12" t="str">
        <f>INDEX('ei names mapping'!$B$38:$R$67,MATCH($B$3,'ei names mapping'!$A$4:$A$33,0),MATCH(G173,'ei names mapping'!$B$3:$R$3,0))</f>
        <v>GLO</v>
      </c>
      <c r="D173" s="12" t="str">
        <f>INDEX('ei names mapping'!$B$104:$R$133,MATCH(B135,'ei names mapping'!$A$104:$A$133,0),MATCH(G173,'ei names mapping'!$B$3:$R$3,0))</f>
        <v>kilogram</v>
      </c>
      <c r="E173" s="12"/>
      <c r="F173" s="12" t="s">
        <v>91</v>
      </c>
      <c r="G173" t="s">
        <v>152</v>
      </c>
      <c r="H173" s="12" t="str">
        <f>INDEX('ei names mapping'!$B$71:$R$100,MATCH($B$3,'ei names mapping'!$A$4:$A$33,0),MATCH(G173,'ei names mapping'!$B$3:$R$3,0))</f>
        <v>used Li-ion battery</v>
      </c>
    </row>
    <row r="174" spans="1:8" s="21" customFormat="1" x14ac:dyDescent="0.3">
      <c r="A174" s="22" t="s">
        <v>468</v>
      </c>
      <c r="B174" s="21">
        <f>(B148/1000)*B160</f>
        <v>36.619999999999997</v>
      </c>
      <c r="C174" s="21" t="s">
        <v>94</v>
      </c>
      <c r="D174" s="21" t="s">
        <v>243</v>
      </c>
      <c r="F174" s="21" t="s">
        <v>91</v>
      </c>
      <c r="H174" s="22" t="s">
        <v>469</v>
      </c>
    </row>
    <row r="175" spans="1:8" s="21" customFormat="1" x14ac:dyDescent="0.3">
      <c r="A175" s="22" t="s">
        <v>467</v>
      </c>
      <c r="B175" s="2">
        <f>(B148/1000)*B159</f>
        <v>582.25800000000004</v>
      </c>
      <c r="C175" s="21" t="s">
        <v>98</v>
      </c>
      <c r="D175" s="21" t="s">
        <v>243</v>
      </c>
      <c r="F175" s="21" t="s">
        <v>91</v>
      </c>
      <c r="H175" s="22" t="s">
        <v>467</v>
      </c>
    </row>
    <row r="177" spans="1:2" ht="15.6" x14ac:dyDescent="0.3">
      <c r="A177" s="11" t="s">
        <v>72</v>
      </c>
      <c r="B177" s="9" t="str">
        <f>"transport, "&amp;B179&amp;", "&amp;B181</f>
        <v>transport, Bicycle, electric, cargo bike, 2020</v>
      </c>
    </row>
    <row r="178" spans="1:2" x14ac:dyDescent="0.3">
      <c r="A178" t="s">
        <v>73</v>
      </c>
      <c r="B178" t="s">
        <v>37</v>
      </c>
    </row>
    <row r="179" spans="1:2" x14ac:dyDescent="0.3">
      <c r="A179" t="s">
        <v>87</v>
      </c>
      <c r="B179" s="21" t="s">
        <v>524</v>
      </c>
    </row>
    <row r="180" spans="1:2" x14ac:dyDescent="0.3">
      <c r="A180" t="s">
        <v>88</v>
      </c>
      <c r="B180" s="12"/>
    </row>
    <row r="181" spans="1:2" x14ac:dyDescent="0.3">
      <c r="A181" t="s">
        <v>89</v>
      </c>
      <c r="B181" s="12">
        <v>2020</v>
      </c>
    </row>
    <row r="182" spans="1:2" x14ac:dyDescent="0.3">
      <c r="A182" t="s">
        <v>131</v>
      </c>
      <c r="B182" s="12" t="str">
        <f>B179&amp;" - "&amp;B181&amp;" - "&amp;B178</f>
        <v>Bicycle, electric, cargo bike - 2020 - CH</v>
      </c>
    </row>
    <row r="183" spans="1:2" x14ac:dyDescent="0.3">
      <c r="A183" t="s">
        <v>74</v>
      </c>
      <c r="B183" s="12" t="str">
        <f>"transport, "&amp;B179</f>
        <v>transport, Bicycle, electric, cargo bike</v>
      </c>
    </row>
    <row r="184" spans="1:2" x14ac:dyDescent="0.3">
      <c r="A184" t="s">
        <v>75</v>
      </c>
      <c r="B184" t="s">
        <v>76</v>
      </c>
    </row>
    <row r="185" spans="1:2" x14ac:dyDescent="0.3">
      <c r="A185" t="s">
        <v>77</v>
      </c>
      <c r="B185" t="s">
        <v>172</v>
      </c>
    </row>
    <row r="186" spans="1:2" x14ac:dyDescent="0.3">
      <c r="A186" t="s">
        <v>79</v>
      </c>
      <c r="B186" t="s">
        <v>90</v>
      </c>
    </row>
    <row r="187" spans="1:2" x14ac:dyDescent="0.3">
      <c r="A187" t="s">
        <v>132</v>
      </c>
      <c r="B187">
        <f>INDEX('vehicles specifications'!$B$3:$CK$86,MATCH(B182,'vehicles specifications'!$A$3:$A$86,0),MATCH("Lifetime [km]",'vehicles specifications'!$B$2:$CK$2,0))</f>
        <v>20000</v>
      </c>
    </row>
    <row r="188" spans="1:2" x14ac:dyDescent="0.3">
      <c r="A188" t="s">
        <v>133</v>
      </c>
      <c r="B188">
        <f>INDEX('vehicles specifications'!$B$3:$CK$86,MATCH(B182,'vehicles specifications'!$A$3:$A$86,0),MATCH("Passengers [unit]",'vehicles specifications'!$B$2:$CK$2,0))</f>
        <v>1</v>
      </c>
    </row>
    <row r="189" spans="1:2" x14ac:dyDescent="0.3">
      <c r="A189" t="s">
        <v>134</v>
      </c>
      <c r="B189">
        <f>INDEX('vehicles specifications'!$B$3:$CK$86,MATCH(B182,'vehicles specifications'!$A$3:$A$86,0),MATCH("Servicing [unit]",'vehicles specifications'!$B$2:$CK$2,0))</f>
        <v>5</v>
      </c>
    </row>
    <row r="190" spans="1:2" x14ac:dyDescent="0.3">
      <c r="A190" t="s">
        <v>135</v>
      </c>
      <c r="B190">
        <f>INDEX('vehicles specifications'!$B$3:$CK$86,MATCH(B182,'vehicles specifications'!$A$3:$A$86,0),MATCH("Energy battery replacement [unit]",'vehicles specifications'!$B$2:$CK$2,0))</f>
        <v>1</v>
      </c>
    </row>
    <row r="191" spans="1:2" x14ac:dyDescent="0.3">
      <c r="A191" t="s">
        <v>136</v>
      </c>
      <c r="B191">
        <f>INDEX('vehicles specifications'!$B$3:$CK$86,MATCH(B182,'vehicles specifications'!$A$3:$A$86,0),MATCH("Annual kilometers [km]",'vehicles specifications'!$B$2:$CK$2,0))</f>
        <v>2060</v>
      </c>
    </row>
    <row r="192" spans="1:2" x14ac:dyDescent="0.3">
      <c r="A192" t="s">
        <v>137</v>
      </c>
      <c r="B192">
        <f>INDEX('vehicles specifications'!$B$3:$CK$86,MATCH(B182,'vehicles specifications'!$A$3:$A$86,0),MATCH("Curb mass [kg]",'vehicles specifications'!$B$2:$CK$2,0))</f>
        <v>36.9</v>
      </c>
    </row>
    <row r="193" spans="1:8" x14ac:dyDescent="0.3">
      <c r="A193" t="s">
        <v>138</v>
      </c>
      <c r="B193">
        <f>INDEX('vehicles specifications'!$B$3:$CK$86,MATCH(B182,'vehicles specifications'!$A$3:$A$86,0),MATCH("Power [kW]",'vehicles specifications'!$B$2:$CK$2,0))</f>
        <v>0.5</v>
      </c>
    </row>
    <row r="194" spans="1:8" x14ac:dyDescent="0.3">
      <c r="A194" t="s">
        <v>139</v>
      </c>
      <c r="B194">
        <f>INDEX('vehicles specifications'!$B$3:$CK$86,MATCH(B182,'vehicles specifications'!$A$3:$A$86,0),MATCH("Energy battery mass [kg]",'vehicles specifications'!$B$2:$CK$2,0))</f>
        <v>3.8999999999999995</v>
      </c>
    </row>
    <row r="195" spans="1:8" x14ac:dyDescent="0.3">
      <c r="A195" t="s">
        <v>140</v>
      </c>
      <c r="B195">
        <f>INDEX('vehicles specifications'!$B$3:$CK$86,MATCH(B182,'vehicles specifications'!$A$3:$A$86,0),MATCH("Electric energy stored [kWh]",'vehicles specifications'!$B$2:$CK$2,0))</f>
        <v>0.6</v>
      </c>
    </row>
    <row r="196" spans="1:8" s="21" customFormat="1" x14ac:dyDescent="0.3">
      <c r="A196" s="21" t="s">
        <v>654</v>
      </c>
      <c r="B196" s="21">
        <f>INDEX('vehicles specifications'!$B$3:$CK$86,MATCH(B182,'vehicles specifications'!$A$3:$A$86,0),MATCH("Electric energy available [kWh]",'vehicles specifications'!$B$2:$CK$2,0))</f>
        <v>0.48</v>
      </c>
    </row>
    <row r="197" spans="1:8" x14ac:dyDescent="0.3">
      <c r="A197" t="s">
        <v>143</v>
      </c>
      <c r="B197">
        <f>INDEX('vehicles specifications'!$B$3:$CK$86,MATCH(B182,'vehicles specifications'!$A$3:$A$86,0),MATCH("Oxydation energy stored [kWh]",'vehicles specifications'!$B$2:$CK$2,0))</f>
        <v>0</v>
      </c>
    </row>
    <row r="198" spans="1:8" x14ac:dyDescent="0.3">
      <c r="A198" t="s">
        <v>145</v>
      </c>
      <c r="B198">
        <f>INDEX('vehicles specifications'!$B$3:$CK$86,MATCH(B182,'vehicles specifications'!$A$3:$A$86,0),MATCH("Fuel mass [kg]",'vehicles specifications'!$B$2:$CK$2,0))</f>
        <v>0</v>
      </c>
    </row>
    <row r="199" spans="1:8" x14ac:dyDescent="0.3">
      <c r="A199" t="s">
        <v>141</v>
      </c>
      <c r="B199">
        <f>INDEX('vehicles specifications'!$B$3:$CK$86,MATCH(B182,'vehicles specifications'!$A$3:$A$86,0),MATCH("Range [km]",'vehicles specifications'!$B$2:$CK$2,0))</f>
        <v>49.786329113924047</v>
      </c>
    </row>
    <row r="200" spans="1:8" x14ac:dyDescent="0.3">
      <c r="A200" t="s">
        <v>142</v>
      </c>
      <c r="B200" t="str">
        <f>INDEX('vehicles specifications'!$B$3:$CK$86,MATCH(B182,'vehicles specifications'!$A$3:$A$86,0),MATCH("Emission standard",'vehicles specifications'!$B$2:$CK$2,0))</f>
        <v>None</v>
      </c>
    </row>
    <row r="201" spans="1:8" x14ac:dyDescent="0.3">
      <c r="A201" t="s">
        <v>144</v>
      </c>
      <c r="B201" s="6">
        <f>INDEX('vehicles specifications'!$B$3:$CK$86,MATCH(B182,'vehicles specifications'!$A$3:$A$86,0),MATCH("Lightweighting rate [%]",'vehicles specifications'!$B$2:$CK$2,0))</f>
        <v>0</v>
      </c>
    </row>
    <row r="202" spans="1:8" x14ac:dyDescent="0.3">
      <c r="A202" t="s">
        <v>84</v>
      </c>
      <c r="B202" s="21" t="str">
        <f>"Power: "&amp;B193&amp;" kW. Lifetime: "&amp;B187&amp;" km. Annual kilometers: "&amp;B191&amp;" km. Number of passengers: "&amp;B188&amp;". Curb mass: "&amp;ROUND(B192,1)&amp;" kg. Lightweighting of glider: "&amp;ROUND(B201*100,0)&amp;"%. Emission standard: "&amp;B200&amp;". Service visits throughout lifetime: "&amp;ROUND(B189,1)&amp;". Range: "&amp;ROUND(B199,0)&amp;" km. Battery capacity: "&amp;ROUND(B195,1)&amp;" kWh. Available battery capacity: "&amp;B196&amp;" kWh. Battery mass: "&amp;ROUND(B194,1)&amp; " kg. Battery replacement throughout lifetime: "&amp;ROUND(B190,1)&amp;". Fuel tank capacity: "&amp;ROUND(B197,1)&amp;" kWh. Fuel mass: "&amp;ROUND(B198,1)&amp;" kg. Documentation: "&amp;Readmefirst!$B$2&amp;", "&amp;Readmefirst!$B$3&amp;". "&amp;B186</f>
        <v>Power: 0.5 kW. Lifetime: 20000 km. Annual kilometers: 2060 km. Number of passengers: 1. Curb mass: 36.9 kg. Lightweighting of glider: 0%. Emission standard: None. Service visits throughout lifetime: 5. Range: 50 km. Battery capacity: 0.6 kWh. Available battery capacity: 0.48 kWh. Battery mass: 3.9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03" spans="1:8" ht="15.6" x14ac:dyDescent="0.3">
      <c r="A203" s="11" t="s">
        <v>80</v>
      </c>
    </row>
    <row r="204" spans="1:8" x14ac:dyDescent="0.3">
      <c r="A204" t="s">
        <v>81</v>
      </c>
      <c r="B204" t="s">
        <v>82</v>
      </c>
      <c r="C204" t="s">
        <v>73</v>
      </c>
      <c r="D204" t="s">
        <v>77</v>
      </c>
      <c r="E204" t="s">
        <v>83</v>
      </c>
      <c r="F204" t="s">
        <v>75</v>
      </c>
      <c r="G204" t="s">
        <v>84</v>
      </c>
      <c r="H204" t="s">
        <v>74</v>
      </c>
    </row>
    <row r="205" spans="1:8" x14ac:dyDescent="0.3">
      <c r="A205" s="12" t="str">
        <f>B177</f>
        <v>transport, Bicycle, electric, cargo bike, 2020</v>
      </c>
      <c r="B205" s="12">
        <v>1</v>
      </c>
      <c r="C205" s="12" t="str">
        <f>B178</f>
        <v>CH</v>
      </c>
      <c r="D205" s="12" t="s">
        <v>172</v>
      </c>
      <c r="E205" s="12"/>
      <c r="F205" s="12" t="s">
        <v>85</v>
      </c>
      <c r="G205" s="12" t="s">
        <v>86</v>
      </c>
      <c r="H205" s="12" t="str">
        <f>B183</f>
        <v>transport, Bicycle, electric, cargo bike</v>
      </c>
    </row>
    <row r="206" spans="1:8" x14ac:dyDescent="0.3">
      <c r="A206" s="12" t="str">
        <f>RIGHT(A205,LEN(A205)-11)</f>
        <v>Bicycle, electric, cargo bike, 2020</v>
      </c>
      <c r="B206" s="12">
        <f>1/B187</f>
        <v>5.0000000000000002E-5</v>
      </c>
      <c r="C206" s="12" t="str">
        <f>B178</f>
        <v>CH</v>
      </c>
      <c r="D206" s="12" t="s">
        <v>77</v>
      </c>
      <c r="E206" s="12"/>
      <c r="F206" s="12" t="s">
        <v>91</v>
      </c>
      <c r="G206" s="12"/>
      <c r="H206" s="12" t="str">
        <f>RIGHT(H205,LEN(H205)-11)</f>
        <v>Bicycle, electric, cargo bike</v>
      </c>
    </row>
    <row r="207" spans="1:8" s="21" customFormat="1" x14ac:dyDescent="0.3">
      <c r="A207" s="12" t="str">
        <f>INDEX('ei names mapping'!$B$4:$R$33,MATCH(B179,'ei names mapping'!$A$4:$A$33,0),MATCH(G207,'ei names mapping'!$B$3:$R$3,0))</f>
        <v>road construction</v>
      </c>
      <c r="B207" s="16">
        <f>INDEX('vehicles specifications'!$B$3:$CK$86,MATCH(B182,'vehicles specifications'!$A$3:$A$86,0),MATCH(G207,'vehicles specifications'!$B$2:$CK$2,0))*INDEX('ei names mapping'!$B$137:$BK$220,MATCH(B182,'ei names mapping'!$A$137:$A$220,0),MATCH(G207,'ei names mapping'!$B$136:$BK$136,0))</f>
        <v>5.7942300000000003E-5</v>
      </c>
      <c r="C207" s="12" t="str">
        <f>INDEX('ei names mapping'!$B$38:$R$67,MATCH(B179,'ei names mapping'!$A$4:$A$33,0),MATCH(G207,'ei names mapping'!$B$3:$R$3,0))</f>
        <v>CH</v>
      </c>
      <c r="D207" s="12" t="str">
        <f>INDEX('ei names mapping'!$B$104:$BK$133,MATCH(B179,'ei names mapping'!$A$4:$A$33,0),MATCH(G207,'ei names mapping'!$B$3:$BK$3,0))</f>
        <v>meter-year</v>
      </c>
      <c r="E207" s="12"/>
      <c r="F207" s="12" t="s">
        <v>91</v>
      </c>
      <c r="G207" s="21" t="s">
        <v>108</v>
      </c>
      <c r="H207" s="12" t="str">
        <f>INDEX('ei names mapping'!$B$71:$BK$100,MATCH(B179,'ei names mapping'!$A$4:$A$33,0),MATCH(G207,'ei names mapping'!$B$3:$BK$3,0))</f>
        <v>road</v>
      </c>
    </row>
    <row r="208" spans="1:8" x14ac:dyDescent="0.3">
      <c r="A208" s="12" t="str">
        <f>INDEX('ei names mapping'!$B$4:$R$33,MATCH($B$3,'ei names mapping'!$A$4:$A$33,0),MATCH(G208,'ei names mapping'!$B$3:$R$3,0))</f>
        <v>market for electricity, low voltage</v>
      </c>
      <c r="B208" s="14">
        <f>INDEX('vehicles specifications'!$B$3:$CK$86,MATCH(B182,'vehicles specifications'!$A$3:$A$86,0),MATCH(G208,'vehicles specifications'!$B$2:$CK$2,0))*INDEX('ei names mapping'!$B$137:$BK$220,MATCH(B182,'ei names mapping'!$A$137:$A$220,0),MATCH(G208,'ei names mapping'!$B$136:$BK$136,0))</f>
        <v>1.0605320966560899E-2</v>
      </c>
      <c r="C208" s="12" t="str">
        <f>INDEX('ei names mapping'!$B$38:$R$67,MATCH($B$3,'ei names mapping'!$A$4:$A$33,0),MATCH(G208,'ei names mapping'!$B$3:$R$3,0))</f>
        <v>CH</v>
      </c>
      <c r="D208" s="12" t="str">
        <f>INDEX('ei names mapping'!$B$104:$R$133,MATCH($B$3,'ei names mapping'!$A$4:$A$33,0),MATCH(G208,'ei names mapping'!$B$3:$R$3,0))</f>
        <v>kilowatt hour</v>
      </c>
      <c r="E208" s="12"/>
      <c r="F208" s="12" t="s">
        <v>91</v>
      </c>
      <c r="G208" t="s">
        <v>28</v>
      </c>
      <c r="H208" s="12" t="str">
        <f>INDEX('ei names mapping'!$B$71:$R$100,MATCH($B$3,'ei names mapping'!$A$4:$A$33,0),MATCH(G208,'ei names mapping'!$B$3:$R$3,0))</f>
        <v>electricity, low voltage</v>
      </c>
    </row>
    <row r="209" spans="1:8" x14ac:dyDescent="0.3">
      <c r="A209" s="12" t="str">
        <f>INDEX('ei names mapping'!$B$4:$R$33,MATCH($B$3,'ei names mapping'!$A$4:$A$33,0),MATCH(G209,'ei names mapping'!$B$3:$R$3,0))</f>
        <v>maintenance, electric bicycle, without battery</v>
      </c>
      <c r="B209" s="14">
        <f>INDEX('vehicles specifications'!$B$3:$CK$86,MATCH(B182,'vehicles specifications'!$A$3:$A$86,0),MATCH(G209,'vehicles specifications'!$B$2:$CK$2,0))*INDEX('ei names mapping'!$B$137:$BK$220,MATCH(B182,'ei names mapping'!$A$137:$A$220,0),MATCH(G209,'ei names mapping'!$B$136:$BK$136,0))</f>
        <v>2.5000000000000001E-4</v>
      </c>
      <c r="C209" s="12" t="str">
        <f>INDEX('ei names mapping'!$B$38:$R$67,MATCH($B$3,'ei names mapping'!$A$4:$A$33,0),MATCH(G209,'ei names mapping'!$B$3:$R$3,0))</f>
        <v>CH</v>
      </c>
      <c r="D209" s="12" t="str">
        <f>INDEX('ei names mapping'!$B$104:$R$133,MATCH($B$3,'ei names mapping'!$A$4:$A$33,0),MATCH(G209,'ei names mapping'!$B$3:$R$3,0))</f>
        <v>unit</v>
      </c>
      <c r="E209" s="12"/>
      <c r="F209" s="12" t="s">
        <v>91</v>
      </c>
      <c r="G209" t="s">
        <v>123</v>
      </c>
      <c r="H209" s="12" t="str">
        <f>INDEX('ei names mapping'!$B$71:$R$100,MATCH($B$3,'ei names mapping'!$A$4:$A$33,0),MATCH(G209,'ei names mapping'!$B$3:$R$3,0))</f>
        <v>maintenance, electric bicycle, without battery</v>
      </c>
    </row>
    <row r="210" spans="1:8" x14ac:dyDescent="0.3">
      <c r="A210" s="12" t="str">
        <f>INDEX('ei names mapping'!$B$4:$BK$33,MATCH($B$179,'ei names mapping'!$A$4:$A$33,0),MATCH(G210,'ei names mapping'!$B$3:$BK$3,0))</f>
        <v>treatment of road wear emissions, passenger car</v>
      </c>
      <c r="B210" s="15">
        <f>INDEX('vehicles specifications'!$B$3:$CK$86,MATCH(B182,'vehicles specifications'!$A$3:$A$86,0),MATCH(G210,'vehicles specifications'!$B$2:$CK$2,0))*INDEX('ei names mapping'!$B$137:$BK$220,MATCH(B182,'ei names mapping'!$A$137:$A$220,0),MATCH(G210,'ei names mapping'!$B$136:$BK$136,0))</f>
        <v>-3.0000000000000001E-6</v>
      </c>
      <c r="C210" s="12" t="str">
        <f>INDEX('ei names mapping'!$B$38:$BK$67,MATCH($B$179,'ei names mapping'!$A$4:$A$33,0),MATCH(G210,'ei names mapping'!$B$3:$BK$3,0))</f>
        <v>RER</v>
      </c>
      <c r="D210" s="12" t="str">
        <f>INDEX('ei names mapping'!$B$104:$BK$133,MATCH($B$179,'ei names mapping'!$A$4:$A$33,0),MATCH(G210,'ei names mapping'!$B$3:$BK$3,0))</f>
        <v>kilogram</v>
      </c>
      <c r="E210" s="12"/>
      <c r="F210" s="12" t="s">
        <v>91</v>
      </c>
      <c r="G210" t="s">
        <v>29</v>
      </c>
      <c r="H210" s="12" t="str">
        <f>INDEX('ei names mapping'!$B$71:$BK$100,MATCH(B179,'ei names mapping'!$A$4:$A$33,0),MATCH(G210,'ei names mapping'!$B$3:$BK$3,0))</f>
        <v>road wear emissions, passenger car</v>
      </c>
    </row>
    <row r="211" spans="1:8" x14ac:dyDescent="0.3">
      <c r="A211" s="12" t="str">
        <f>INDEX('ei names mapping'!$B$4:$BK$33,MATCH($B$179,'ei names mapping'!$A$4:$A$33,0),MATCH(G211,'ei names mapping'!$B$3:$BK$3,0))</f>
        <v>treatment of tyre wear emissions, passenger car</v>
      </c>
      <c r="B211" s="15">
        <f>INDEX('vehicles specifications'!$B$3:$CK$86,MATCH(B182,'vehicles specifications'!$A$3:$A$86,0),MATCH(G211,'vehicles specifications'!$B$2:$CK$2,0))*INDEX('ei names mapping'!$B$137:$BK$220,MATCH(B182,'ei names mapping'!$A$137:$A$220,0),MATCH(G211,'ei names mapping'!$B$136:$BK$136,0))</f>
        <v>-2.9189999999999999E-6</v>
      </c>
      <c r="C211" s="12" t="str">
        <f>INDEX('ei names mapping'!$B$38:$BK$67,MATCH($B$179,'ei names mapping'!$A$4:$A$33,0),MATCH(G211,'ei names mapping'!$B$3:$BK$3,0))</f>
        <v>RER</v>
      </c>
      <c r="D211" s="12" t="str">
        <f>INDEX('ei names mapping'!$B$104:$BK$133,MATCH($B$179,'ei names mapping'!$A$4:$A$33,0),MATCH(G211,'ei names mapping'!$B$3:$BK$3,0))</f>
        <v>kilogram</v>
      </c>
      <c r="E211" s="12"/>
      <c r="F211" s="12" t="s">
        <v>91</v>
      </c>
      <c r="G211" t="s">
        <v>30</v>
      </c>
      <c r="H211" s="12" t="str">
        <f>INDEX('ei names mapping'!$B$71:$BK$100,MATCH($B$179,'ei names mapping'!$A$4:$A$33,0),MATCH(G211,'ei names mapping'!$B$3:$BK$3,0))</f>
        <v>tyre wear emissions, passenger car</v>
      </c>
    </row>
    <row r="212" spans="1:8" x14ac:dyDescent="0.3">
      <c r="A212" s="12" t="str">
        <f>INDEX('ei names mapping'!$B$4:$BK$33,MATCH($B$179,'ei names mapping'!$A$4:$A$33,0),MATCH(G212,'ei names mapping'!$B$3:$BK$3,0))</f>
        <v>treatment of brake wear emissions, passenger car</v>
      </c>
      <c r="B212" s="15">
        <f>INDEX('vehicles specifications'!$B$3:$CK$86,MATCH(B182,'vehicles specifications'!$A$3:$A$86,0),MATCH(G212,'vehicles specifications'!$B$2:$CK$2,0))*INDEX('ei names mapping'!$B$137:$BK$220,MATCH(B182,'ei names mapping'!$A$137:$A$220,0),MATCH(G212,'ei names mapping'!$B$136:$BK$136,0))</f>
        <v>-1.8370000000000002E-6</v>
      </c>
      <c r="C212" s="12" t="str">
        <f>INDEX('ei names mapping'!$B$38:$BK$67,MATCH($B$179,'ei names mapping'!$A$4:$A$33,0),MATCH(G212,'ei names mapping'!$B$3:$BK$3,0))</f>
        <v>RER</v>
      </c>
      <c r="D212" s="12" t="str">
        <f>INDEX('ei names mapping'!$B$104:$BK$133,MATCH($B$179,'ei names mapping'!$A$4:$A$33,0),MATCH(G212,'ei names mapping'!$B$3:$BK$3,0))</f>
        <v>kilogram</v>
      </c>
      <c r="E212" s="12"/>
      <c r="F212" s="12" t="s">
        <v>91</v>
      </c>
      <c r="G212" t="s">
        <v>31</v>
      </c>
      <c r="H212" s="12" t="str">
        <f>INDEX('ei names mapping'!$B$71:$BK$100,MATCH($B$179,'ei names mapping'!$A$4:$A$33,0),MATCH(G212,'ei names mapping'!$B$3:$BK$3,0))</f>
        <v>brake wear emissions, passenger car</v>
      </c>
    </row>
    <row r="214" spans="1:8" ht="15.6" x14ac:dyDescent="0.3">
      <c r="A214" s="11" t="s">
        <v>72</v>
      </c>
      <c r="B214" s="9" t="str">
        <f>"transport, "&amp;B216&amp;", "&amp;B218</f>
        <v>transport, Bicycle, electric, cargo bike, 2030</v>
      </c>
    </row>
    <row r="215" spans="1:8" x14ac:dyDescent="0.3">
      <c r="A215" t="s">
        <v>73</v>
      </c>
      <c r="B215" t="s">
        <v>37</v>
      </c>
    </row>
    <row r="216" spans="1:8" x14ac:dyDescent="0.3">
      <c r="A216" t="s">
        <v>87</v>
      </c>
      <c r="B216" s="21" t="s">
        <v>524</v>
      </c>
    </row>
    <row r="217" spans="1:8" x14ac:dyDescent="0.3">
      <c r="A217" t="s">
        <v>88</v>
      </c>
      <c r="B217" s="12"/>
    </row>
    <row r="218" spans="1:8" x14ac:dyDescent="0.3">
      <c r="A218" t="s">
        <v>89</v>
      </c>
      <c r="B218" s="12">
        <v>2030</v>
      </c>
    </row>
    <row r="219" spans="1:8" x14ac:dyDescent="0.3">
      <c r="A219" t="s">
        <v>131</v>
      </c>
      <c r="B219" s="12" t="str">
        <f>B216&amp;" - "&amp;B218&amp;" - "&amp;B215</f>
        <v>Bicycle, electric, cargo bike - 2030 - CH</v>
      </c>
    </row>
    <row r="220" spans="1:8" x14ac:dyDescent="0.3">
      <c r="A220" t="s">
        <v>74</v>
      </c>
      <c r="B220" s="12" t="str">
        <f>"transport, "&amp;B216</f>
        <v>transport, Bicycle, electric, cargo bike</v>
      </c>
    </row>
    <row r="221" spans="1:8" x14ac:dyDescent="0.3">
      <c r="A221" t="s">
        <v>75</v>
      </c>
      <c r="B221" t="s">
        <v>76</v>
      </c>
    </row>
    <row r="222" spans="1:8" x14ac:dyDescent="0.3">
      <c r="A222" t="s">
        <v>77</v>
      </c>
      <c r="B222" t="s">
        <v>172</v>
      </c>
    </row>
    <row r="223" spans="1:8" x14ac:dyDescent="0.3">
      <c r="A223" t="s">
        <v>79</v>
      </c>
      <c r="B223" t="s">
        <v>90</v>
      </c>
    </row>
    <row r="224" spans="1:8" x14ac:dyDescent="0.3">
      <c r="A224" t="s">
        <v>132</v>
      </c>
      <c r="B224">
        <f>INDEX('vehicles specifications'!$B$3:$CK$86,MATCH(B219,'vehicles specifications'!$A$3:$A$86,0),MATCH("Lifetime [km]",'vehicles specifications'!$B$2:$CK$2,0))</f>
        <v>20000</v>
      </c>
    </row>
    <row r="225" spans="1:2" x14ac:dyDescent="0.3">
      <c r="A225" t="s">
        <v>133</v>
      </c>
      <c r="B225">
        <f>INDEX('vehicles specifications'!$B$3:$CK$86,MATCH(B219,'vehicles specifications'!$A$3:$A$86,0),MATCH("Passengers [unit]",'vehicles specifications'!$B$2:$CK$2,0))</f>
        <v>1</v>
      </c>
    </row>
    <row r="226" spans="1:2" x14ac:dyDescent="0.3">
      <c r="A226" t="s">
        <v>134</v>
      </c>
      <c r="B226">
        <f>INDEX('vehicles specifications'!$B$3:$CK$86,MATCH(B219,'vehicles specifications'!$A$3:$A$86,0),MATCH("Servicing [unit]",'vehicles specifications'!$B$2:$CK$2,0))</f>
        <v>5</v>
      </c>
    </row>
    <row r="227" spans="1:2" x14ac:dyDescent="0.3">
      <c r="A227" t="s">
        <v>135</v>
      </c>
      <c r="B227">
        <f>INDEX('vehicles specifications'!$B$3:$CK$86,MATCH(B219,'vehicles specifications'!$A$3:$A$86,0),MATCH("Energy battery replacement [unit]",'vehicles specifications'!$B$2:$CK$2,0))</f>
        <v>0.5</v>
      </c>
    </row>
    <row r="228" spans="1:2" x14ac:dyDescent="0.3">
      <c r="A228" t="s">
        <v>136</v>
      </c>
      <c r="B228">
        <f>INDEX('vehicles specifications'!$B$3:$CK$86,MATCH(B219,'vehicles specifications'!$A$3:$A$86,0),MATCH("Annual kilometers [km]",'vehicles specifications'!$B$2:$CK$2,0))</f>
        <v>2060</v>
      </c>
    </row>
    <row r="229" spans="1:2" x14ac:dyDescent="0.3">
      <c r="A229" t="s">
        <v>137</v>
      </c>
      <c r="B229">
        <f>INDEX('vehicles specifications'!$B$3:$CK$86,MATCH(B219,'vehicles specifications'!$A$3:$A$86,0),MATCH("Curb mass [kg]",'vehicles specifications'!$B$2:$CK$2,0))</f>
        <v>37.260000000000005</v>
      </c>
    </row>
    <row r="230" spans="1:2" x14ac:dyDescent="0.3">
      <c r="A230" t="s">
        <v>138</v>
      </c>
      <c r="B230">
        <f>INDEX('vehicles specifications'!$B$3:$CK$86,MATCH(B219,'vehicles specifications'!$A$3:$A$86,0),MATCH("Power [kW]",'vehicles specifications'!$B$2:$CK$2,0))</f>
        <v>0.5</v>
      </c>
    </row>
    <row r="231" spans="1:2" x14ac:dyDescent="0.3">
      <c r="A231" t="s">
        <v>139</v>
      </c>
      <c r="B231">
        <f>INDEX('vehicles specifications'!$B$3:$CK$86,MATCH(B219,'vehicles specifications'!$A$3:$A$86,0),MATCH("Energy battery mass [kg]",'vehicles specifications'!$B$2:$CK$2,0))</f>
        <v>5.2</v>
      </c>
    </row>
    <row r="232" spans="1:2" x14ac:dyDescent="0.3">
      <c r="A232" t="s">
        <v>140</v>
      </c>
      <c r="B232">
        <f>INDEX('vehicles specifications'!$B$3:$CK$86,MATCH(B219,'vehicles specifications'!$A$3:$A$86,0),MATCH("Electric energy stored [kWh]",'vehicles specifications'!$B$2:$CK$2,0))</f>
        <v>1.2</v>
      </c>
    </row>
    <row r="233" spans="1:2" s="21" customFormat="1" x14ac:dyDescent="0.3">
      <c r="A233" s="21" t="s">
        <v>654</v>
      </c>
      <c r="B233" s="21">
        <f>INDEX('vehicles specifications'!$B$3:$CK$86,MATCH(B219,'vehicles specifications'!$A$3:$A$86,0),MATCH("Electric energy available [kWh]",'vehicles specifications'!$B$2:$CK$2,0))</f>
        <v>0.96</v>
      </c>
    </row>
    <row r="234" spans="1:2" x14ac:dyDescent="0.3">
      <c r="A234" t="s">
        <v>143</v>
      </c>
      <c r="B234">
        <f>INDEX('vehicles specifications'!$B$3:$CK$86,MATCH(B219,'vehicles specifications'!$A$3:$A$86,0),MATCH("Oxydation energy stored [kWh]",'vehicles specifications'!$B$2:$CK$2,0))</f>
        <v>0</v>
      </c>
    </row>
    <row r="235" spans="1:2" x14ac:dyDescent="0.3">
      <c r="A235" t="s">
        <v>145</v>
      </c>
      <c r="B235">
        <f>INDEX('vehicles specifications'!$B$3:$CK$86,MATCH(B219,'vehicles specifications'!$A$3:$A$86,0),MATCH("Fuel mass [kg]",'vehicles specifications'!$B$2:$CK$2,0))</f>
        <v>0</v>
      </c>
    </row>
    <row r="236" spans="1:2" x14ac:dyDescent="0.3">
      <c r="A236" t="s">
        <v>141</v>
      </c>
      <c r="B236">
        <f>INDEX('vehicles specifications'!$B$3:$CK$86,MATCH(B219,'vehicles specifications'!$A$3:$A$86,0),MATCH("Range [km]",'vehicles specifications'!$B$2:$CK$2,0))</f>
        <v>99.572658227848095</v>
      </c>
    </row>
    <row r="237" spans="1:2" x14ac:dyDescent="0.3">
      <c r="A237" t="s">
        <v>142</v>
      </c>
      <c r="B237" t="str">
        <f>INDEX('vehicles specifications'!$B$3:$CK$86,MATCH(B219,'vehicles specifications'!$A$3:$A$86,0),MATCH("Emission standard",'vehicles specifications'!$B$2:$CK$2,0))</f>
        <v>None</v>
      </c>
    </row>
    <row r="238" spans="1:2" x14ac:dyDescent="0.3">
      <c r="A238" t="s">
        <v>144</v>
      </c>
      <c r="B238" s="6">
        <f>INDEX('vehicles specifications'!$B$3:$CK$86,MATCH(B219,'vehicles specifications'!$A$3:$A$86,0),MATCH("Lightweighting rate [%]",'vehicles specifications'!$B$2:$CK$2,0))</f>
        <v>0.03</v>
      </c>
    </row>
    <row r="239" spans="1:2" x14ac:dyDescent="0.3">
      <c r="A239" t="s">
        <v>84</v>
      </c>
      <c r="B239" s="21" t="str">
        <f>"Power: "&amp;B230&amp;" kW. Lifetime: "&amp;B224&amp;" km. Annual kilometers: "&amp;B228&amp;" km. Number of passengers: "&amp;B225&amp;". Curb mass: "&amp;ROUND(B229,1)&amp;" kg. Lightweighting of glider: "&amp;ROUND(B238*100,0)&amp;"%. Emission standard: "&amp;B237&amp;". Service visits throughout lifetime: "&amp;ROUND(B226,1)&amp;". Range: "&amp;ROUND(B236,0)&amp;" km. Battery capacity: "&amp;ROUND(B232,1)&amp;" kWh. Available battery capacity: "&amp;B233&amp;" kWh. Battery mass: "&amp;ROUND(B231,1)&amp; " kg. Battery replacement throughout lifetime: "&amp;ROUND(B227,1)&amp;". Fuel tank capacity: "&amp;ROUND(B234,1)&amp;" kWh. Fuel mass: "&amp;ROUND(B235,1)&amp;" kg. Documentation: "&amp;Readmefirst!$B$2&amp;", "&amp;Readmefirst!$B$3&amp;". "&amp;B223</f>
        <v>Power: 0.5 kW. Lifetime: 20000 km. Annual kilometers: 2060 km. Number of passengers: 1. Curb mass: 37.3 kg. Lightweighting of glider: 3%. Emission standard: None. Service visits throughout lifetime: 5. Range: 100 km. Battery capacity: 1.2 kWh. Available battery capacity: 0.96 kWh. Battery mass: 5.2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40" spans="1:2" ht="15.6" x14ac:dyDescent="0.3">
      <c r="A240" s="11" t="s">
        <v>80</v>
      </c>
    </row>
    <row r="241" spans="1:8" x14ac:dyDescent="0.3">
      <c r="A241" t="s">
        <v>81</v>
      </c>
      <c r="B241" t="s">
        <v>82</v>
      </c>
      <c r="C241" t="s">
        <v>73</v>
      </c>
      <c r="D241" t="s">
        <v>77</v>
      </c>
      <c r="E241" t="s">
        <v>83</v>
      </c>
      <c r="F241" t="s">
        <v>75</v>
      </c>
      <c r="G241" t="s">
        <v>84</v>
      </c>
      <c r="H241" t="s">
        <v>74</v>
      </c>
    </row>
    <row r="242" spans="1:8" x14ac:dyDescent="0.3">
      <c r="A242" s="12" t="str">
        <f>B214</f>
        <v>transport, Bicycle, electric, cargo bike, 2030</v>
      </c>
      <c r="B242" s="12">
        <v>1</v>
      </c>
      <c r="C242" s="12" t="str">
        <f>B215</f>
        <v>CH</v>
      </c>
      <c r="D242" s="12" t="s">
        <v>172</v>
      </c>
      <c r="E242" s="12"/>
      <c r="F242" s="12" t="s">
        <v>85</v>
      </c>
      <c r="G242" s="12" t="s">
        <v>86</v>
      </c>
      <c r="H242" s="12" t="str">
        <f>B220</f>
        <v>transport, Bicycle, electric, cargo bike</v>
      </c>
    </row>
    <row r="243" spans="1:8" x14ac:dyDescent="0.3">
      <c r="A243" s="12" t="str">
        <f>RIGHT(A242,LEN(A242)-11)</f>
        <v>Bicycle, electric, cargo bike, 2030</v>
      </c>
      <c r="B243" s="12">
        <f>1/B224</f>
        <v>5.0000000000000002E-5</v>
      </c>
      <c r="C243" s="12" t="str">
        <f>B215</f>
        <v>CH</v>
      </c>
      <c r="D243" s="12" t="s">
        <v>77</v>
      </c>
      <c r="E243" s="12"/>
      <c r="F243" s="12" t="s">
        <v>91</v>
      </c>
      <c r="G243" s="12"/>
      <c r="H243" s="12" t="str">
        <f>RIGHT(H242,LEN(H242)-11)</f>
        <v>Bicycle, electric, cargo bike</v>
      </c>
    </row>
    <row r="244" spans="1:8" s="21" customFormat="1" x14ac:dyDescent="0.3">
      <c r="A244" s="12" t="str">
        <f>INDEX('ei names mapping'!$B$4:$R$33,MATCH(B216,'ei names mapping'!$A$4:$A$33,0),MATCH(G244,'ei names mapping'!$B$3:$R$3,0))</f>
        <v>road construction</v>
      </c>
      <c r="B244" s="16">
        <f>INDEX('vehicles specifications'!$B$3:$CK$86,MATCH(B219,'vehicles specifications'!$A$3:$A$86,0),MATCH(G244,'vehicles specifications'!$B$2:$CK$2,0))*INDEX('ei names mapping'!$B$137:$BK$220,MATCH(B219,'ei names mapping'!$A$137:$A$220,0),MATCH(G244,'ei names mapping'!$B$136:$BK$136,0))</f>
        <v>5.8135620000000001E-5</v>
      </c>
      <c r="C244" s="12" t="str">
        <f>INDEX('ei names mapping'!$B$38:$R$67,MATCH(B216,'ei names mapping'!$A$4:$A$33,0),MATCH(G244,'ei names mapping'!$B$3:$R$3,0))</f>
        <v>CH</v>
      </c>
      <c r="D244" s="12" t="str">
        <f>INDEX('ei names mapping'!$B$104:$BK$133,MATCH(B216,'ei names mapping'!$A$4:$A$33,0),MATCH(G244,'ei names mapping'!$B$3:$BK$3,0))</f>
        <v>meter-year</v>
      </c>
      <c r="E244" s="12"/>
      <c r="F244" s="12" t="s">
        <v>91</v>
      </c>
      <c r="G244" s="21" t="s">
        <v>108</v>
      </c>
      <c r="H244" s="12" t="str">
        <f>INDEX('ei names mapping'!$B$71:$BK$100,MATCH(B216,'ei names mapping'!$A$4:$A$33,0),MATCH(G244,'ei names mapping'!$B$3:$BK$3,0))</f>
        <v>road</v>
      </c>
    </row>
    <row r="245" spans="1:8" x14ac:dyDescent="0.3">
      <c r="A245" s="12" t="str">
        <f>INDEX('ei names mapping'!$B$4:$R$33,MATCH($B$3,'ei names mapping'!$A$4:$A$33,0),MATCH(G245,'ei names mapping'!$B$3:$R$3,0))</f>
        <v>market for electricity, low voltage</v>
      </c>
      <c r="B245" s="14">
        <f>INDEX('vehicles specifications'!$B$3:$CK$86,MATCH(B219,'vehicles specifications'!$A$3:$A$86,0),MATCH(G245,'vehicles specifications'!$B$2:$CK$2,0))*INDEX('ei names mapping'!$B$137:$BK$220,MATCH(B219,'ei names mapping'!$A$137:$A$220,0),MATCH(G245,'ei names mapping'!$B$136:$BK$136,0))</f>
        <v>1.0605320966560899E-2</v>
      </c>
      <c r="C245" s="12" t="str">
        <f>INDEX('ei names mapping'!$B$38:$R$67,MATCH($B$3,'ei names mapping'!$A$4:$A$33,0),MATCH(G245,'ei names mapping'!$B$3:$R$3,0))</f>
        <v>CH</v>
      </c>
      <c r="D245" s="12" t="str">
        <f>INDEX('ei names mapping'!$B$104:$R$133,MATCH($B$3,'ei names mapping'!$A$4:$A$33,0),MATCH(G245,'ei names mapping'!$B$3:$R$3,0))</f>
        <v>kilowatt hour</v>
      </c>
      <c r="E245" s="12"/>
      <c r="F245" s="12" t="s">
        <v>91</v>
      </c>
      <c r="G245" t="s">
        <v>28</v>
      </c>
      <c r="H245" s="12" t="str">
        <f>INDEX('ei names mapping'!$B$71:$R$100,MATCH($B$3,'ei names mapping'!$A$4:$A$33,0),MATCH(G245,'ei names mapping'!$B$3:$R$3,0))</f>
        <v>electricity, low voltage</v>
      </c>
    </row>
    <row r="246" spans="1:8" x14ac:dyDescent="0.3">
      <c r="A246" s="12" t="str">
        <f>INDEX('ei names mapping'!$B$4:$R$33,MATCH($B$3,'ei names mapping'!$A$4:$A$33,0),MATCH(G246,'ei names mapping'!$B$3:$R$3,0))</f>
        <v>maintenance, electric bicycle, without battery</v>
      </c>
      <c r="B246" s="14">
        <f>INDEX('vehicles specifications'!$B$3:$CK$86,MATCH(B219,'vehicles specifications'!$A$3:$A$86,0),MATCH(G246,'vehicles specifications'!$B$2:$CK$2,0))*INDEX('ei names mapping'!$B$137:$BK$220,MATCH(B219,'ei names mapping'!$A$137:$A$220,0),MATCH(G246,'ei names mapping'!$B$136:$BK$136,0))</f>
        <v>2.5000000000000001E-4</v>
      </c>
      <c r="C246" s="12" t="str">
        <f>INDEX('ei names mapping'!$B$38:$R$67,MATCH($B$3,'ei names mapping'!$A$4:$A$33,0),MATCH(G246,'ei names mapping'!$B$3:$R$3,0))</f>
        <v>CH</v>
      </c>
      <c r="D246" s="12" t="str">
        <f>INDEX('ei names mapping'!$B$104:$R$133,MATCH($B$3,'ei names mapping'!$A$4:$A$33,0),MATCH(G246,'ei names mapping'!$B$3:$R$3,0))</f>
        <v>unit</v>
      </c>
      <c r="E246" s="12"/>
      <c r="F246" s="12" t="s">
        <v>91</v>
      </c>
      <c r="G246" t="s">
        <v>123</v>
      </c>
      <c r="H246" s="12" t="str">
        <f>INDEX('ei names mapping'!$B$71:$R$100,MATCH($B$3,'ei names mapping'!$A$4:$A$33,0),MATCH(G246,'ei names mapping'!$B$3:$R$3,0))</f>
        <v>maintenance, electric bicycle, without battery</v>
      </c>
    </row>
    <row r="247" spans="1:8" x14ac:dyDescent="0.3">
      <c r="A247" s="12" t="str">
        <f>INDEX('ei names mapping'!$B$4:$BK$33,MATCH($B$179,'ei names mapping'!$A$4:$A$33,0),MATCH(G247,'ei names mapping'!$B$3:$BK$3,0))</f>
        <v>treatment of road wear emissions, passenger car</v>
      </c>
      <c r="B247" s="15">
        <f>INDEX('vehicles specifications'!$B$3:$CK$86,MATCH(B219,'vehicles specifications'!$A$3:$A$86,0),MATCH(G247,'vehicles specifications'!$B$2:$CK$2,0))*INDEX('ei names mapping'!$B$137:$BK$220,MATCH(B219,'ei names mapping'!$A$137:$A$220,0),MATCH(G247,'ei names mapping'!$B$136:$BK$136,0))</f>
        <v>-3.0000000000000001E-6</v>
      </c>
      <c r="C247" s="12" t="str">
        <f>INDEX('ei names mapping'!$B$38:$BK$67,MATCH($B$179,'ei names mapping'!$A$4:$A$33,0),MATCH(G247,'ei names mapping'!$B$3:$BK$3,0))</f>
        <v>RER</v>
      </c>
      <c r="D247" s="12" t="str">
        <f>INDEX('ei names mapping'!$B$104:$BK$133,MATCH($B$179,'ei names mapping'!$A$4:$A$33,0),MATCH(G247,'ei names mapping'!$B$3:$BK$3,0))</f>
        <v>kilogram</v>
      </c>
      <c r="E247" s="12"/>
      <c r="F247" s="12" t="s">
        <v>91</v>
      </c>
      <c r="G247" t="s">
        <v>29</v>
      </c>
      <c r="H247" s="12" t="str">
        <f>INDEX('ei names mapping'!$B$71:$BK$100,MATCH(B216,'ei names mapping'!$A$4:$A$33,0),MATCH(G247,'ei names mapping'!$B$3:$BK$3,0))</f>
        <v>road wear emissions, passenger car</v>
      </c>
    </row>
    <row r="248" spans="1:8" x14ac:dyDescent="0.3">
      <c r="A248" s="12" t="str">
        <f>INDEX('ei names mapping'!$B$4:$BK$33,MATCH($B$179,'ei names mapping'!$A$4:$A$33,0),MATCH(G248,'ei names mapping'!$B$3:$BK$3,0))</f>
        <v>treatment of tyre wear emissions, passenger car</v>
      </c>
      <c r="B248" s="15">
        <f>INDEX('vehicles specifications'!$B$3:$CK$86,MATCH(B219,'vehicles specifications'!$A$3:$A$86,0),MATCH(G248,'vehicles specifications'!$B$2:$CK$2,0))*INDEX('ei names mapping'!$B$137:$BK$220,MATCH(B219,'ei names mapping'!$A$137:$A$220,0),MATCH(G248,'ei names mapping'!$B$136:$BK$136,0))</f>
        <v>-2.9189999999999999E-6</v>
      </c>
      <c r="C248" s="12" t="str">
        <f>INDEX('ei names mapping'!$B$38:$BK$67,MATCH($B$179,'ei names mapping'!$A$4:$A$33,0),MATCH(G248,'ei names mapping'!$B$3:$BK$3,0))</f>
        <v>RER</v>
      </c>
      <c r="D248" s="12" t="str">
        <f>INDEX('ei names mapping'!$B$104:$BK$133,MATCH($B$179,'ei names mapping'!$A$4:$A$33,0),MATCH(G248,'ei names mapping'!$B$3:$BK$3,0))</f>
        <v>kilogram</v>
      </c>
      <c r="E248" s="12"/>
      <c r="F248" s="12" t="s">
        <v>91</v>
      </c>
      <c r="G248" t="s">
        <v>30</v>
      </c>
      <c r="H248" s="12" t="str">
        <f>INDEX('ei names mapping'!$B$71:$BK$100,MATCH($B$179,'ei names mapping'!$A$4:$A$33,0),MATCH(G248,'ei names mapping'!$B$3:$BK$3,0))</f>
        <v>tyre wear emissions, passenger car</v>
      </c>
    </row>
    <row r="249" spans="1:8" x14ac:dyDescent="0.3">
      <c r="A249" s="12" t="str">
        <f>INDEX('ei names mapping'!$B$4:$BK$33,MATCH($B$179,'ei names mapping'!$A$4:$A$33,0),MATCH(G249,'ei names mapping'!$B$3:$BK$3,0))</f>
        <v>treatment of brake wear emissions, passenger car</v>
      </c>
      <c r="B249" s="15">
        <f>INDEX('vehicles specifications'!$B$3:$CK$86,MATCH(B219,'vehicles specifications'!$A$3:$A$86,0),MATCH(G249,'vehicles specifications'!$B$2:$CK$2,0))*INDEX('ei names mapping'!$B$137:$BK$220,MATCH(B219,'ei names mapping'!$A$137:$A$220,0),MATCH(G249,'ei names mapping'!$B$136:$BK$136,0))</f>
        <v>-1.8370000000000002E-6</v>
      </c>
      <c r="C249" s="12" t="str">
        <f>INDEX('ei names mapping'!$B$38:$BK$67,MATCH($B$179,'ei names mapping'!$A$4:$A$33,0),MATCH(G249,'ei names mapping'!$B$3:$BK$3,0))</f>
        <v>RER</v>
      </c>
      <c r="D249" s="12" t="str">
        <f>INDEX('ei names mapping'!$B$104:$BK$133,MATCH($B$179,'ei names mapping'!$A$4:$A$33,0),MATCH(G249,'ei names mapping'!$B$3:$BK$3,0))</f>
        <v>kilogram</v>
      </c>
      <c r="E249" s="12"/>
      <c r="F249" s="12" t="s">
        <v>91</v>
      </c>
      <c r="G249" t="s">
        <v>31</v>
      </c>
      <c r="H249" s="12" t="str">
        <f>INDEX('ei names mapping'!$B$71:$BK$100,MATCH($B$179,'ei names mapping'!$A$4:$A$33,0),MATCH(G249,'ei names mapping'!$B$3:$BK$3,0))</f>
        <v>brake wear emissions, passenger car</v>
      </c>
    </row>
    <row r="251" spans="1:8" ht="15.6" x14ac:dyDescent="0.3">
      <c r="A251" s="11" t="s">
        <v>72</v>
      </c>
      <c r="B251" s="9" t="str">
        <f>"transport, "&amp;B253&amp;", "&amp;B255</f>
        <v>transport, Bicycle, electric, cargo bike, 2040</v>
      </c>
    </row>
    <row r="252" spans="1:8" x14ac:dyDescent="0.3">
      <c r="A252" t="s">
        <v>73</v>
      </c>
      <c r="B252" t="s">
        <v>37</v>
      </c>
    </row>
    <row r="253" spans="1:8" x14ac:dyDescent="0.3">
      <c r="A253" t="s">
        <v>87</v>
      </c>
      <c r="B253" s="21" t="s">
        <v>524</v>
      </c>
    </row>
    <row r="254" spans="1:8" x14ac:dyDescent="0.3">
      <c r="A254" t="s">
        <v>88</v>
      </c>
      <c r="B254" s="12"/>
    </row>
    <row r="255" spans="1:8" x14ac:dyDescent="0.3">
      <c r="A255" t="s">
        <v>89</v>
      </c>
      <c r="B255" s="12">
        <v>2040</v>
      </c>
    </row>
    <row r="256" spans="1:8" x14ac:dyDescent="0.3">
      <c r="A256" t="s">
        <v>131</v>
      </c>
      <c r="B256" s="12" t="str">
        <f>B253&amp;" - "&amp;B255&amp;" - "&amp;B252</f>
        <v>Bicycle, electric, cargo bike - 2040 - CH</v>
      </c>
    </row>
    <row r="257" spans="1:2" x14ac:dyDescent="0.3">
      <c r="A257" t="s">
        <v>74</v>
      </c>
      <c r="B257" s="12" t="str">
        <f>"transport, "&amp;B253</f>
        <v>transport, Bicycle, electric, cargo bike</v>
      </c>
    </row>
    <row r="258" spans="1:2" x14ac:dyDescent="0.3">
      <c r="A258" t="s">
        <v>75</v>
      </c>
      <c r="B258" t="s">
        <v>76</v>
      </c>
    </row>
    <row r="259" spans="1:2" x14ac:dyDescent="0.3">
      <c r="A259" t="s">
        <v>77</v>
      </c>
      <c r="B259" t="s">
        <v>172</v>
      </c>
    </row>
    <row r="260" spans="1:2" x14ac:dyDescent="0.3">
      <c r="A260" t="s">
        <v>79</v>
      </c>
      <c r="B260" t="s">
        <v>90</v>
      </c>
    </row>
    <row r="261" spans="1:2" x14ac:dyDescent="0.3">
      <c r="A261" t="s">
        <v>132</v>
      </c>
      <c r="B261">
        <f>INDEX('vehicles specifications'!$B$3:$CK$86,MATCH(B256,'vehicles specifications'!$A$3:$A$86,0),MATCH("Lifetime [km]",'vehicles specifications'!$B$2:$CK$2,0))</f>
        <v>20000</v>
      </c>
    </row>
    <row r="262" spans="1:2" x14ac:dyDescent="0.3">
      <c r="A262" t="s">
        <v>133</v>
      </c>
      <c r="B262">
        <f>INDEX('vehicles specifications'!$B$3:$CK$86,MATCH(B256,'vehicles specifications'!$A$3:$A$86,0),MATCH("Passengers [unit]",'vehicles specifications'!$B$2:$CK$2,0))</f>
        <v>1</v>
      </c>
    </row>
    <row r="263" spans="1:2" x14ac:dyDescent="0.3">
      <c r="A263" t="s">
        <v>134</v>
      </c>
      <c r="B263">
        <f>INDEX('vehicles specifications'!$B$3:$CK$86,MATCH(B256,'vehicles specifications'!$A$3:$A$86,0),MATCH("Servicing [unit]",'vehicles specifications'!$B$2:$CK$2,0))</f>
        <v>5</v>
      </c>
    </row>
    <row r="264" spans="1:2" x14ac:dyDescent="0.3">
      <c r="A264" t="s">
        <v>135</v>
      </c>
      <c r="B264">
        <f>INDEX('vehicles specifications'!$B$3:$CK$86,MATCH(B256,'vehicles specifications'!$A$3:$A$86,0),MATCH("Energy battery replacement [unit]",'vehicles specifications'!$B$2:$CK$2,0))</f>
        <v>0.25</v>
      </c>
    </row>
    <row r="265" spans="1:2" x14ac:dyDescent="0.3">
      <c r="A265" t="s">
        <v>136</v>
      </c>
      <c r="B265">
        <f>INDEX('vehicles specifications'!$B$3:$CK$86,MATCH(B256,'vehicles specifications'!$A$3:$A$86,0),MATCH("Annual kilometers [km]",'vehicles specifications'!$B$2:$CK$2,0))</f>
        <v>2060</v>
      </c>
    </row>
    <row r="266" spans="1:2" x14ac:dyDescent="0.3">
      <c r="A266" t="s">
        <v>137</v>
      </c>
      <c r="B266">
        <f>INDEX('vehicles specifications'!$B$3:$CK$86,MATCH(B256,'vehicles specifications'!$A$3:$A$86,0),MATCH("Curb mass [kg]",'vehicles specifications'!$B$2:$CK$2,0))</f>
        <v>36.5</v>
      </c>
    </row>
    <row r="267" spans="1:2" x14ac:dyDescent="0.3">
      <c r="A267" t="s">
        <v>138</v>
      </c>
      <c r="B267">
        <f>INDEX('vehicles specifications'!$B$3:$CK$86,MATCH(B256,'vehicles specifications'!$A$3:$A$86,0),MATCH("Power [kW]",'vehicles specifications'!$B$2:$CK$2,0))</f>
        <v>0.5</v>
      </c>
    </row>
    <row r="268" spans="1:2" x14ac:dyDescent="0.3">
      <c r="A268" t="s">
        <v>139</v>
      </c>
      <c r="B268">
        <f>INDEX('vehicles specifications'!$B$3:$CK$86,MATCH(B256,'vehicles specifications'!$A$3:$A$86,0),MATCH("Energy battery mass [kg]",'vehicles specifications'!$B$2:$CK$2,0))</f>
        <v>5.2</v>
      </c>
    </row>
    <row r="269" spans="1:2" x14ac:dyDescent="0.3">
      <c r="A269" t="s">
        <v>140</v>
      </c>
      <c r="B269">
        <f>INDEX('vehicles specifications'!$B$3:$CK$86,MATCH(B256,'vehicles specifications'!$A$3:$A$86,0),MATCH("Electric energy stored [kWh]",'vehicles specifications'!$B$2:$CK$2,0))</f>
        <v>1.6</v>
      </c>
    </row>
    <row r="270" spans="1:2" s="21" customFormat="1" x14ac:dyDescent="0.3">
      <c r="A270" s="21" t="s">
        <v>654</v>
      </c>
      <c r="B270" s="21">
        <f>INDEX('vehicles specifications'!$B$3:$CK$86,MATCH(B256,'vehicles specifications'!$A$3:$A$86,0),MATCH("Electric energy available [kWh]",'vehicles specifications'!$B$2:$CK$2,0))</f>
        <v>1.2800000000000002</v>
      </c>
    </row>
    <row r="271" spans="1:2" x14ac:dyDescent="0.3">
      <c r="A271" t="s">
        <v>143</v>
      </c>
      <c r="B271">
        <f>INDEX('vehicles specifications'!$B$3:$CK$86,MATCH(B256,'vehicles specifications'!$A$3:$A$86,0),MATCH("Oxydation energy stored [kWh]",'vehicles specifications'!$B$2:$CK$2,0))</f>
        <v>0</v>
      </c>
    </row>
    <row r="272" spans="1:2" x14ac:dyDescent="0.3">
      <c r="A272" t="s">
        <v>145</v>
      </c>
      <c r="B272">
        <f>INDEX('vehicles specifications'!$B$3:$CK$86,MATCH(B256,'vehicles specifications'!$A$3:$A$86,0),MATCH("Fuel mass [kg]",'vehicles specifications'!$B$2:$CK$2,0))</f>
        <v>0</v>
      </c>
    </row>
    <row r="273" spans="1:8" x14ac:dyDescent="0.3">
      <c r="A273" t="s">
        <v>141</v>
      </c>
      <c r="B273">
        <f>INDEX('vehicles specifications'!$B$3:$CK$86,MATCH(B256,'vehicles specifications'!$A$3:$A$86,0),MATCH("Range [km]",'vehicles specifications'!$B$2:$CK$2,0))</f>
        <v>132.76354430379749</v>
      </c>
    </row>
    <row r="274" spans="1:8" x14ac:dyDescent="0.3">
      <c r="A274" t="s">
        <v>142</v>
      </c>
      <c r="B274" t="str">
        <f>INDEX('vehicles specifications'!$B$3:$CK$86,MATCH(B256,'vehicles specifications'!$A$3:$A$86,0),MATCH("Emission standard",'vehicles specifications'!$B$2:$CK$2,0))</f>
        <v>None</v>
      </c>
    </row>
    <row r="275" spans="1:8" x14ac:dyDescent="0.3">
      <c r="A275" t="s">
        <v>144</v>
      </c>
      <c r="B275" s="6">
        <f>INDEX('vehicles specifications'!$B$3:$CK$86,MATCH(B256,'vehicles specifications'!$A$3:$A$86,0),MATCH("Lightweighting rate [%]",'vehicles specifications'!$B$2:$CK$2,0))</f>
        <v>0.05</v>
      </c>
    </row>
    <row r="276" spans="1:8" x14ac:dyDescent="0.3">
      <c r="A276" t="s">
        <v>84</v>
      </c>
      <c r="B276" s="21" t="str">
        <f>"Power: "&amp;B267&amp;" kW. Lifetime: "&amp;B261&amp;" km. Annual kilometers: "&amp;B265&amp;" km. Number of passengers: "&amp;B262&amp;". Curb mass: "&amp;ROUND(B266,1)&amp;" kg. Lightweighting of glider: "&amp;ROUND(B275*100,0)&amp;"%. Emission standard: "&amp;B274&amp;". Service visits throughout lifetime: "&amp;ROUND(B263,1)&amp;". Range: "&amp;ROUND(B273,0)&amp;" km. Battery capacity: "&amp;ROUND(B269,1)&amp;" kWh. Available battery capacity: "&amp;B270&amp;" kWh. Battery mass: "&amp;ROUND(B268,1)&amp; " kg. Battery replacement throughout lifetime: "&amp;ROUND(B264,1)&amp;". Fuel tank capacity: "&amp;ROUND(B271,1)&amp;" kWh. Fuel mass: "&amp;ROUND(B272,1)&amp;" kg. Documentation: "&amp;Readmefirst!$B$2&amp;", "&amp;Readmefirst!$B$3&amp;". "&amp;B260</f>
        <v>Power: 0.5 kW. Lifetime: 20000 km. Annual kilometers: 2060 km. Number of passengers: 1. Curb mass: 36.5 kg. Lightweighting of glider: 5%. Emission standard: None. Service visits throughout lifetime: 5. Range: 133 km. Battery capacity: 1.6 kWh. Available battery capacity: 1.28 kWh. Battery mass: 5.2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77" spans="1:8" ht="15.6" x14ac:dyDescent="0.3">
      <c r="A277" s="11" t="s">
        <v>80</v>
      </c>
    </row>
    <row r="278" spans="1:8" x14ac:dyDescent="0.3">
      <c r="A278" t="s">
        <v>81</v>
      </c>
      <c r="B278" t="s">
        <v>82</v>
      </c>
      <c r="C278" t="s">
        <v>73</v>
      </c>
      <c r="D278" t="s">
        <v>77</v>
      </c>
      <c r="E278" t="s">
        <v>83</v>
      </c>
      <c r="F278" t="s">
        <v>75</v>
      </c>
      <c r="G278" t="s">
        <v>84</v>
      </c>
      <c r="H278" t="s">
        <v>74</v>
      </c>
    </row>
    <row r="279" spans="1:8" x14ac:dyDescent="0.3">
      <c r="A279" s="12" t="str">
        <f>B251</f>
        <v>transport, Bicycle, electric, cargo bike, 2040</v>
      </c>
      <c r="B279" s="12">
        <v>1</v>
      </c>
      <c r="C279" s="12" t="str">
        <f>B252</f>
        <v>CH</v>
      </c>
      <c r="D279" s="12" t="s">
        <v>172</v>
      </c>
      <c r="E279" s="12"/>
      <c r="F279" s="12" t="s">
        <v>85</v>
      </c>
      <c r="G279" s="12" t="s">
        <v>86</v>
      </c>
      <c r="H279" s="12" t="str">
        <f>B257</f>
        <v>transport, Bicycle, electric, cargo bike</v>
      </c>
    </row>
    <row r="280" spans="1:8" x14ac:dyDescent="0.3">
      <c r="A280" s="12" t="str">
        <f>RIGHT(A279,LEN(A279)-11)</f>
        <v>Bicycle, electric, cargo bike, 2040</v>
      </c>
      <c r="B280" s="12">
        <f>1/B261</f>
        <v>5.0000000000000002E-5</v>
      </c>
      <c r="C280" s="12" t="str">
        <f>B252</f>
        <v>CH</v>
      </c>
      <c r="D280" s="12" t="s">
        <v>77</v>
      </c>
      <c r="E280" s="12"/>
      <c r="F280" s="12" t="s">
        <v>91</v>
      </c>
      <c r="G280" s="12"/>
      <c r="H280" s="12" t="str">
        <f>RIGHT(H279,LEN(H279)-11)</f>
        <v>Bicycle, electric, cargo bike</v>
      </c>
    </row>
    <row r="281" spans="1:8" s="21" customFormat="1" x14ac:dyDescent="0.3">
      <c r="A281" s="12" t="str">
        <f>INDEX('ei names mapping'!$B$4:$R$33,MATCH(B253,'ei names mapping'!$A$4:$A$33,0),MATCH(G281,'ei names mapping'!$B$3:$R$3,0))</f>
        <v>road construction</v>
      </c>
      <c r="B281" s="16">
        <f>INDEX('vehicles specifications'!$B$3:$CK$86,MATCH(B256,'vehicles specifications'!$A$3:$A$86,0),MATCH(G281,'vehicles specifications'!$B$2:$CK$2,0))*INDEX('ei names mapping'!$B$137:$BK$220,MATCH(B256,'ei names mapping'!$A$137:$A$220,0),MATCH(G281,'ei names mapping'!$B$136:$BK$136,0))</f>
        <v>5.7727499999999999E-5</v>
      </c>
      <c r="C281" s="12" t="str">
        <f>INDEX('ei names mapping'!$B$38:$R$67,MATCH(B253,'ei names mapping'!$A$4:$A$33,0),MATCH(G281,'ei names mapping'!$B$3:$R$3,0))</f>
        <v>CH</v>
      </c>
      <c r="D281" s="12" t="str">
        <f>INDEX('ei names mapping'!$B$104:$BK$133,MATCH(B253,'ei names mapping'!$A$4:$A$33,0),MATCH(G281,'ei names mapping'!$B$3:$BK$3,0))</f>
        <v>meter-year</v>
      </c>
      <c r="E281" s="12"/>
      <c r="F281" s="12" t="s">
        <v>91</v>
      </c>
      <c r="G281" s="21" t="s">
        <v>108</v>
      </c>
      <c r="H281" s="12" t="str">
        <f>INDEX('ei names mapping'!$B$71:$BK$100,MATCH(B253,'ei names mapping'!$A$4:$A$33,0),MATCH(G281,'ei names mapping'!$B$3:$BK$3,0))</f>
        <v>road</v>
      </c>
    </row>
    <row r="282" spans="1:8" x14ac:dyDescent="0.3">
      <c r="A282" s="12" t="str">
        <f>INDEX('ei names mapping'!$B$4:$R$33,MATCH($B$3,'ei names mapping'!$A$4:$A$33,0),MATCH(G282,'ei names mapping'!$B$3:$R$3,0))</f>
        <v>market for electricity, low voltage</v>
      </c>
      <c r="B282" s="14">
        <f>INDEX('vehicles specifications'!$B$3:$CK$86,MATCH(B256,'vehicles specifications'!$A$3:$A$86,0),MATCH(G282,'vehicles specifications'!$B$2:$CK$2,0))*INDEX('ei names mapping'!$B$137:$BK$220,MATCH(B256,'ei names mapping'!$A$137:$A$220,0),MATCH(G282,'ei names mapping'!$B$136:$BK$136,0))</f>
        <v>1.0605320966560899E-2</v>
      </c>
      <c r="C282" s="12" t="str">
        <f>INDEX('ei names mapping'!$B$38:$R$67,MATCH($B$3,'ei names mapping'!$A$4:$A$33,0),MATCH(G282,'ei names mapping'!$B$3:$R$3,0))</f>
        <v>CH</v>
      </c>
      <c r="D282" s="12" t="str">
        <f>INDEX('ei names mapping'!$B$104:$R$133,MATCH($B$3,'ei names mapping'!$A$4:$A$33,0),MATCH(G282,'ei names mapping'!$B$3:$R$3,0))</f>
        <v>kilowatt hour</v>
      </c>
      <c r="E282" s="12"/>
      <c r="F282" s="12" t="s">
        <v>91</v>
      </c>
      <c r="G282" t="s">
        <v>28</v>
      </c>
      <c r="H282" s="12" t="str">
        <f>INDEX('ei names mapping'!$B$71:$R$100,MATCH($B$3,'ei names mapping'!$A$4:$A$33,0),MATCH(G282,'ei names mapping'!$B$3:$R$3,0))</f>
        <v>electricity, low voltage</v>
      </c>
    </row>
    <row r="283" spans="1:8" x14ac:dyDescent="0.3">
      <c r="A283" s="12" t="str">
        <f>INDEX('ei names mapping'!$B$4:$R$33,MATCH($B$3,'ei names mapping'!$A$4:$A$33,0),MATCH(G283,'ei names mapping'!$B$3:$R$3,0))</f>
        <v>maintenance, electric bicycle, without battery</v>
      </c>
      <c r="B283" s="14">
        <f>INDEX('vehicles specifications'!$B$3:$CK$86,MATCH(B256,'vehicles specifications'!$A$3:$A$86,0),MATCH(G283,'vehicles specifications'!$B$2:$CK$2,0))*INDEX('ei names mapping'!$B$137:$BK$220,MATCH(B256,'ei names mapping'!$A$137:$A$220,0),MATCH(G283,'ei names mapping'!$B$136:$BK$136,0))</f>
        <v>2.5000000000000001E-4</v>
      </c>
      <c r="C283" s="12" t="str">
        <f>INDEX('ei names mapping'!$B$38:$R$67,MATCH($B$3,'ei names mapping'!$A$4:$A$33,0),MATCH(G283,'ei names mapping'!$B$3:$R$3,0))</f>
        <v>CH</v>
      </c>
      <c r="D283" s="12" t="str">
        <f>INDEX('ei names mapping'!$B$104:$R$133,MATCH($B$3,'ei names mapping'!$A$4:$A$33,0),MATCH(G283,'ei names mapping'!$B$3:$R$3,0))</f>
        <v>unit</v>
      </c>
      <c r="E283" s="12"/>
      <c r="F283" s="12" t="s">
        <v>91</v>
      </c>
      <c r="G283" t="s">
        <v>123</v>
      </c>
      <c r="H283" s="12" t="str">
        <f>INDEX('ei names mapping'!$B$71:$R$100,MATCH($B$3,'ei names mapping'!$A$4:$A$33,0),MATCH(G283,'ei names mapping'!$B$3:$R$3,0))</f>
        <v>maintenance, electric bicycle, without battery</v>
      </c>
    </row>
    <row r="284" spans="1:8" x14ac:dyDescent="0.3">
      <c r="A284" s="12" t="str">
        <f>INDEX('ei names mapping'!$B$4:$BK$33,MATCH($B$179,'ei names mapping'!$A$4:$A$33,0),MATCH(G284,'ei names mapping'!$B$3:$BK$3,0))</f>
        <v>treatment of road wear emissions, passenger car</v>
      </c>
      <c r="B284" s="15">
        <f>INDEX('vehicles specifications'!$B$3:$CK$86,MATCH(B256,'vehicles specifications'!$A$3:$A$86,0),MATCH(G284,'vehicles specifications'!$B$2:$CK$2,0))*INDEX('ei names mapping'!$B$137:$BK$220,MATCH(B256,'ei names mapping'!$A$137:$A$220,0),MATCH(G284,'ei names mapping'!$B$136:$BK$136,0))</f>
        <v>-3.0000000000000001E-6</v>
      </c>
      <c r="C284" s="12" t="str">
        <f>INDEX('ei names mapping'!$B$38:$BK$67,MATCH($B$179,'ei names mapping'!$A$4:$A$33,0),MATCH(G284,'ei names mapping'!$B$3:$BK$3,0))</f>
        <v>RER</v>
      </c>
      <c r="D284" s="12" t="str">
        <f>INDEX('ei names mapping'!$B$104:$BK$133,MATCH($B$179,'ei names mapping'!$A$4:$A$33,0),MATCH(G284,'ei names mapping'!$B$3:$BK$3,0))</f>
        <v>kilogram</v>
      </c>
      <c r="E284" s="12"/>
      <c r="F284" s="12" t="s">
        <v>91</v>
      </c>
      <c r="G284" t="s">
        <v>29</v>
      </c>
      <c r="H284" s="12" t="str">
        <f>INDEX('ei names mapping'!$B$71:$BK$100,MATCH(B253,'ei names mapping'!$A$4:$A$33,0),MATCH(G284,'ei names mapping'!$B$3:$BK$3,0))</f>
        <v>road wear emissions, passenger car</v>
      </c>
    </row>
    <row r="285" spans="1:8" x14ac:dyDescent="0.3">
      <c r="A285" s="12" t="str">
        <f>INDEX('ei names mapping'!$B$4:$BK$33,MATCH($B$179,'ei names mapping'!$A$4:$A$33,0),MATCH(G285,'ei names mapping'!$B$3:$BK$3,0))</f>
        <v>treatment of tyre wear emissions, passenger car</v>
      </c>
      <c r="B285" s="15">
        <f>INDEX('vehicles specifications'!$B$3:$CK$86,MATCH(B256,'vehicles specifications'!$A$3:$A$86,0),MATCH(G285,'vehicles specifications'!$B$2:$CK$2,0))*INDEX('ei names mapping'!$B$137:$BK$220,MATCH(B256,'ei names mapping'!$A$137:$A$220,0),MATCH(G285,'ei names mapping'!$B$136:$BK$136,0))</f>
        <v>-2.9189999999999999E-6</v>
      </c>
      <c r="C285" s="12" t="str">
        <f>INDEX('ei names mapping'!$B$38:$BK$67,MATCH($B$179,'ei names mapping'!$A$4:$A$33,0),MATCH(G285,'ei names mapping'!$B$3:$BK$3,0))</f>
        <v>RER</v>
      </c>
      <c r="D285" s="12" t="str">
        <f>INDEX('ei names mapping'!$B$104:$BK$133,MATCH($B$179,'ei names mapping'!$A$4:$A$33,0),MATCH(G285,'ei names mapping'!$B$3:$BK$3,0))</f>
        <v>kilogram</v>
      </c>
      <c r="E285" s="12"/>
      <c r="F285" s="12" t="s">
        <v>91</v>
      </c>
      <c r="G285" t="s">
        <v>30</v>
      </c>
      <c r="H285" s="12" t="str">
        <f>INDEX('ei names mapping'!$B$71:$BK$100,MATCH($B$179,'ei names mapping'!$A$4:$A$33,0),MATCH(G285,'ei names mapping'!$B$3:$BK$3,0))</f>
        <v>tyre wear emissions, passenger car</v>
      </c>
    </row>
    <row r="286" spans="1:8" x14ac:dyDescent="0.3">
      <c r="A286" s="12" t="str">
        <f>INDEX('ei names mapping'!$B$4:$BK$33,MATCH($B$179,'ei names mapping'!$A$4:$A$33,0),MATCH(G286,'ei names mapping'!$B$3:$BK$3,0))</f>
        <v>treatment of brake wear emissions, passenger car</v>
      </c>
      <c r="B286" s="15">
        <f>INDEX('vehicles specifications'!$B$3:$CK$86,MATCH(B256,'vehicles specifications'!$A$3:$A$86,0),MATCH(G286,'vehicles specifications'!$B$2:$CK$2,0))*INDEX('ei names mapping'!$B$137:$BK$220,MATCH(B256,'ei names mapping'!$A$137:$A$220,0),MATCH(G286,'ei names mapping'!$B$136:$BK$136,0))</f>
        <v>-1.8370000000000002E-6</v>
      </c>
      <c r="C286" s="12" t="str">
        <f>INDEX('ei names mapping'!$B$38:$BK$67,MATCH($B$179,'ei names mapping'!$A$4:$A$33,0),MATCH(G286,'ei names mapping'!$B$3:$BK$3,0))</f>
        <v>RER</v>
      </c>
      <c r="D286" s="12" t="str">
        <f>INDEX('ei names mapping'!$B$104:$BK$133,MATCH($B$179,'ei names mapping'!$A$4:$A$33,0),MATCH(G286,'ei names mapping'!$B$3:$BK$3,0))</f>
        <v>kilogram</v>
      </c>
      <c r="E286" s="12"/>
      <c r="F286" s="12" t="s">
        <v>91</v>
      </c>
      <c r="G286" t="s">
        <v>31</v>
      </c>
      <c r="H286" s="12" t="str">
        <f>INDEX('ei names mapping'!$B$71:$BK$100,MATCH($B$179,'ei names mapping'!$A$4:$A$33,0),MATCH(G286,'ei names mapping'!$B$3:$BK$3,0))</f>
        <v>brake wear emissions, passenger car</v>
      </c>
    </row>
    <row r="288" spans="1:8" ht="15.6" x14ac:dyDescent="0.3">
      <c r="A288" s="11" t="s">
        <v>72</v>
      </c>
      <c r="B288" s="9" t="str">
        <f>"transport, "&amp;B290&amp;", "&amp;B292</f>
        <v>transport, Bicycle, electric, cargo bike, 2050</v>
      </c>
    </row>
    <row r="289" spans="1:2" x14ac:dyDescent="0.3">
      <c r="A289" t="s">
        <v>73</v>
      </c>
      <c r="B289" t="s">
        <v>37</v>
      </c>
    </row>
    <row r="290" spans="1:2" x14ac:dyDescent="0.3">
      <c r="A290" t="s">
        <v>87</v>
      </c>
      <c r="B290" s="21" t="s">
        <v>524</v>
      </c>
    </row>
    <row r="291" spans="1:2" x14ac:dyDescent="0.3">
      <c r="A291" t="s">
        <v>88</v>
      </c>
      <c r="B291" s="12"/>
    </row>
    <row r="292" spans="1:2" x14ac:dyDescent="0.3">
      <c r="A292" t="s">
        <v>89</v>
      </c>
      <c r="B292" s="12">
        <v>2050</v>
      </c>
    </row>
    <row r="293" spans="1:2" x14ac:dyDescent="0.3">
      <c r="A293" t="s">
        <v>131</v>
      </c>
      <c r="B293" s="12" t="str">
        <f>B290&amp;" - "&amp;B292&amp;" - "&amp;B289</f>
        <v>Bicycle, electric, cargo bike - 2050 - CH</v>
      </c>
    </row>
    <row r="294" spans="1:2" x14ac:dyDescent="0.3">
      <c r="A294" t="s">
        <v>74</v>
      </c>
      <c r="B294" s="12" t="str">
        <f>"transport, "&amp;B290</f>
        <v>transport, Bicycle, electric, cargo bike</v>
      </c>
    </row>
    <row r="295" spans="1:2" x14ac:dyDescent="0.3">
      <c r="A295" t="s">
        <v>75</v>
      </c>
      <c r="B295" t="s">
        <v>76</v>
      </c>
    </row>
    <row r="296" spans="1:2" x14ac:dyDescent="0.3">
      <c r="A296" t="s">
        <v>77</v>
      </c>
      <c r="B296" t="s">
        <v>172</v>
      </c>
    </row>
    <row r="297" spans="1:2" x14ac:dyDescent="0.3">
      <c r="A297" t="s">
        <v>79</v>
      </c>
      <c r="B297" t="s">
        <v>90</v>
      </c>
    </row>
    <row r="298" spans="1:2" x14ac:dyDescent="0.3">
      <c r="A298" t="s">
        <v>132</v>
      </c>
      <c r="B298">
        <f>INDEX('vehicles specifications'!$B$3:$CK$86,MATCH(B293,'vehicles specifications'!$A$3:$A$86,0),MATCH("Lifetime [km]",'vehicles specifications'!$B$2:$CK$2,0))</f>
        <v>20000</v>
      </c>
    </row>
    <row r="299" spans="1:2" x14ac:dyDescent="0.3">
      <c r="A299" t="s">
        <v>133</v>
      </c>
      <c r="B299">
        <f>INDEX('vehicles specifications'!$B$3:$CK$86,MATCH(B293,'vehicles specifications'!$A$3:$A$86,0),MATCH("Passengers [unit]",'vehicles specifications'!$B$2:$CK$2,0))</f>
        <v>1</v>
      </c>
    </row>
    <row r="300" spans="1:2" x14ac:dyDescent="0.3">
      <c r="A300" t="s">
        <v>134</v>
      </c>
      <c r="B300">
        <f>INDEX('vehicles specifications'!$B$3:$CK$86,MATCH(B293,'vehicles specifications'!$A$3:$A$86,0),MATCH("Servicing [unit]",'vehicles specifications'!$B$2:$CK$2,0))</f>
        <v>5</v>
      </c>
    </row>
    <row r="301" spans="1:2" x14ac:dyDescent="0.3">
      <c r="A301" t="s">
        <v>135</v>
      </c>
      <c r="B301">
        <f>INDEX('vehicles specifications'!$B$3:$CK$86,MATCH(B293,'vehicles specifications'!$A$3:$A$86,0),MATCH("Energy battery replacement [unit]",'vehicles specifications'!$B$2:$CK$2,0))</f>
        <v>0</v>
      </c>
    </row>
    <row r="302" spans="1:2" x14ac:dyDescent="0.3">
      <c r="A302" t="s">
        <v>136</v>
      </c>
      <c r="B302">
        <f>INDEX('vehicles specifications'!$B$3:$CK$86,MATCH(B293,'vehicles specifications'!$A$3:$A$86,0),MATCH("Annual kilometers [km]",'vehicles specifications'!$B$2:$CK$2,0))</f>
        <v>2060</v>
      </c>
    </row>
    <row r="303" spans="1:2" x14ac:dyDescent="0.3">
      <c r="A303" t="s">
        <v>137</v>
      </c>
      <c r="B303">
        <f>INDEX('vehicles specifications'!$B$3:$CK$86,MATCH(B293,'vehicles specifications'!$A$3:$A$86,0),MATCH("Curb mass [kg]",'vehicles specifications'!$B$2:$CK$2,0))</f>
        <v>36.619999999999997</v>
      </c>
    </row>
    <row r="304" spans="1:2" x14ac:dyDescent="0.3">
      <c r="A304" t="s">
        <v>138</v>
      </c>
      <c r="B304">
        <f>INDEX('vehicles specifications'!$B$3:$CK$86,MATCH(B293,'vehicles specifications'!$A$3:$A$86,0),MATCH("Power [kW]",'vehicles specifications'!$B$2:$CK$2,0))</f>
        <v>0.5</v>
      </c>
    </row>
    <row r="305" spans="1:8" x14ac:dyDescent="0.3">
      <c r="A305" t="s">
        <v>139</v>
      </c>
      <c r="B305">
        <f>INDEX('vehicles specifications'!$B$3:$CK$86,MATCH(B293,'vehicles specifications'!$A$3:$A$86,0),MATCH("Energy battery mass [kg]",'vehicles specifications'!$B$2:$CK$2,0))</f>
        <v>5.9799999999999995</v>
      </c>
    </row>
    <row r="306" spans="1:8" x14ac:dyDescent="0.3">
      <c r="A306" t="s">
        <v>140</v>
      </c>
      <c r="B306">
        <f>INDEX('vehicles specifications'!$B$3:$CK$86,MATCH(B293,'vehicles specifications'!$A$3:$A$86,0),MATCH("Electric energy stored [kWh]",'vehicles specifications'!$B$2:$CK$2,0))</f>
        <v>2.2999999999999998</v>
      </c>
    </row>
    <row r="307" spans="1:8" s="21" customFormat="1" x14ac:dyDescent="0.3">
      <c r="A307" s="21" t="s">
        <v>654</v>
      </c>
      <c r="B307" s="21">
        <f>INDEX('vehicles specifications'!$B$3:$CK$86,MATCH(B293,'vehicles specifications'!$A$3:$A$86,0),MATCH("Electric energy available [kWh]",'vehicles specifications'!$B$2:$CK$2,0))</f>
        <v>1.8399999999999999</v>
      </c>
    </row>
    <row r="308" spans="1:8" x14ac:dyDescent="0.3">
      <c r="A308" t="s">
        <v>143</v>
      </c>
      <c r="B308">
        <f>INDEX('vehicles specifications'!$B$3:$CK$86,MATCH(B293,'vehicles specifications'!$A$3:$A$86,0),MATCH("Oxydation energy stored [kWh]",'vehicles specifications'!$B$2:$CK$2,0))</f>
        <v>0</v>
      </c>
    </row>
    <row r="309" spans="1:8" x14ac:dyDescent="0.3">
      <c r="A309" t="s">
        <v>145</v>
      </c>
      <c r="B309">
        <f>INDEX('vehicles specifications'!$B$3:$CK$86,MATCH(B293,'vehicles specifications'!$A$3:$A$86,0),MATCH("Fuel mass [kg]",'vehicles specifications'!$B$2:$CK$2,0))</f>
        <v>0</v>
      </c>
    </row>
    <row r="310" spans="1:8" x14ac:dyDescent="0.3">
      <c r="A310" t="s">
        <v>141</v>
      </c>
      <c r="B310">
        <f>INDEX('vehicles specifications'!$B$3:$CK$86,MATCH(B293,'vehicles specifications'!$A$3:$A$86,0),MATCH("Range [km]",'vehicles specifications'!$B$2:$CK$2,0))</f>
        <v>190.84759493670884</v>
      </c>
    </row>
    <row r="311" spans="1:8" x14ac:dyDescent="0.3">
      <c r="A311" t="s">
        <v>142</v>
      </c>
      <c r="B311" t="str">
        <f>INDEX('vehicles specifications'!$B$3:$CK$86,MATCH(B293,'vehicles specifications'!$A$3:$A$86,0),MATCH("Emission standard",'vehicles specifications'!$B$2:$CK$2,0))</f>
        <v>None</v>
      </c>
    </row>
    <row r="312" spans="1:8" x14ac:dyDescent="0.3">
      <c r="A312" t="s">
        <v>144</v>
      </c>
      <c r="B312" s="6">
        <f>INDEX('vehicles specifications'!$B$3:$CK$86,MATCH(B293,'vehicles specifications'!$A$3:$A$86,0),MATCH("Lightweighting rate [%]",'vehicles specifications'!$B$2:$CK$2,0))</f>
        <v>7.0000000000000007E-2</v>
      </c>
    </row>
    <row r="313" spans="1:8" x14ac:dyDescent="0.3">
      <c r="A313" t="s">
        <v>84</v>
      </c>
      <c r="B313" s="21" t="str">
        <f>"Power: "&amp;B304&amp;" kW. Lifetime: "&amp;B298&amp;" km. Annual kilometers: "&amp;B302&amp;" km. Number of passengers: "&amp;B299&amp;". Curb mass: "&amp;ROUND(B303,1)&amp;" kg. Lightweighting of glider: "&amp;ROUND(B312*100,0)&amp;"%. Emission standard: "&amp;B311&amp;". Service visits throughout lifetime: "&amp;ROUND(B300,1)&amp;". Range: "&amp;ROUND(B310,0)&amp;" km. Battery capacity: "&amp;ROUND(B306,1)&amp;" kWh. Available battery capacity: "&amp;B307&amp;" kWh. Battery mass: "&amp;ROUND(B305,1)&amp; " kg. Battery replacement throughout lifetime: "&amp;ROUND(B301,1)&amp;". Fuel tank capacity: "&amp;ROUND(B308,1)&amp;" kWh. Fuel mass: "&amp;ROUND(B309,1)&amp;" kg. Documentation: "&amp;Readmefirst!$B$2&amp;", "&amp;Readmefirst!$B$3&amp;". "&amp;B297</f>
        <v>Power: 0.5 kW. Lifetime: 20000 km. Annual kilometers: 2060 km. Number of passengers: 1. Curb mass: 36.6 kg. Lightweighting of glider: 7%. Emission standard: None. Service visits throughout lifetime: 5. Range: 191 km. Battery capacity: 2.3 kWh. Available battery capacity: 1.84 kWh. Battery mass: 6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14" spans="1:8" ht="15.6" x14ac:dyDescent="0.3">
      <c r="A314" s="11" t="s">
        <v>80</v>
      </c>
    </row>
    <row r="315" spans="1:8" x14ac:dyDescent="0.3">
      <c r="A315" t="s">
        <v>81</v>
      </c>
      <c r="B315" t="s">
        <v>82</v>
      </c>
      <c r="C315" t="s">
        <v>73</v>
      </c>
      <c r="D315" t="s">
        <v>77</v>
      </c>
      <c r="E315" t="s">
        <v>83</v>
      </c>
      <c r="F315" t="s">
        <v>75</v>
      </c>
      <c r="G315" t="s">
        <v>84</v>
      </c>
      <c r="H315" t="s">
        <v>74</v>
      </c>
    </row>
    <row r="316" spans="1:8" x14ac:dyDescent="0.3">
      <c r="A316" s="12" t="str">
        <f>B288</f>
        <v>transport, Bicycle, electric, cargo bike, 2050</v>
      </c>
      <c r="B316" s="12">
        <v>1</v>
      </c>
      <c r="C316" s="12" t="str">
        <f>B289</f>
        <v>CH</v>
      </c>
      <c r="D316" s="12" t="s">
        <v>172</v>
      </c>
      <c r="E316" s="12"/>
      <c r="F316" s="12" t="s">
        <v>85</v>
      </c>
      <c r="G316" s="12" t="s">
        <v>86</v>
      </c>
      <c r="H316" s="12" t="str">
        <f>B294</f>
        <v>transport, Bicycle, electric, cargo bike</v>
      </c>
    </row>
    <row r="317" spans="1:8" x14ac:dyDescent="0.3">
      <c r="A317" s="12" t="str">
        <f>RIGHT(A316,LEN(A316)-11)</f>
        <v>Bicycle, electric, cargo bike, 2050</v>
      </c>
      <c r="B317" s="12">
        <f>1/B298</f>
        <v>5.0000000000000002E-5</v>
      </c>
      <c r="C317" s="12" t="str">
        <f>B289</f>
        <v>CH</v>
      </c>
      <c r="D317" s="12" t="s">
        <v>77</v>
      </c>
      <c r="E317" s="12"/>
      <c r="F317" s="12" t="s">
        <v>91</v>
      </c>
      <c r="G317" s="12"/>
      <c r="H317" s="12" t="str">
        <f>RIGHT(H316,LEN(H316)-11)</f>
        <v>Bicycle, electric, cargo bike</v>
      </c>
    </row>
    <row r="318" spans="1:8" s="21" customFormat="1" x14ac:dyDescent="0.3">
      <c r="A318" s="12" t="str">
        <f>INDEX('ei names mapping'!$B$4:$R$33,MATCH(B290,'ei names mapping'!$A$4:$A$33,0),MATCH(G318,'ei names mapping'!$B$3:$R$3,0))</f>
        <v>road construction</v>
      </c>
      <c r="B318" s="16">
        <f>INDEX('vehicles specifications'!$B$3:$CK$86,MATCH(B293,'vehicles specifications'!$A$3:$A$86,0),MATCH(G318,'vehicles specifications'!$B$2:$CK$2,0))*INDEX('ei names mapping'!$B$137:$BK$220,MATCH(B293,'ei names mapping'!$A$137:$A$220,0),MATCH(G318,'ei names mapping'!$B$136:$BK$136,0))</f>
        <v>5.7791940000000001E-5</v>
      </c>
      <c r="C318" s="12" t="str">
        <f>INDEX('ei names mapping'!$B$38:$R$67,MATCH(B290,'ei names mapping'!$A$4:$A$33,0),MATCH(G318,'ei names mapping'!$B$3:$R$3,0))</f>
        <v>CH</v>
      </c>
      <c r="D318" s="12" t="str">
        <f>INDEX('ei names mapping'!$B$104:$BK$133,MATCH(B290,'ei names mapping'!$A$4:$A$33,0),MATCH(G318,'ei names mapping'!$B$3:$BK$3,0))</f>
        <v>meter-year</v>
      </c>
      <c r="E318" s="12"/>
      <c r="F318" s="12" t="s">
        <v>91</v>
      </c>
      <c r="G318" s="21" t="s">
        <v>108</v>
      </c>
      <c r="H318" s="12" t="str">
        <f>INDEX('ei names mapping'!$B$71:$BK$100,MATCH(B290,'ei names mapping'!$A$4:$A$33,0),MATCH(G318,'ei names mapping'!$B$3:$BK$3,0))</f>
        <v>road</v>
      </c>
    </row>
    <row r="319" spans="1:8" x14ac:dyDescent="0.3">
      <c r="A319" s="12" t="str">
        <f>INDEX('ei names mapping'!$B$4:$R$33,MATCH($B$3,'ei names mapping'!$A$4:$A$33,0),MATCH(G319,'ei names mapping'!$B$3:$R$3,0))</f>
        <v>market for electricity, low voltage</v>
      </c>
      <c r="B319" s="14">
        <f>INDEX('vehicles specifications'!$B$3:$CK$86,MATCH(B293,'vehicles specifications'!$A$3:$A$86,0),MATCH(G319,'vehicles specifications'!$B$2:$CK$2,0))*INDEX('ei names mapping'!$B$137:$BK$220,MATCH(B293,'ei names mapping'!$A$137:$A$220,0),MATCH(G319,'ei names mapping'!$B$136:$BK$136,0))</f>
        <v>1.0605320966560899E-2</v>
      </c>
      <c r="C319" s="12" t="str">
        <f>INDEX('ei names mapping'!$B$38:$R$67,MATCH($B$3,'ei names mapping'!$A$4:$A$33,0),MATCH(G319,'ei names mapping'!$B$3:$R$3,0))</f>
        <v>CH</v>
      </c>
      <c r="D319" s="12" t="str">
        <f>INDEX('ei names mapping'!$B$104:$R$133,MATCH($B$3,'ei names mapping'!$A$4:$A$33,0),MATCH(G319,'ei names mapping'!$B$3:$R$3,0))</f>
        <v>kilowatt hour</v>
      </c>
      <c r="E319" s="12"/>
      <c r="F319" s="12" t="s">
        <v>91</v>
      </c>
      <c r="G319" t="s">
        <v>28</v>
      </c>
      <c r="H319" s="12" t="str">
        <f>INDEX('ei names mapping'!$B$71:$R$100,MATCH($B$3,'ei names mapping'!$A$4:$A$33,0),MATCH(G319,'ei names mapping'!$B$3:$R$3,0))</f>
        <v>electricity, low voltage</v>
      </c>
    </row>
    <row r="320" spans="1:8" x14ac:dyDescent="0.3">
      <c r="A320" s="12" t="str">
        <f>INDEX('ei names mapping'!$B$4:$R$33,MATCH($B$3,'ei names mapping'!$A$4:$A$33,0),MATCH(G320,'ei names mapping'!$B$3:$R$3,0))</f>
        <v>maintenance, electric bicycle, without battery</v>
      </c>
      <c r="B320" s="14">
        <f>INDEX('vehicles specifications'!$B$3:$CK$86,MATCH(B293,'vehicles specifications'!$A$3:$A$86,0),MATCH(G320,'vehicles specifications'!$B$2:$CK$2,0))*INDEX('ei names mapping'!$B$137:$BK$220,MATCH(B293,'ei names mapping'!$A$137:$A$220,0),MATCH(G320,'ei names mapping'!$B$136:$BK$136,0))</f>
        <v>2.5000000000000001E-4</v>
      </c>
      <c r="C320" s="12" t="str">
        <f>INDEX('ei names mapping'!$B$38:$R$67,MATCH($B$3,'ei names mapping'!$A$4:$A$33,0),MATCH(G320,'ei names mapping'!$B$3:$R$3,0))</f>
        <v>CH</v>
      </c>
      <c r="D320" s="12" t="str">
        <f>INDEX('ei names mapping'!$B$104:$R$133,MATCH($B$3,'ei names mapping'!$A$4:$A$33,0),MATCH(G320,'ei names mapping'!$B$3:$R$3,0))</f>
        <v>unit</v>
      </c>
      <c r="E320" s="12"/>
      <c r="F320" s="12" t="s">
        <v>91</v>
      </c>
      <c r="G320" t="s">
        <v>123</v>
      </c>
      <c r="H320" s="12" t="str">
        <f>INDEX('ei names mapping'!$B$71:$R$100,MATCH($B$3,'ei names mapping'!$A$4:$A$33,0),MATCH(G320,'ei names mapping'!$B$3:$R$3,0))</f>
        <v>maintenance, electric bicycle, without battery</v>
      </c>
    </row>
    <row r="321" spans="1:8" x14ac:dyDescent="0.3">
      <c r="A321" s="12" t="str">
        <f>INDEX('ei names mapping'!$B$4:$BK$33,MATCH($B$179,'ei names mapping'!$A$4:$A$33,0),MATCH(G321,'ei names mapping'!$B$3:$BK$3,0))</f>
        <v>treatment of road wear emissions, passenger car</v>
      </c>
      <c r="B321" s="15">
        <f>INDEX('vehicles specifications'!$B$3:$CK$86,MATCH(B293,'vehicles specifications'!$A$3:$A$86,0),MATCH(G321,'vehicles specifications'!$B$2:$CK$2,0))*INDEX('ei names mapping'!$B$137:$BK$220,MATCH(B293,'ei names mapping'!$A$137:$A$220,0),MATCH(G321,'ei names mapping'!$B$136:$BK$136,0))</f>
        <v>-3.0000000000000001E-6</v>
      </c>
      <c r="C321" s="12" t="str">
        <f>INDEX('ei names mapping'!$B$38:$BK$67,MATCH($B$179,'ei names mapping'!$A$4:$A$33,0),MATCH(G321,'ei names mapping'!$B$3:$BK$3,0))</f>
        <v>RER</v>
      </c>
      <c r="D321" s="12" t="str">
        <f>INDEX('ei names mapping'!$B$104:$BK$133,MATCH($B$179,'ei names mapping'!$A$4:$A$33,0),MATCH(G321,'ei names mapping'!$B$3:$BK$3,0))</f>
        <v>kilogram</v>
      </c>
      <c r="E321" s="12"/>
      <c r="F321" s="12" t="s">
        <v>91</v>
      </c>
      <c r="G321" t="s">
        <v>29</v>
      </c>
      <c r="H321" s="12" t="str">
        <f>INDEX('ei names mapping'!$B$71:$BK$100,MATCH(B290,'ei names mapping'!$A$4:$A$33,0),MATCH(G321,'ei names mapping'!$B$3:$BK$3,0))</f>
        <v>road wear emissions, passenger car</v>
      </c>
    </row>
    <row r="322" spans="1:8" x14ac:dyDescent="0.3">
      <c r="A322" s="12" t="str">
        <f>INDEX('ei names mapping'!$B$4:$BK$33,MATCH($B$179,'ei names mapping'!$A$4:$A$33,0),MATCH(G322,'ei names mapping'!$B$3:$BK$3,0))</f>
        <v>treatment of tyre wear emissions, passenger car</v>
      </c>
      <c r="B322" s="15">
        <f>INDEX('vehicles specifications'!$B$3:$CK$86,MATCH(B293,'vehicles specifications'!$A$3:$A$86,0),MATCH(G322,'vehicles specifications'!$B$2:$CK$2,0))*INDEX('ei names mapping'!$B$137:$BK$220,MATCH(B293,'ei names mapping'!$A$137:$A$220,0),MATCH(G322,'ei names mapping'!$B$136:$BK$136,0))</f>
        <v>-2.9189999999999999E-6</v>
      </c>
      <c r="C322" s="12" t="str">
        <f>INDEX('ei names mapping'!$B$38:$BK$67,MATCH($B$179,'ei names mapping'!$A$4:$A$33,0),MATCH(G322,'ei names mapping'!$B$3:$BK$3,0))</f>
        <v>RER</v>
      </c>
      <c r="D322" s="12" t="str">
        <f>INDEX('ei names mapping'!$B$104:$BK$133,MATCH($B$179,'ei names mapping'!$A$4:$A$33,0),MATCH(G322,'ei names mapping'!$B$3:$BK$3,0))</f>
        <v>kilogram</v>
      </c>
      <c r="E322" s="12"/>
      <c r="F322" s="12" t="s">
        <v>91</v>
      </c>
      <c r="G322" t="s">
        <v>30</v>
      </c>
      <c r="H322" s="12" t="str">
        <f>INDEX('ei names mapping'!$B$71:$BK$100,MATCH($B$179,'ei names mapping'!$A$4:$A$33,0),MATCH(G322,'ei names mapping'!$B$3:$BK$3,0))</f>
        <v>tyre wear emissions, passenger car</v>
      </c>
    </row>
    <row r="323" spans="1:8" x14ac:dyDescent="0.3">
      <c r="A323" s="12" t="str">
        <f>INDEX('ei names mapping'!$B$4:$BK$33,MATCH($B$179,'ei names mapping'!$A$4:$A$33,0),MATCH(G323,'ei names mapping'!$B$3:$BK$3,0))</f>
        <v>treatment of brake wear emissions, passenger car</v>
      </c>
      <c r="B323" s="15">
        <f>INDEX('vehicles specifications'!$B$3:$CK$86,MATCH(B293,'vehicles specifications'!$A$3:$A$86,0),MATCH(G323,'vehicles specifications'!$B$2:$CK$2,0))*INDEX('ei names mapping'!$B$137:$BK$220,MATCH(B293,'ei names mapping'!$A$137:$A$220,0),MATCH(G323,'ei names mapping'!$B$136:$BK$136,0))</f>
        <v>-1.8370000000000002E-6</v>
      </c>
      <c r="C323" s="12" t="str">
        <f>INDEX('ei names mapping'!$B$38:$BK$67,MATCH($B$179,'ei names mapping'!$A$4:$A$33,0),MATCH(G323,'ei names mapping'!$B$3:$BK$3,0))</f>
        <v>RER</v>
      </c>
      <c r="D323" s="12" t="str">
        <f>INDEX('ei names mapping'!$B$104:$BK$133,MATCH($B$179,'ei names mapping'!$A$4:$A$33,0),MATCH(G323,'ei names mapping'!$B$3:$BK$3,0))</f>
        <v>kilogram</v>
      </c>
      <c r="E323" s="12"/>
      <c r="F323" s="12" t="s">
        <v>91</v>
      </c>
      <c r="G323" t="s">
        <v>31</v>
      </c>
      <c r="H323" s="12" t="str">
        <f>INDEX('ei names mapping'!$B$71:$BK$100,MATCH($B$179,'ei names mapping'!$A$4:$A$33,0),MATCH(G323,'ei names mapping'!$B$3:$BK$3,0))</f>
        <v>brake wear emissions, passenger car</v>
      </c>
    </row>
    <row r="325" spans="1:8" ht="15.6" x14ac:dyDescent="0.3">
      <c r="A325" s="11" t="s">
        <v>72</v>
      </c>
      <c r="B325" s="9" t="str">
        <f>"transport, "&amp;B327&amp;", "&amp;B329&amp;", label-certified electricity"</f>
        <v>transport, Bicycle, electric, cargo bike, 2020, label-certified electricity</v>
      </c>
    </row>
    <row r="326" spans="1:8" x14ac:dyDescent="0.3">
      <c r="A326" t="s">
        <v>73</v>
      </c>
      <c r="B326" t="s">
        <v>37</v>
      </c>
    </row>
    <row r="327" spans="1:8" x14ac:dyDescent="0.3">
      <c r="A327" t="s">
        <v>87</v>
      </c>
      <c r="B327" s="21" t="s">
        <v>524</v>
      </c>
    </row>
    <row r="328" spans="1:8" x14ac:dyDescent="0.3">
      <c r="A328" t="s">
        <v>88</v>
      </c>
      <c r="B328" s="12"/>
    </row>
    <row r="329" spans="1:8" x14ac:dyDescent="0.3">
      <c r="A329" t="s">
        <v>89</v>
      </c>
      <c r="B329" s="12">
        <v>2020</v>
      </c>
    </row>
    <row r="330" spans="1:8" x14ac:dyDescent="0.3">
      <c r="A330" t="s">
        <v>131</v>
      </c>
      <c r="B330" s="12" t="str">
        <f>B327&amp;" - "&amp;B329&amp;" - "&amp;B326</f>
        <v>Bicycle, electric, cargo bike - 2020 - CH</v>
      </c>
    </row>
    <row r="331" spans="1:8" x14ac:dyDescent="0.3">
      <c r="A331" t="s">
        <v>74</v>
      </c>
      <c r="B331" s="12" t="str">
        <f>"transport, "&amp;B327</f>
        <v>transport, Bicycle, electric, cargo bike</v>
      </c>
    </row>
    <row r="332" spans="1:8" x14ac:dyDescent="0.3">
      <c r="A332" t="s">
        <v>75</v>
      </c>
      <c r="B332" t="s">
        <v>76</v>
      </c>
    </row>
    <row r="333" spans="1:8" x14ac:dyDescent="0.3">
      <c r="A333" t="s">
        <v>77</v>
      </c>
      <c r="B333" t="s">
        <v>172</v>
      </c>
    </row>
    <row r="334" spans="1:8" x14ac:dyDescent="0.3">
      <c r="A334" t="s">
        <v>79</v>
      </c>
      <c r="B334" t="s">
        <v>90</v>
      </c>
    </row>
    <row r="335" spans="1:8" x14ac:dyDescent="0.3">
      <c r="A335" t="s">
        <v>132</v>
      </c>
      <c r="B335">
        <f>INDEX('vehicles specifications'!$B$3:$CK$86,MATCH(B330,'vehicles specifications'!$A$3:$A$86,0),MATCH("Lifetime [km]",'vehicles specifications'!$B$2:$CK$2,0))</f>
        <v>20000</v>
      </c>
    </row>
    <row r="336" spans="1:8" x14ac:dyDescent="0.3">
      <c r="A336" t="s">
        <v>133</v>
      </c>
      <c r="B336">
        <f>INDEX('vehicles specifications'!$B$3:$CK$86,MATCH(B330,'vehicles specifications'!$A$3:$A$86,0),MATCH("Passengers [unit]",'vehicles specifications'!$B$2:$CK$2,0))</f>
        <v>1</v>
      </c>
    </row>
    <row r="337" spans="1:8" x14ac:dyDescent="0.3">
      <c r="A337" t="s">
        <v>134</v>
      </c>
      <c r="B337">
        <f>INDEX('vehicles specifications'!$B$3:$CK$86,MATCH(B330,'vehicles specifications'!$A$3:$A$86,0),MATCH("Servicing [unit]",'vehicles specifications'!$B$2:$CK$2,0))</f>
        <v>5</v>
      </c>
    </row>
    <row r="338" spans="1:8" x14ac:dyDescent="0.3">
      <c r="A338" t="s">
        <v>135</v>
      </c>
      <c r="B338">
        <f>INDEX('vehicles specifications'!$B$3:$CK$86,MATCH(B330,'vehicles specifications'!$A$3:$A$86,0),MATCH("Energy battery replacement [unit]",'vehicles specifications'!$B$2:$CK$2,0))</f>
        <v>1</v>
      </c>
    </row>
    <row r="339" spans="1:8" x14ac:dyDescent="0.3">
      <c r="A339" t="s">
        <v>136</v>
      </c>
      <c r="B339">
        <f>INDEX('vehicles specifications'!$B$3:$CK$86,MATCH(B330,'vehicles specifications'!$A$3:$A$86,0),MATCH("Annual kilometers [km]",'vehicles specifications'!$B$2:$CK$2,0))</f>
        <v>2060</v>
      </c>
    </row>
    <row r="340" spans="1:8" x14ac:dyDescent="0.3">
      <c r="A340" t="s">
        <v>137</v>
      </c>
      <c r="B340">
        <f>INDEX('vehicles specifications'!$B$3:$CK$86,MATCH(B330,'vehicles specifications'!$A$3:$A$86,0),MATCH("Curb mass [kg]",'vehicles specifications'!$B$2:$CK$2,0))</f>
        <v>36.9</v>
      </c>
    </row>
    <row r="341" spans="1:8" x14ac:dyDescent="0.3">
      <c r="A341" t="s">
        <v>138</v>
      </c>
      <c r="B341">
        <f>INDEX('vehicles specifications'!$B$3:$CK$86,MATCH(B330,'vehicles specifications'!$A$3:$A$86,0),MATCH("Power [kW]",'vehicles specifications'!$B$2:$CK$2,0))</f>
        <v>0.5</v>
      </c>
    </row>
    <row r="342" spans="1:8" x14ac:dyDescent="0.3">
      <c r="A342" t="s">
        <v>139</v>
      </c>
      <c r="B342">
        <f>INDEX('vehicles specifications'!$B$3:$CK$86,MATCH(B330,'vehicles specifications'!$A$3:$A$86,0),MATCH("Energy battery mass [kg]",'vehicles specifications'!$B$2:$CK$2,0))</f>
        <v>3.8999999999999995</v>
      </c>
    </row>
    <row r="343" spans="1:8" x14ac:dyDescent="0.3">
      <c r="A343" t="s">
        <v>140</v>
      </c>
      <c r="B343">
        <f>INDEX('vehicles specifications'!$B$3:$CK$86,MATCH(B330,'vehicles specifications'!$A$3:$A$86,0),MATCH("Electric energy stored [kWh]",'vehicles specifications'!$B$2:$CK$2,0))</f>
        <v>0.6</v>
      </c>
    </row>
    <row r="344" spans="1:8" s="21" customFormat="1" x14ac:dyDescent="0.3">
      <c r="A344" s="21" t="s">
        <v>654</v>
      </c>
      <c r="B344" s="21">
        <f>INDEX('vehicles specifications'!$B$3:$CK$86,MATCH(B330,'vehicles specifications'!$A$3:$A$86,0),MATCH("Electric energy available [kWh]",'vehicles specifications'!$B$2:$CK$2,0))</f>
        <v>0.48</v>
      </c>
    </row>
    <row r="345" spans="1:8" x14ac:dyDescent="0.3">
      <c r="A345" t="s">
        <v>143</v>
      </c>
      <c r="B345">
        <f>INDEX('vehicles specifications'!$B$3:$CK$86,MATCH(B330,'vehicles specifications'!$A$3:$A$86,0),MATCH("Oxydation energy stored [kWh]",'vehicles specifications'!$B$2:$CK$2,0))</f>
        <v>0</v>
      </c>
    </row>
    <row r="346" spans="1:8" x14ac:dyDescent="0.3">
      <c r="A346" t="s">
        <v>145</v>
      </c>
      <c r="B346">
        <f>INDEX('vehicles specifications'!$B$3:$CK$86,MATCH(B330,'vehicles specifications'!$A$3:$A$86,0),MATCH("Fuel mass [kg]",'vehicles specifications'!$B$2:$CK$2,0))</f>
        <v>0</v>
      </c>
    </row>
    <row r="347" spans="1:8" x14ac:dyDescent="0.3">
      <c r="A347" t="s">
        <v>141</v>
      </c>
      <c r="B347">
        <f>INDEX('vehicles specifications'!$B$3:$CK$86,MATCH(B330,'vehicles specifications'!$A$3:$A$86,0),MATCH("Range [km]",'vehicles specifications'!$B$2:$CK$2,0))</f>
        <v>49.786329113924047</v>
      </c>
    </row>
    <row r="348" spans="1:8" x14ac:dyDescent="0.3">
      <c r="A348" t="s">
        <v>142</v>
      </c>
      <c r="B348" t="str">
        <f>INDEX('vehicles specifications'!$B$3:$CK$86,MATCH(B330,'vehicles specifications'!$A$3:$A$86,0),MATCH("Emission standard",'vehicles specifications'!$B$2:$CK$2,0))</f>
        <v>None</v>
      </c>
    </row>
    <row r="349" spans="1:8" x14ac:dyDescent="0.3">
      <c r="A349" t="s">
        <v>144</v>
      </c>
      <c r="B349" s="6">
        <f>INDEX('vehicles specifications'!$B$3:$CK$86,MATCH(B330,'vehicles specifications'!$A$3:$A$86,0),MATCH("Lightweighting rate [%]",'vehicles specifications'!$B$2:$CK$2,0))</f>
        <v>0</v>
      </c>
    </row>
    <row r="350" spans="1:8" x14ac:dyDescent="0.3">
      <c r="A350" t="s">
        <v>84</v>
      </c>
      <c r="B350" s="21" t="str">
        <f>"Power: "&amp;B341&amp;" kW. Lifetime: "&amp;B335&amp;" km. Annual kilometers: "&amp;B339&amp;" km. Number of passengers: "&amp;B336&amp;". Curb mass: "&amp;ROUND(B340,1)&amp;" kg. Lightweighting of glider: "&amp;ROUND(B349*100,0)&amp;"%. Emission standard: "&amp;B348&amp;". Service visits throughout lifetime: "&amp;ROUND(B337,1)&amp;". Range: "&amp;ROUND(B347,0)&amp;" km. Battery capacity: "&amp;ROUND(B343,1)&amp;" kWh. Available battery capacity: "&amp;B344&amp;" kWh. Battery mass: "&amp;ROUND(B342,1)&amp; " kg. Battery replacement throughout lifetime: "&amp;ROUND(B338,1)&amp;". Fuel tank capacity: "&amp;ROUND(B345,1)&amp;" kWh. Fuel mass: "&amp;ROUND(B346,1)&amp;" kg. Documentation: "&amp;Readmefirst!$B$2&amp;", "&amp;Readmefirst!$B$3&amp;". "&amp;B334</f>
        <v>Power: 0.5 kW. Lifetime: 20000 km. Annual kilometers: 2060 km. Number of passengers: 1. Curb mass: 36.9 kg. Lightweighting of glider: 0%. Emission standard: None. Service visits throughout lifetime: 5. Range: 50 km. Battery capacity: 0.6 kWh. Available battery capacity: 0.48 kWh. Battery mass: 3.9 kg. Battery replacement throughout lifetime: 1.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1" spans="1:8" ht="15.6" x14ac:dyDescent="0.3">
      <c r="A351" s="11" t="s">
        <v>80</v>
      </c>
    </row>
    <row r="352" spans="1:8" x14ac:dyDescent="0.3">
      <c r="A352" t="s">
        <v>81</v>
      </c>
      <c r="B352" t="s">
        <v>82</v>
      </c>
      <c r="C352" t="s">
        <v>73</v>
      </c>
      <c r="D352" t="s">
        <v>77</v>
      </c>
      <c r="E352" t="s">
        <v>83</v>
      </c>
      <c r="F352" t="s">
        <v>75</v>
      </c>
      <c r="G352" t="s">
        <v>84</v>
      </c>
      <c r="H352" t="s">
        <v>74</v>
      </c>
    </row>
    <row r="353" spans="1:8" x14ac:dyDescent="0.3">
      <c r="A353" s="12" t="str">
        <f>B325</f>
        <v>transport, Bicycle, electric, cargo bike, 2020, label-certified electricity</v>
      </c>
      <c r="B353" s="12">
        <v>1</v>
      </c>
      <c r="C353" s="12" t="str">
        <f>B326</f>
        <v>CH</v>
      </c>
      <c r="D353" s="12" t="s">
        <v>172</v>
      </c>
      <c r="E353" s="12"/>
      <c r="F353" s="12" t="s">
        <v>85</v>
      </c>
      <c r="G353" s="12" t="s">
        <v>86</v>
      </c>
      <c r="H353" s="12" t="str">
        <f>B331</f>
        <v>transport, Bicycle, electric, cargo bike</v>
      </c>
    </row>
    <row r="354" spans="1:8" x14ac:dyDescent="0.3">
      <c r="A354" s="12" t="str">
        <f>B327&amp;", "&amp;B329</f>
        <v>Bicycle, electric, cargo bike, 2020</v>
      </c>
      <c r="B354" s="12">
        <f>1/B335</f>
        <v>5.0000000000000002E-5</v>
      </c>
      <c r="C354" s="12" t="str">
        <f>B326</f>
        <v>CH</v>
      </c>
      <c r="D354" s="12" t="s">
        <v>77</v>
      </c>
      <c r="E354" s="12"/>
      <c r="F354" s="12" t="s">
        <v>91</v>
      </c>
      <c r="G354" s="12"/>
      <c r="H354" s="12" t="str">
        <f>RIGHT(H353,LEN(H353)-11)</f>
        <v>Bicycle, electric, cargo bike</v>
      </c>
    </row>
    <row r="355" spans="1:8" s="21" customFormat="1" x14ac:dyDescent="0.3">
      <c r="A355" s="12" t="str">
        <f>INDEX('ei names mapping'!$B$4:$R$33,MATCH(B327,'ei names mapping'!$A$4:$A$33,0),MATCH(G355,'ei names mapping'!$B$3:$R$3,0))</f>
        <v>road construction</v>
      </c>
      <c r="B355" s="16">
        <f>INDEX('vehicles specifications'!$B$3:$CK$86,MATCH(B330,'vehicles specifications'!$A$3:$A$86,0),MATCH(G355,'vehicles specifications'!$B$2:$CK$2,0))*INDEX('ei names mapping'!$B$137:$BK$220,MATCH(B330,'ei names mapping'!$A$137:$A$220,0),MATCH(G355,'ei names mapping'!$B$136:$BK$136,0))</f>
        <v>5.7942300000000003E-5</v>
      </c>
      <c r="C355" s="12" t="str">
        <f>INDEX('ei names mapping'!$B$38:$R$67,MATCH(B327,'ei names mapping'!$A$4:$A$33,0),MATCH(G355,'ei names mapping'!$B$3:$R$3,0))</f>
        <v>CH</v>
      </c>
      <c r="D355" s="12" t="str">
        <f>INDEX('ei names mapping'!$B$104:$BK$133,MATCH(B327,'ei names mapping'!$A$4:$A$33,0),MATCH(G355,'ei names mapping'!$B$3:$BK$3,0))</f>
        <v>meter-year</v>
      </c>
      <c r="E355" s="12"/>
      <c r="F355" s="12" t="s">
        <v>91</v>
      </c>
      <c r="G355" s="21" t="s">
        <v>108</v>
      </c>
      <c r="H355" s="12" t="str">
        <f>INDEX('ei names mapping'!$B$71:$BK$100,MATCH(B327,'ei names mapping'!$A$4:$A$33,0),MATCH(G355,'ei names mapping'!$B$3:$BK$3,0))</f>
        <v>road</v>
      </c>
    </row>
    <row r="356" spans="1:8" x14ac:dyDescent="0.3">
      <c r="A356" s="12" t="s">
        <v>114</v>
      </c>
      <c r="B356" s="14">
        <f>INDEX('vehicles specifications'!$B$3:$CK$86,MATCH(B330,'vehicles specifications'!$A$3:$A$86,0),MATCH(G356,'vehicles specifications'!$B$2:$CK$2,0))*INDEX('ei names mapping'!$B$137:$BK$220,MATCH(B330,'ei names mapping'!$A$137:$A$220,0),MATCH(G356,'ei names mapping'!$B$136:$BK$136,0))</f>
        <v>1.0605320966560899E-2</v>
      </c>
      <c r="C356" s="12" t="str">
        <f>INDEX('ei names mapping'!$B$38:$R$67,MATCH($B$3,'ei names mapping'!$A$4:$A$33,0),MATCH(G356,'ei names mapping'!$B$3:$R$3,0))</f>
        <v>CH</v>
      </c>
      <c r="D356" s="12" t="str">
        <f>INDEX('ei names mapping'!$B$104:$R$133,MATCH($B$3,'ei names mapping'!$A$4:$A$33,0),MATCH(G356,'ei names mapping'!$B$3:$R$3,0))</f>
        <v>kilowatt hour</v>
      </c>
      <c r="E356" s="12"/>
      <c r="F356" s="12" t="s">
        <v>91</v>
      </c>
      <c r="G356" t="s">
        <v>28</v>
      </c>
      <c r="H356" s="12" t="s">
        <v>116</v>
      </c>
    </row>
    <row r="357" spans="1:8" x14ac:dyDescent="0.3">
      <c r="A357" s="12" t="str">
        <f>INDEX('ei names mapping'!$B$4:$R$33,MATCH($B$3,'ei names mapping'!$A$4:$A$33,0),MATCH(G357,'ei names mapping'!$B$3:$R$3,0))</f>
        <v>maintenance, electric bicycle, without battery</v>
      </c>
      <c r="B357" s="14">
        <f>INDEX('vehicles specifications'!$B$3:$CK$86,MATCH(B330,'vehicles specifications'!$A$3:$A$86,0),MATCH(G357,'vehicles specifications'!$B$2:$CK$2,0))*INDEX('ei names mapping'!$B$137:$BK$220,MATCH(B330,'ei names mapping'!$A$137:$A$220,0),MATCH(G357,'ei names mapping'!$B$136:$BK$136,0))</f>
        <v>2.5000000000000001E-4</v>
      </c>
      <c r="C357" s="12" t="str">
        <f>INDEX('ei names mapping'!$B$38:$R$67,MATCH($B$3,'ei names mapping'!$A$4:$A$33,0),MATCH(G357,'ei names mapping'!$B$3:$R$3,0))</f>
        <v>CH</v>
      </c>
      <c r="D357" s="12" t="str">
        <f>INDEX('ei names mapping'!$B$104:$R$133,MATCH($B$3,'ei names mapping'!$A$4:$A$33,0),MATCH(G357,'ei names mapping'!$B$3:$R$3,0))</f>
        <v>unit</v>
      </c>
      <c r="E357" s="12"/>
      <c r="F357" s="12" t="s">
        <v>91</v>
      </c>
      <c r="G357" t="s">
        <v>123</v>
      </c>
      <c r="H357" s="12" t="str">
        <f>INDEX('ei names mapping'!$B$71:$R$100,MATCH($B$3,'ei names mapping'!$A$4:$A$33,0),MATCH(G357,'ei names mapping'!$B$3:$R$3,0))</f>
        <v>maintenance, electric bicycle, without battery</v>
      </c>
    </row>
    <row r="358" spans="1:8" x14ac:dyDescent="0.3">
      <c r="A358" s="12" t="str">
        <f>INDEX('ei names mapping'!$B$4:$BK$33,MATCH($B$179,'ei names mapping'!$A$4:$A$33,0),MATCH(G358,'ei names mapping'!$B$3:$BK$3,0))</f>
        <v>treatment of road wear emissions, passenger car</v>
      </c>
      <c r="B358" s="15">
        <f>INDEX('vehicles specifications'!$B$3:$CK$86,MATCH(B330,'vehicles specifications'!$A$3:$A$86,0),MATCH(G358,'vehicles specifications'!$B$2:$CK$2,0))*INDEX('ei names mapping'!$B$137:$BK$220,MATCH(B330,'ei names mapping'!$A$137:$A$220,0),MATCH(G358,'ei names mapping'!$B$136:$BK$136,0))</f>
        <v>-3.0000000000000001E-6</v>
      </c>
      <c r="C358" s="12" t="str">
        <f>INDEX('ei names mapping'!$B$38:$BK$67,MATCH($B$327,'ei names mapping'!$A$4:$A$33,0),MATCH(G358,'ei names mapping'!$B$3:$BK$3,0))</f>
        <v>RER</v>
      </c>
      <c r="D358" s="12" t="str">
        <f>INDEX('ei names mapping'!$B$104:$BK$133,MATCH($B$327,'ei names mapping'!$A$4:$A$33,0),MATCH(G358,'ei names mapping'!$B$3:$BK$3,0))</f>
        <v>kilogram</v>
      </c>
      <c r="E358" s="12"/>
      <c r="F358" s="12" t="s">
        <v>91</v>
      </c>
      <c r="G358" t="s">
        <v>29</v>
      </c>
      <c r="H358" s="12" t="str">
        <f>INDEX('ei names mapping'!$B$71:$BK$100,MATCH(B327,'ei names mapping'!$A$4:$A$33,0),MATCH(G358,'ei names mapping'!$B$3:$BK$3,0))</f>
        <v>road wear emissions, passenger car</v>
      </c>
    </row>
    <row r="359" spans="1:8" x14ac:dyDescent="0.3">
      <c r="A359" s="12" t="str">
        <f>INDEX('ei names mapping'!$B$4:$BK$33,MATCH($B$179,'ei names mapping'!$A$4:$A$33,0),MATCH(G359,'ei names mapping'!$B$3:$BK$3,0))</f>
        <v>treatment of tyre wear emissions, passenger car</v>
      </c>
      <c r="B359" s="15">
        <f>INDEX('vehicles specifications'!$B$3:$CK$86,MATCH(B330,'vehicles specifications'!$A$3:$A$86,0),MATCH(G359,'vehicles specifications'!$B$2:$CK$2,0))*INDEX('ei names mapping'!$B$137:$BK$220,MATCH(B330,'ei names mapping'!$A$137:$A$220,0),MATCH(G359,'ei names mapping'!$B$136:$BK$136,0))</f>
        <v>-2.9189999999999999E-6</v>
      </c>
      <c r="C359" s="12" t="str">
        <f>INDEX('ei names mapping'!$B$38:$BK$67,MATCH($B$327,'ei names mapping'!$A$4:$A$33,0),MATCH(G359,'ei names mapping'!$B$3:$BK$3,0))</f>
        <v>RER</v>
      </c>
      <c r="D359" s="12" t="str">
        <f>INDEX('ei names mapping'!$B$104:$BK$133,MATCH($B$327,'ei names mapping'!$A$4:$A$33,0),MATCH(G359,'ei names mapping'!$B$3:$BK$3,0))</f>
        <v>kilogram</v>
      </c>
      <c r="E359" s="12"/>
      <c r="F359" s="12" t="s">
        <v>91</v>
      </c>
      <c r="G359" t="s">
        <v>30</v>
      </c>
      <c r="H359" s="12" t="str">
        <f>INDEX('ei names mapping'!$B$71:$BK$100,MATCH($B$179,'ei names mapping'!$A$4:$A$33,0),MATCH(G359,'ei names mapping'!$B$3:$BK$3,0))</f>
        <v>tyre wear emissions, passenger car</v>
      </c>
    </row>
    <row r="360" spans="1:8" x14ac:dyDescent="0.3">
      <c r="A360" s="12" t="str">
        <f>INDEX('ei names mapping'!$B$4:$BK$33,MATCH($B$179,'ei names mapping'!$A$4:$A$33,0),MATCH(G360,'ei names mapping'!$B$3:$BK$3,0))</f>
        <v>treatment of brake wear emissions, passenger car</v>
      </c>
      <c r="B360" s="15">
        <f>INDEX('vehicles specifications'!$B$3:$CK$86,MATCH(B330,'vehicles specifications'!$A$3:$A$86,0),MATCH(G360,'vehicles specifications'!$B$2:$CK$2,0))*INDEX('ei names mapping'!$B$137:$BK$220,MATCH(B330,'ei names mapping'!$A$137:$A$220,0),MATCH(G360,'ei names mapping'!$B$136:$BK$136,0))</f>
        <v>-1.8370000000000002E-6</v>
      </c>
      <c r="C360" s="12" t="str">
        <f>INDEX('ei names mapping'!$B$38:$BK$67,MATCH($B$327,'ei names mapping'!$A$4:$A$33,0),MATCH(G360,'ei names mapping'!$B$3:$BK$3,0))</f>
        <v>RER</v>
      </c>
      <c r="D360" s="12" t="str">
        <f>INDEX('ei names mapping'!$B$104:$BK$133,MATCH($B$327,'ei names mapping'!$A$4:$A$33,0),MATCH(G360,'ei names mapping'!$B$3:$BK$3,0))</f>
        <v>kilogram</v>
      </c>
      <c r="E360" s="12"/>
      <c r="F360" s="12" t="s">
        <v>91</v>
      </c>
      <c r="G360" t="s">
        <v>31</v>
      </c>
      <c r="H360" s="12" t="str">
        <f>INDEX('ei names mapping'!$B$71:$BK$100,MATCH($B$179,'ei names mapping'!$A$4:$A$33,0),MATCH(G360,'ei names mapping'!$B$3:$BK$3,0))</f>
        <v>brake wear emissions, passenger car</v>
      </c>
    </row>
    <row r="362" spans="1:8" ht="15.6" x14ac:dyDescent="0.3">
      <c r="A362" s="11" t="s">
        <v>72</v>
      </c>
      <c r="B362" s="9" t="str">
        <f>"transport, "&amp;B364&amp;", "&amp;B366&amp;", label-certified electricity"</f>
        <v>transport, Bicycle, electric, cargo bike, 2030, label-certified electricity</v>
      </c>
    </row>
    <row r="363" spans="1:8" x14ac:dyDescent="0.3">
      <c r="A363" t="s">
        <v>73</v>
      </c>
      <c r="B363" t="s">
        <v>37</v>
      </c>
    </row>
    <row r="364" spans="1:8" x14ac:dyDescent="0.3">
      <c r="A364" t="s">
        <v>87</v>
      </c>
      <c r="B364" s="21" t="s">
        <v>524</v>
      </c>
    </row>
    <row r="365" spans="1:8" x14ac:dyDescent="0.3">
      <c r="A365" t="s">
        <v>88</v>
      </c>
      <c r="B365" s="12"/>
    </row>
    <row r="366" spans="1:8" x14ac:dyDescent="0.3">
      <c r="A366" t="s">
        <v>89</v>
      </c>
      <c r="B366" s="12">
        <v>2030</v>
      </c>
    </row>
    <row r="367" spans="1:8" x14ac:dyDescent="0.3">
      <c r="A367" t="s">
        <v>131</v>
      </c>
      <c r="B367" s="12" t="str">
        <f>B364&amp;" - "&amp;B366&amp;" - "&amp;B363</f>
        <v>Bicycle, electric, cargo bike - 2030 - CH</v>
      </c>
    </row>
    <row r="368" spans="1:8" x14ac:dyDescent="0.3">
      <c r="A368" t="s">
        <v>74</v>
      </c>
      <c r="B368" s="12" t="str">
        <f>"transport, "&amp;B364</f>
        <v>transport, Bicycle, electric, cargo bike</v>
      </c>
    </row>
    <row r="369" spans="1:2" x14ac:dyDescent="0.3">
      <c r="A369" t="s">
        <v>75</v>
      </c>
      <c r="B369" t="s">
        <v>76</v>
      </c>
    </row>
    <row r="370" spans="1:2" x14ac:dyDescent="0.3">
      <c r="A370" t="s">
        <v>77</v>
      </c>
      <c r="B370" t="s">
        <v>172</v>
      </c>
    </row>
    <row r="371" spans="1:2" x14ac:dyDescent="0.3">
      <c r="A371" t="s">
        <v>79</v>
      </c>
      <c r="B371" t="s">
        <v>90</v>
      </c>
    </row>
    <row r="372" spans="1:2" x14ac:dyDescent="0.3">
      <c r="A372" t="s">
        <v>132</v>
      </c>
      <c r="B372">
        <f>INDEX('vehicles specifications'!$B$3:$CK$86,MATCH(B367,'vehicles specifications'!$A$3:$A$86,0),MATCH("Lifetime [km]",'vehicles specifications'!$B$2:$CK$2,0))</f>
        <v>20000</v>
      </c>
    </row>
    <row r="373" spans="1:2" x14ac:dyDescent="0.3">
      <c r="A373" t="s">
        <v>133</v>
      </c>
      <c r="B373">
        <f>INDEX('vehicles specifications'!$B$3:$CK$86,MATCH(B367,'vehicles specifications'!$A$3:$A$86,0),MATCH("Passengers [unit]",'vehicles specifications'!$B$2:$CK$2,0))</f>
        <v>1</v>
      </c>
    </row>
    <row r="374" spans="1:2" x14ac:dyDescent="0.3">
      <c r="A374" t="s">
        <v>134</v>
      </c>
      <c r="B374">
        <f>INDEX('vehicles specifications'!$B$3:$CK$86,MATCH(B367,'vehicles specifications'!$A$3:$A$86,0),MATCH("Servicing [unit]",'vehicles specifications'!$B$2:$CK$2,0))</f>
        <v>5</v>
      </c>
    </row>
    <row r="375" spans="1:2" x14ac:dyDescent="0.3">
      <c r="A375" t="s">
        <v>135</v>
      </c>
      <c r="B375">
        <f>INDEX('vehicles specifications'!$B$3:$CK$86,MATCH(B367,'vehicles specifications'!$A$3:$A$86,0),MATCH("Energy battery replacement [unit]",'vehicles specifications'!$B$2:$CK$2,0))</f>
        <v>0.5</v>
      </c>
    </row>
    <row r="376" spans="1:2" x14ac:dyDescent="0.3">
      <c r="A376" t="s">
        <v>136</v>
      </c>
      <c r="B376">
        <f>INDEX('vehicles specifications'!$B$3:$CK$86,MATCH(B367,'vehicles specifications'!$A$3:$A$86,0),MATCH("Annual kilometers [km]",'vehicles specifications'!$B$2:$CK$2,0))</f>
        <v>2060</v>
      </c>
    </row>
    <row r="377" spans="1:2" x14ac:dyDescent="0.3">
      <c r="A377" t="s">
        <v>137</v>
      </c>
      <c r="B377">
        <f>INDEX('vehicles specifications'!$B$3:$CK$86,MATCH(B367,'vehicles specifications'!$A$3:$A$86,0),MATCH("Curb mass [kg]",'vehicles specifications'!$B$2:$CK$2,0))</f>
        <v>37.260000000000005</v>
      </c>
    </row>
    <row r="378" spans="1:2" x14ac:dyDescent="0.3">
      <c r="A378" t="s">
        <v>138</v>
      </c>
      <c r="B378">
        <f>INDEX('vehicles specifications'!$B$3:$CK$86,MATCH(B367,'vehicles specifications'!$A$3:$A$86,0),MATCH("Power [kW]",'vehicles specifications'!$B$2:$CK$2,0))</f>
        <v>0.5</v>
      </c>
    </row>
    <row r="379" spans="1:2" x14ac:dyDescent="0.3">
      <c r="A379" t="s">
        <v>139</v>
      </c>
      <c r="B379">
        <f>INDEX('vehicles specifications'!$B$3:$CK$86,MATCH(B367,'vehicles specifications'!$A$3:$A$86,0),MATCH("Energy battery mass [kg]",'vehicles specifications'!$B$2:$CK$2,0))</f>
        <v>5.2</v>
      </c>
    </row>
    <row r="380" spans="1:2" x14ac:dyDescent="0.3">
      <c r="A380" t="s">
        <v>140</v>
      </c>
      <c r="B380">
        <f>INDEX('vehicles specifications'!$B$3:$CK$86,MATCH(B367,'vehicles specifications'!$A$3:$A$86,0),MATCH("Electric energy stored [kWh]",'vehicles specifications'!$B$2:$CK$2,0))</f>
        <v>1.2</v>
      </c>
    </row>
    <row r="381" spans="1:2" s="21" customFormat="1" x14ac:dyDescent="0.3">
      <c r="A381" s="21" t="s">
        <v>654</v>
      </c>
      <c r="B381" s="21">
        <f>INDEX('vehicles specifications'!$B$3:$CK$86,MATCH(B367,'vehicles specifications'!$A$3:$A$86,0),MATCH("Electric energy available [kWh]",'vehicles specifications'!$B$2:$CK$2,0))</f>
        <v>0.96</v>
      </c>
    </row>
    <row r="382" spans="1:2" x14ac:dyDescent="0.3">
      <c r="A382" t="s">
        <v>143</v>
      </c>
      <c r="B382">
        <f>INDEX('vehicles specifications'!$B$3:$CK$86,MATCH(B367,'vehicles specifications'!$A$3:$A$86,0),MATCH("Oxydation energy stored [kWh]",'vehicles specifications'!$B$2:$CK$2,0))</f>
        <v>0</v>
      </c>
    </row>
    <row r="383" spans="1:2" x14ac:dyDescent="0.3">
      <c r="A383" t="s">
        <v>145</v>
      </c>
      <c r="B383">
        <f>INDEX('vehicles specifications'!$B$3:$CK$86,MATCH(B367,'vehicles specifications'!$A$3:$A$86,0),MATCH("Fuel mass [kg]",'vehicles specifications'!$B$2:$CK$2,0))</f>
        <v>0</v>
      </c>
    </row>
    <row r="384" spans="1:2" x14ac:dyDescent="0.3">
      <c r="A384" t="s">
        <v>141</v>
      </c>
      <c r="B384">
        <f>INDEX('vehicles specifications'!$B$3:$CK$86,MATCH(B367,'vehicles specifications'!$A$3:$A$86,0),MATCH("Range [km]",'vehicles specifications'!$B$2:$CK$2,0))</f>
        <v>99.572658227848095</v>
      </c>
    </row>
    <row r="385" spans="1:8" x14ac:dyDescent="0.3">
      <c r="A385" t="s">
        <v>142</v>
      </c>
      <c r="B385" t="str">
        <f>INDEX('vehicles specifications'!$B$3:$CK$86,MATCH(B367,'vehicles specifications'!$A$3:$A$86,0),MATCH("Emission standard",'vehicles specifications'!$B$2:$CK$2,0))</f>
        <v>None</v>
      </c>
    </row>
    <row r="386" spans="1:8" x14ac:dyDescent="0.3">
      <c r="A386" t="s">
        <v>144</v>
      </c>
      <c r="B386" s="6">
        <f>INDEX('vehicles specifications'!$B$3:$CK$86,MATCH(B367,'vehicles specifications'!$A$3:$A$86,0),MATCH("Lightweighting rate [%]",'vehicles specifications'!$B$2:$CK$2,0))</f>
        <v>0.03</v>
      </c>
    </row>
    <row r="387" spans="1:8" x14ac:dyDescent="0.3">
      <c r="A387" t="s">
        <v>84</v>
      </c>
      <c r="B387" s="21" t="str">
        <f>"Power: "&amp;B378&amp;" kW. Lifetime: "&amp;B372&amp;" km. Annual kilometers: "&amp;B376&amp;" km. Number of passengers: "&amp;B373&amp;". Curb mass: "&amp;ROUND(B377,1)&amp;" kg. Lightweighting of glider: "&amp;ROUND(B386*100,0)&amp;"%. Emission standard: "&amp;B385&amp;". Service visits throughout lifetime: "&amp;ROUND(B374,1)&amp;". Range: "&amp;ROUND(B384,0)&amp;" km. Battery capacity: "&amp;ROUND(B380,1)&amp;" kWh. Available battery capacity: "&amp;B381&amp;" kWh. Battery mass: "&amp;ROUND(B379,1)&amp; " kg. Battery replacement throughout lifetime: "&amp;ROUND(B375,1)&amp;". Fuel tank capacity: "&amp;ROUND(B382,1)&amp;" kWh. Fuel mass: "&amp;ROUND(B383,1)&amp;" kg. Documentation: "&amp;Readmefirst!$B$2&amp;", "&amp;Readmefirst!$B$3&amp;". "&amp;B371</f>
        <v>Power: 0.5 kW. Lifetime: 20000 km. Annual kilometers: 2060 km. Number of passengers: 1. Curb mass: 37.3 kg. Lightweighting of glider: 3%. Emission standard: None. Service visits throughout lifetime: 5. Range: 100 km. Battery capacity: 1.2 kWh. Available battery capacity: 0.96 kWh. Battery mass: 5.2 kg. Battery replacement throughout lifetime: 0.5.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88" spans="1:8" ht="15.6" x14ac:dyDescent="0.3">
      <c r="A388" s="11" t="s">
        <v>80</v>
      </c>
    </row>
    <row r="389" spans="1:8" x14ac:dyDescent="0.3">
      <c r="A389" t="s">
        <v>81</v>
      </c>
      <c r="B389" t="s">
        <v>82</v>
      </c>
      <c r="C389" t="s">
        <v>73</v>
      </c>
      <c r="D389" t="s">
        <v>77</v>
      </c>
      <c r="E389" t="s">
        <v>83</v>
      </c>
      <c r="F389" t="s">
        <v>75</v>
      </c>
      <c r="G389" t="s">
        <v>84</v>
      </c>
      <c r="H389" t="s">
        <v>74</v>
      </c>
    </row>
    <row r="390" spans="1:8" x14ac:dyDescent="0.3">
      <c r="A390" s="12" t="str">
        <f>B362</f>
        <v>transport, Bicycle, electric, cargo bike, 2030, label-certified electricity</v>
      </c>
      <c r="B390" s="12">
        <v>1</v>
      </c>
      <c r="C390" s="12" t="str">
        <f>B363</f>
        <v>CH</v>
      </c>
      <c r="D390" s="12" t="s">
        <v>172</v>
      </c>
      <c r="E390" s="12"/>
      <c r="F390" s="12" t="s">
        <v>85</v>
      </c>
      <c r="G390" s="12" t="s">
        <v>86</v>
      </c>
      <c r="H390" s="12" t="str">
        <f>B368</f>
        <v>transport, Bicycle, electric, cargo bike</v>
      </c>
    </row>
    <row r="391" spans="1:8" x14ac:dyDescent="0.3">
      <c r="A391" s="12" t="str">
        <f>B364&amp;", "&amp;B366</f>
        <v>Bicycle, electric, cargo bike, 2030</v>
      </c>
      <c r="B391" s="12">
        <f>1/B372</f>
        <v>5.0000000000000002E-5</v>
      </c>
      <c r="C391" s="12" t="str">
        <f>B363</f>
        <v>CH</v>
      </c>
      <c r="D391" s="12" t="s">
        <v>77</v>
      </c>
      <c r="E391" s="12"/>
      <c r="F391" s="12" t="s">
        <v>91</v>
      </c>
      <c r="G391" s="12"/>
      <c r="H391" s="12" t="str">
        <f>RIGHT(H390,LEN(H390)-11)</f>
        <v>Bicycle, electric, cargo bike</v>
      </c>
    </row>
    <row r="392" spans="1:8" s="21" customFormat="1" x14ac:dyDescent="0.3">
      <c r="A392" s="12" t="str">
        <f>INDEX('ei names mapping'!$B$4:$R$33,MATCH(B364,'ei names mapping'!$A$4:$A$33,0),MATCH(G392,'ei names mapping'!$B$3:$R$3,0))</f>
        <v>road construction</v>
      </c>
      <c r="B392" s="16">
        <f>INDEX('vehicles specifications'!$B$3:$CK$86,MATCH(B367,'vehicles specifications'!$A$3:$A$86,0),MATCH(G392,'vehicles specifications'!$B$2:$CK$2,0))*INDEX('ei names mapping'!$B$137:$BK$220,MATCH(B367,'ei names mapping'!$A$137:$A$220,0),MATCH(G392,'ei names mapping'!$B$136:$BK$136,0))</f>
        <v>5.8135620000000001E-5</v>
      </c>
      <c r="C392" s="12" t="str">
        <f>INDEX('ei names mapping'!$B$38:$R$67,MATCH(B364,'ei names mapping'!$A$4:$A$33,0),MATCH(G392,'ei names mapping'!$B$3:$R$3,0))</f>
        <v>CH</v>
      </c>
      <c r="D392" s="12" t="str">
        <f>INDEX('ei names mapping'!$B$104:$BK$133,MATCH(B364,'ei names mapping'!$A$4:$A$33,0),MATCH(G392,'ei names mapping'!$B$3:$BK$3,0))</f>
        <v>meter-year</v>
      </c>
      <c r="E392" s="12"/>
      <c r="F392" s="12" t="s">
        <v>91</v>
      </c>
      <c r="G392" s="21" t="s">
        <v>108</v>
      </c>
      <c r="H392" s="12" t="str">
        <f>INDEX('ei names mapping'!$B$71:$BK$100,MATCH(B364,'ei names mapping'!$A$4:$A$33,0),MATCH(G392,'ei names mapping'!$B$3:$BK$3,0))</f>
        <v>road</v>
      </c>
    </row>
    <row r="393" spans="1:8" x14ac:dyDescent="0.3">
      <c r="A393" s="12" t="s">
        <v>114</v>
      </c>
      <c r="B393" s="14">
        <f>INDEX('vehicles specifications'!$B$3:$CK$86,MATCH(B367,'vehicles specifications'!$A$3:$A$86,0),MATCH(G393,'vehicles specifications'!$B$2:$CK$2,0))*INDEX('ei names mapping'!$B$137:$BK$220,MATCH(B367,'ei names mapping'!$A$137:$A$220,0),MATCH(G393,'ei names mapping'!$B$136:$BK$136,0))</f>
        <v>1.0605320966560899E-2</v>
      </c>
      <c r="C393" s="12" t="str">
        <f>INDEX('ei names mapping'!$B$38:$R$67,MATCH($B$3,'ei names mapping'!$A$4:$A$33,0),MATCH(G393,'ei names mapping'!$B$3:$R$3,0))</f>
        <v>CH</v>
      </c>
      <c r="D393" s="12" t="str">
        <f>INDEX('ei names mapping'!$B$104:$R$133,MATCH($B$3,'ei names mapping'!$A$4:$A$33,0),MATCH(G393,'ei names mapping'!$B$3:$R$3,0))</f>
        <v>kilowatt hour</v>
      </c>
      <c r="E393" s="12"/>
      <c r="F393" s="12" t="s">
        <v>91</v>
      </c>
      <c r="G393" t="s">
        <v>28</v>
      </c>
      <c r="H393" s="12" t="s">
        <v>116</v>
      </c>
    </row>
    <row r="394" spans="1:8" x14ac:dyDescent="0.3">
      <c r="A394" s="12" t="str">
        <f>INDEX('ei names mapping'!$B$4:$R$33,MATCH($B$3,'ei names mapping'!$A$4:$A$33,0),MATCH(G394,'ei names mapping'!$B$3:$R$3,0))</f>
        <v>maintenance, electric bicycle, without battery</v>
      </c>
      <c r="B394" s="14">
        <f>INDEX('vehicles specifications'!$B$3:$CK$86,MATCH(B367,'vehicles specifications'!$A$3:$A$86,0),MATCH(G394,'vehicles specifications'!$B$2:$CK$2,0))*INDEX('ei names mapping'!$B$137:$BK$220,MATCH(B367,'ei names mapping'!$A$137:$A$220,0),MATCH(G394,'ei names mapping'!$B$136:$BK$136,0))</f>
        <v>2.5000000000000001E-4</v>
      </c>
      <c r="C394" s="12" t="str">
        <f>INDEX('ei names mapping'!$B$38:$R$67,MATCH($B$3,'ei names mapping'!$A$4:$A$33,0),MATCH(G394,'ei names mapping'!$B$3:$R$3,0))</f>
        <v>CH</v>
      </c>
      <c r="D394" s="12" t="str">
        <f>INDEX('ei names mapping'!$B$104:$R$133,MATCH($B$3,'ei names mapping'!$A$4:$A$33,0),MATCH(G394,'ei names mapping'!$B$3:$R$3,0))</f>
        <v>unit</v>
      </c>
      <c r="E394" s="12"/>
      <c r="F394" s="12" t="s">
        <v>91</v>
      </c>
      <c r="G394" t="s">
        <v>123</v>
      </c>
      <c r="H394" s="12" t="str">
        <f>INDEX('ei names mapping'!$B$71:$R$100,MATCH($B$3,'ei names mapping'!$A$4:$A$33,0),MATCH(G394,'ei names mapping'!$B$3:$R$3,0))</f>
        <v>maintenance, electric bicycle, without battery</v>
      </c>
    </row>
    <row r="395" spans="1:8" x14ac:dyDescent="0.3">
      <c r="A395" s="12" t="str">
        <f>INDEX('ei names mapping'!$B$4:$BK$33,MATCH($B$179,'ei names mapping'!$A$4:$A$33,0),MATCH(G395,'ei names mapping'!$B$3:$BK$3,0))</f>
        <v>treatment of road wear emissions, passenger car</v>
      </c>
      <c r="B395" s="15">
        <f>INDEX('vehicles specifications'!$B$3:$CK$86,MATCH(B367,'vehicles specifications'!$A$3:$A$86,0),MATCH(G395,'vehicles specifications'!$B$2:$CK$2,0))*INDEX('ei names mapping'!$B$137:$BK$220,MATCH(B367,'ei names mapping'!$A$137:$A$220,0),MATCH(G395,'ei names mapping'!$B$136:$BK$136,0))</f>
        <v>-3.0000000000000001E-6</v>
      </c>
      <c r="C395" s="12" t="str">
        <f>INDEX('ei names mapping'!$B$38:$BK$67,MATCH($B$179,'ei names mapping'!$A$4:$A$33,0),MATCH(G395,'ei names mapping'!$B$3:$BK$3,0))</f>
        <v>RER</v>
      </c>
      <c r="D395" s="12" t="str">
        <f>INDEX('ei names mapping'!$B$104:$BK$133,MATCH($B$179,'ei names mapping'!$A$4:$A$33,0),MATCH(G395,'ei names mapping'!$B$3:$BK$3,0))</f>
        <v>kilogram</v>
      </c>
      <c r="E395" s="12"/>
      <c r="F395" s="12" t="s">
        <v>91</v>
      </c>
      <c r="G395" t="s">
        <v>29</v>
      </c>
      <c r="H395" s="12" t="str">
        <f>INDEX('ei names mapping'!$B$71:$BK$100,MATCH(B364,'ei names mapping'!$A$4:$A$33,0),MATCH(G395,'ei names mapping'!$B$3:$BK$3,0))</f>
        <v>road wear emissions, passenger car</v>
      </c>
    </row>
    <row r="396" spans="1:8" x14ac:dyDescent="0.3">
      <c r="A396" s="12" t="str">
        <f>INDEX('ei names mapping'!$B$4:$BK$33,MATCH($B$179,'ei names mapping'!$A$4:$A$33,0),MATCH(G396,'ei names mapping'!$B$3:$BK$3,0))</f>
        <v>treatment of tyre wear emissions, passenger car</v>
      </c>
      <c r="B396" s="15">
        <f>INDEX('vehicles specifications'!$B$3:$CK$86,MATCH(B367,'vehicles specifications'!$A$3:$A$86,0),MATCH(G396,'vehicles specifications'!$B$2:$CK$2,0))*INDEX('ei names mapping'!$B$137:$BK$220,MATCH(B367,'ei names mapping'!$A$137:$A$220,0),MATCH(G396,'ei names mapping'!$B$136:$BK$136,0))</f>
        <v>-2.9189999999999999E-6</v>
      </c>
      <c r="C396" s="12" t="str">
        <f>INDEX('ei names mapping'!$B$38:$BK$67,MATCH($B$179,'ei names mapping'!$A$4:$A$33,0),MATCH(G396,'ei names mapping'!$B$3:$BK$3,0))</f>
        <v>RER</v>
      </c>
      <c r="D396" s="12" t="str">
        <f>INDEX('ei names mapping'!$B$104:$BK$133,MATCH($B$179,'ei names mapping'!$A$4:$A$33,0),MATCH(G396,'ei names mapping'!$B$3:$BK$3,0))</f>
        <v>kilogram</v>
      </c>
      <c r="E396" s="12"/>
      <c r="F396" s="12" t="s">
        <v>91</v>
      </c>
      <c r="G396" t="s">
        <v>30</v>
      </c>
      <c r="H396" s="12" t="str">
        <f>INDEX('ei names mapping'!$B$71:$BK$100,MATCH($B$179,'ei names mapping'!$A$4:$A$33,0),MATCH(G396,'ei names mapping'!$B$3:$BK$3,0))</f>
        <v>tyre wear emissions, passenger car</v>
      </c>
    </row>
    <row r="397" spans="1:8" x14ac:dyDescent="0.3">
      <c r="A397" s="12" t="str">
        <f>INDEX('ei names mapping'!$B$4:$BK$33,MATCH($B$179,'ei names mapping'!$A$4:$A$33,0),MATCH(G397,'ei names mapping'!$B$3:$BK$3,0))</f>
        <v>treatment of brake wear emissions, passenger car</v>
      </c>
      <c r="B397" s="15">
        <f>INDEX('vehicles specifications'!$B$3:$CK$86,MATCH(B367,'vehicles specifications'!$A$3:$A$86,0),MATCH(G397,'vehicles specifications'!$B$2:$CK$2,0))*INDEX('ei names mapping'!$B$137:$BK$220,MATCH(B367,'ei names mapping'!$A$137:$A$220,0),MATCH(G397,'ei names mapping'!$B$136:$BK$136,0))</f>
        <v>-1.8370000000000002E-6</v>
      </c>
      <c r="C397" s="12" t="str">
        <f>INDEX('ei names mapping'!$B$38:$BK$67,MATCH($B$179,'ei names mapping'!$A$4:$A$33,0),MATCH(G397,'ei names mapping'!$B$3:$BK$3,0))</f>
        <v>RER</v>
      </c>
      <c r="D397" s="12" t="str">
        <f>INDEX('ei names mapping'!$B$104:$BK$133,MATCH($B$179,'ei names mapping'!$A$4:$A$33,0),MATCH(G397,'ei names mapping'!$B$3:$BK$3,0))</f>
        <v>kilogram</v>
      </c>
      <c r="E397" s="12"/>
      <c r="F397" s="12" t="s">
        <v>91</v>
      </c>
      <c r="G397" t="s">
        <v>31</v>
      </c>
      <c r="H397" s="12" t="str">
        <f>INDEX('ei names mapping'!$B$71:$BK$100,MATCH($B$179,'ei names mapping'!$A$4:$A$33,0),MATCH(G397,'ei names mapping'!$B$3:$BK$3,0))</f>
        <v>brake wear emissions, passenger car</v>
      </c>
    </row>
    <row r="399" spans="1:8" ht="15.6" x14ac:dyDescent="0.3">
      <c r="A399" s="11" t="s">
        <v>72</v>
      </c>
      <c r="B399" s="9" t="str">
        <f>"transport, "&amp;B401&amp;", "&amp;B403&amp;", label-certified electricity"</f>
        <v>transport, Bicycle, electric, cargo bike, 2040, label-certified electricity</v>
      </c>
    </row>
    <row r="400" spans="1:8" x14ac:dyDescent="0.3">
      <c r="A400" t="s">
        <v>73</v>
      </c>
      <c r="B400" t="s">
        <v>37</v>
      </c>
    </row>
    <row r="401" spans="1:2" x14ac:dyDescent="0.3">
      <c r="A401" t="s">
        <v>87</v>
      </c>
      <c r="B401" s="21" t="s">
        <v>524</v>
      </c>
    </row>
    <row r="402" spans="1:2" x14ac:dyDescent="0.3">
      <c r="A402" t="s">
        <v>88</v>
      </c>
      <c r="B402" s="12"/>
    </row>
    <row r="403" spans="1:2" x14ac:dyDescent="0.3">
      <c r="A403" t="s">
        <v>89</v>
      </c>
      <c r="B403" s="12">
        <v>2040</v>
      </c>
    </row>
    <row r="404" spans="1:2" x14ac:dyDescent="0.3">
      <c r="A404" t="s">
        <v>131</v>
      </c>
      <c r="B404" s="12" t="str">
        <f>B401&amp;" - "&amp;B403&amp;" - "&amp;B400</f>
        <v>Bicycle, electric, cargo bike - 2040 - CH</v>
      </c>
    </row>
    <row r="405" spans="1:2" x14ac:dyDescent="0.3">
      <c r="A405" t="s">
        <v>74</v>
      </c>
      <c r="B405" s="12" t="str">
        <f>"transport, "&amp;B401</f>
        <v>transport, Bicycle, electric, cargo bike</v>
      </c>
    </row>
    <row r="406" spans="1:2" x14ac:dyDescent="0.3">
      <c r="A406" t="s">
        <v>75</v>
      </c>
      <c r="B406" t="s">
        <v>76</v>
      </c>
    </row>
    <row r="407" spans="1:2" x14ac:dyDescent="0.3">
      <c r="A407" t="s">
        <v>77</v>
      </c>
      <c r="B407" t="s">
        <v>172</v>
      </c>
    </row>
    <row r="408" spans="1:2" x14ac:dyDescent="0.3">
      <c r="A408" t="s">
        <v>79</v>
      </c>
      <c r="B408" t="s">
        <v>90</v>
      </c>
    </row>
    <row r="409" spans="1:2" x14ac:dyDescent="0.3">
      <c r="A409" t="s">
        <v>132</v>
      </c>
      <c r="B409">
        <f>INDEX('vehicles specifications'!$B$3:$CK$86,MATCH(B404,'vehicles specifications'!$A$3:$A$86,0),MATCH("Lifetime [km]",'vehicles specifications'!$B$2:$CK$2,0))</f>
        <v>20000</v>
      </c>
    </row>
    <row r="410" spans="1:2" x14ac:dyDescent="0.3">
      <c r="A410" t="s">
        <v>133</v>
      </c>
      <c r="B410">
        <f>INDEX('vehicles specifications'!$B$3:$CK$86,MATCH(B404,'vehicles specifications'!$A$3:$A$86,0),MATCH("Passengers [unit]",'vehicles specifications'!$B$2:$CK$2,0))</f>
        <v>1</v>
      </c>
    </row>
    <row r="411" spans="1:2" x14ac:dyDescent="0.3">
      <c r="A411" t="s">
        <v>134</v>
      </c>
      <c r="B411">
        <f>INDEX('vehicles specifications'!$B$3:$CK$86,MATCH(B404,'vehicles specifications'!$A$3:$A$86,0),MATCH("Servicing [unit]",'vehicles specifications'!$B$2:$CK$2,0))</f>
        <v>5</v>
      </c>
    </row>
    <row r="412" spans="1:2" x14ac:dyDescent="0.3">
      <c r="A412" t="s">
        <v>135</v>
      </c>
      <c r="B412">
        <f>INDEX('vehicles specifications'!$B$3:$CK$86,MATCH(B404,'vehicles specifications'!$A$3:$A$86,0),MATCH("Energy battery replacement [unit]",'vehicles specifications'!$B$2:$CK$2,0))</f>
        <v>0.25</v>
      </c>
    </row>
    <row r="413" spans="1:2" x14ac:dyDescent="0.3">
      <c r="A413" t="s">
        <v>136</v>
      </c>
      <c r="B413">
        <f>INDEX('vehicles specifications'!$B$3:$CK$86,MATCH(B404,'vehicles specifications'!$A$3:$A$86,0),MATCH("Annual kilometers [km]",'vehicles specifications'!$B$2:$CK$2,0))</f>
        <v>2060</v>
      </c>
    </row>
    <row r="414" spans="1:2" x14ac:dyDescent="0.3">
      <c r="A414" t="s">
        <v>137</v>
      </c>
      <c r="B414">
        <f>INDEX('vehicles specifications'!$B$3:$CK$86,MATCH(B404,'vehicles specifications'!$A$3:$A$86,0),MATCH("Curb mass [kg]",'vehicles specifications'!$B$2:$CK$2,0))</f>
        <v>36.5</v>
      </c>
    </row>
    <row r="415" spans="1:2" x14ac:dyDescent="0.3">
      <c r="A415" t="s">
        <v>138</v>
      </c>
      <c r="B415">
        <f>INDEX('vehicles specifications'!$B$3:$CK$86,MATCH(B404,'vehicles specifications'!$A$3:$A$86,0),MATCH("Power [kW]",'vehicles specifications'!$B$2:$CK$2,0))</f>
        <v>0.5</v>
      </c>
    </row>
    <row r="416" spans="1:2" x14ac:dyDescent="0.3">
      <c r="A416" t="s">
        <v>139</v>
      </c>
      <c r="B416">
        <f>INDEX('vehicles specifications'!$B$3:$CK$86,MATCH(B404,'vehicles specifications'!$A$3:$A$86,0),MATCH("Energy battery mass [kg]",'vehicles specifications'!$B$2:$CK$2,0))</f>
        <v>5.2</v>
      </c>
    </row>
    <row r="417" spans="1:8" x14ac:dyDescent="0.3">
      <c r="A417" t="s">
        <v>140</v>
      </c>
      <c r="B417">
        <f>INDEX('vehicles specifications'!$B$3:$CK$86,MATCH(B404,'vehicles specifications'!$A$3:$A$86,0),MATCH("Electric energy stored [kWh]",'vehicles specifications'!$B$2:$CK$2,0))</f>
        <v>1.6</v>
      </c>
    </row>
    <row r="418" spans="1:8" s="21" customFormat="1" x14ac:dyDescent="0.3">
      <c r="A418" s="21" t="s">
        <v>654</v>
      </c>
      <c r="B418" s="21">
        <f>INDEX('vehicles specifications'!$B$3:$CK$86,MATCH(B404,'vehicles specifications'!$A$3:$A$86,0),MATCH("Electric energy available [kWh]",'vehicles specifications'!$B$2:$CK$2,0))</f>
        <v>1.2800000000000002</v>
      </c>
    </row>
    <row r="419" spans="1:8" x14ac:dyDescent="0.3">
      <c r="A419" t="s">
        <v>143</v>
      </c>
      <c r="B419">
        <f>INDEX('vehicles specifications'!$B$3:$CK$86,MATCH(B404,'vehicles specifications'!$A$3:$A$86,0),MATCH("Oxydation energy stored [kWh]",'vehicles specifications'!$B$2:$CK$2,0))</f>
        <v>0</v>
      </c>
    </row>
    <row r="420" spans="1:8" x14ac:dyDescent="0.3">
      <c r="A420" t="s">
        <v>145</v>
      </c>
      <c r="B420">
        <f>INDEX('vehicles specifications'!$B$3:$CK$86,MATCH(B404,'vehicles specifications'!$A$3:$A$86,0),MATCH("Fuel mass [kg]",'vehicles specifications'!$B$2:$CK$2,0))</f>
        <v>0</v>
      </c>
    </row>
    <row r="421" spans="1:8" x14ac:dyDescent="0.3">
      <c r="A421" t="s">
        <v>141</v>
      </c>
      <c r="B421">
        <f>INDEX('vehicles specifications'!$B$3:$CK$86,MATCH(B404,'vehicles specifications'!$A$3:$A$86,0),MATCH("Range [km]",'vehicles specifications'!$B$2:$CK$2,0))</f>
        <v>132.76354430379749</v>
      </c>
    </row>
    <row r="422" spans="1:8" x14ac:dyDescent="0.3">
      <c r="A422" t="s">
        <v>142</v>
      </c>
      <c r="B422" t="str">
        <f>INDEX('vehicles specifications'!$B$3:$CK$86,MATCH(B404,'vehicles specifications'!$A$3:$A$86,0),MATCH("Emission standard",'vehicles specifications'!$B$2:$CK$2,0))</f>
        <v>None</v>
      </c>
    </row>
    <row r="423" spans="1:8" x14ac:dyDescent="0.3">
      <c r="A423" t="s">
        <v>144</v>
      </c>
      <c r="B423" s="6">
        <f>INDEX('vehicles specifications'!$B$3:$CK$86,MATCH(B404,'vehicles specifications'!$A$3:$A$86,0),MATCH("Lightweighting rate [%]",'vehicles specifications'!$B$2:$CK$2,0))</f>
        <v>0.05</v>
      </c>
    </row>
    <row r="424" spans="1:8" x14ac:dyDescent="0.3">
      <c r="A424" t="s">
        <v>84</v>
      </c>
      <c r="B424" s="21" t="str">
        <f>"Power: "&amp;B415&amp;" kW. Lifetime: "&amp;B409&amp;" km. Annual kilometers: "&amp;B413&amp;" km. Number of passengers: "&amp;B410&amp;". Curb mass: "&amp;ROUND(B414,1)&amp;" kg. Lightweighting of glider: "&amp;ROUND(B423*100,0)&amp;"%. Emission standard: "&amp;B422&amp;". Service visits throughout lifetime: "&amp;ROUND(B411,1)&amp;". Range: "&amp;ROUND(B421,0)&amp;" km. Battery capacity: "&amp;ROUND(B417,1)&amp;" kWh. Available battery capacity: "&amp;B418&amp;" kWh. Battery mass: "&amp;ROUND(B416,1)&amp; " kg. Battery replacement throughout lifetime: "&amp;ROUND(B412,1)&amp;". Fuel tank capacity: "&amp;ROUND(B419,1)&amp;" kWh. Fuel mass: "&amp;ROUND(B420,1)&amp;" kg. Documentation: "&amp;Readmefirst!$B$2&amp;", "&amp;Readmefirst!$B$3&amp;". "&amp;B408</f>
        <v>Power: 0.5 kW. Lifetime: 20000 km. Annual kilometers: 2060 km. Number of passengers: 1. Curb mass: 36.5 kg. Lightweighting of glider: 5%. Emission standard: None. Service visits throughout lifetime: 5. Range: 133 km. Battery capacity: 1.6 kWh. Available battery capacity: 1.28 kWh. Battery mass: 5.2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25" spans="1:8" ht="15.6" x14ac:dyDescent="0.3">
      <c r="A425" s="11" t="s">
        <v>80</v>
      </c>
    </row>
    <row r="426" spans="1:8" x14ac:dyDescent="0.3">
      <c r="A426" t="s">
        <v>81</v>
      </c>
      <c r="B426" t="s">
        <v>82</v>
      </c>
      <c r="C426" t="s">
        <v>73</v>
      </c>
      <c r="D426" t="s">
        <v>77</v>
      </c>
      <c r="E426" t="s">
        <v>83</v>
      </c>
      <c r="F426" t="s">
        <v>75</v>
      </c>
      <c r="G426" t="s">
        <v>84</v>
      </c>
      <c r="H426" t="s">
        <v>74</v>
      </c>
    </row>
    <row r="427" spans="1:8" x14ac:dyDescent="0.3">
      <c r="A427" s="12" t="str">
        <f>B399</f>
        <v>transport, Bicycle, electric, cargo bike, 2040, label-certified electricity</v>
      </c>
      <c r="B427" s="12">
        <v>1</v>
      </c>
      <c r="C427" s="12" t="str">
        <f>B400</f>
        <v>CH</v>
      </c>
      <c r="D427" s="12" t="s">
        <v>172</v>
      </c>
      <c r="E427" s="12"/>
      <c r="F427" s="12" t="s">
        <v>85</v>
      </c>
      <c r="G427" s="12" t="s">
        <v>86</v>
      </c>
      <c r="H427" s="12" t="str">
        <f>B405</f>
        <v>transport, Bicycle, electric, cargo bike</v>
      </c>
    </row>
    <row r="428" spans="1:8" x14ac:dyDescent="0.3">
      <c r="A428" s="12" t="str">
        <f>B401&amp;", "&amp;B403</f>
        <v>Bicycle, electric, cargo bike, 2040</v>
      </c>
      <c r="B428" s="12">
        <f>1/B409</f>
        <v>5.0000000000000002E-5</v>
      </c>
      <c r="C428" s="12" t="str">
        <f>B400</f>
        <v>CH</v>
      </c>
      <c r="D428" s="12" t="s">
        <v>77</v>
      </c>
      <c r="E428" s="12"/>
      <c r="F428" s="12" t="s">
        <v>91</v>
      </c>
      <c r="G428" s="12"/>
      <c r="H428" s="12" t="str">
        <f>RIGHT(H427,LEN(H427)-11)</f>
        <v>Bicycle, electric, cargo bike</v>
      </c>
    </row>
    <row r="429" spans="1:8" s="21" customFormat="1" x14ac:dyDescent="0.3">
      <c r="A429" s="12" t="str">
        <f>INDEX('ei names mapping'!$B$4:$R$33,MATCH(B401,'ei names mapping'!$A$4:$A$33,0),MATCH(G429,'ei names mapping'!$B$3:$R$3,0))</f>
        <v>road construction</v>
      </c>
      <c r="B429" s="16">
        <f>INDEX('vehicles specifications'!$B$3:$CK$86,MATCH(B404,'vehicles specifications'!$A$3:$A$86,0),MATCH(G429,'vehicles specifications'!$B$2:$CK$2,0))*INDEX('ei names mapping'!$B$137:$BK$220,MATCH(B404,'ei names mapping'!$A$137:$A$220,0),MATCH(G429,'ei names mapping'!$B$136:$BK$136,0))</f>
        <v>5.7727499999999999E-5</v>
      </c>
      <c r="C429" s="12" t="str">
        <f>INDEX('ei names mapping'!$B$38:$R$67,MATCH(B401,'ei names mapping'!$A$4:$A$33,0),MATCH(G429,'ei names mapping'!$B$3:$R$3,0))</f>
        <v>CH</v>
      </c>
      <c r="D429" s="12" t="str">
        <f>INDEX('ei names mapping'!$B$104:$BK$133,MATCH(B401,'ei names mapping'!$A$4:$A$33,0),MATCH(G429,'ei names mapping'!$B$3:$BK$3,0))</f>
        <v>meter-year</v>
      </c>
      <c r="E429" s="12"/>
      <c r="F429" s="12" t="s">
        <v>91</v>
      </c>
      <c r="G429" s="21" t="s">
        <v>108</v>
      </c>
      <c r="H429" s="12" t="str">
        <f>INDEX('ei names mapping'!$B$71:$BK$100,MATCH(B401,'ei names mapping'!$A$4:$A$33,0),MATCH(G429,'ei names mapping'!$B$3:$BK$3,0))</f>
        <v>road</v>
      </c>
    </row>
    <row r="430" spans="1:8" x14ac:dyDescent="0.3">
      <c r="A430" s="12" t="s">
        <v>114</v>
      </c>
      <c r="B430" s="14">
        <f>INDEX('vehicles specifications'!$B$3:$CK$86,MATCH(B404,'vehicles specifications'!$A$3:$A$86,0),MATCH(G430,'vehicles specifications'!$B$2:$CK$2,0))*INDEX('ei names mapping'!$B$137:$BK$220,MATCH(B404,'ei names mapping'!$A$137:$A$220,0),MATCH(G430,'ei names mapping'!$B$136:$BK$136,0))</f>
        <v>1.0605320966560899E-2</v>
      </c>
      <c r="C430" s="12" t="str">
        <f>INDEX('ei names mapping'!$B$38:$R$67,MATCH($B$3,'ei names mapping'!$A$4:$A$33,0),MATCH(G430,'ei names mapping'!$B$3:$R$3,0))</f>
        <v>CH</v>
      </c>
      <c r="D430" s="12" t="str">
        <f>INDEX('ei names mapping'!$B$104:$R$133,MATCH($B$3,'ei names mapping'!$A$4:$A$33,0),MATCH(G430,'ei names mapping'!$B$3:$R$3,0))</f>
        <v>kilowatt hour</v>
      </c>
      <c r="E430" s="12"/>
      <c r="F430" s="12" t="s">
        <v>91</v>
      </c>
      <c r="G430" t="s">
        <v>28</v>
      </c>
      <c r="H430" s="12" t="s">
        <v>116</v>
      </c>
    </row>
    <row r="431" spans="1:8" x14ac:dyDescent="0.3">
      <c r="A431" s="12" t="str">
        <f>INDEX('ei names mapping'!$B$4:$R$33,MATCH($B$3,'ei names mapping'!$A$4:$A$33,0),MATCH(G431,'ei names mapping'!$B$3:$R$3,0))</f>
        <v>maintenance, electric bicycle, without battery</v>
      </c>
      <c r="B431" s="14">
        <f>INDEX('vehicles specifications'!$B$3:$CK$86,MATCH(B404,'vehicles specifications'!$A$3:$A$86,0),MATCH(G431,'vehicles specifications'!$B$2:$CK$2,0))*INDEX('ei names mapping'!$B$137:$BK$220,MATCH(B404,'ei names mapping'!$A$137:$A$220,0),MATCH(G431,'ei names mapping'!$B$136:$BK$136,0))</f>
        <v>2.5000000000000001E-4</v>
      </c>
      <c r="C431" s="12" t="str">
        <f>INDEX('ei names mapping'!$B$38:$R$67,MATCH($B$3,'ei names mapping'!$A$4:$A$33,0),MATCH(G431,'ei names mapping'!$B$3:$R$3,0))</f>
        <v>CH</v>
      </c>
      <c r="D431" s="12" t="str">
        <f>INDEX('ei names mapping'!$B$104:$R$133,MATCH($B$3,'ei names mapping'!$A$4:$A$33,0),MATCH(G431,'ei names mapping'!$B$3:$R$3,0))</f>
        <v>unit</v>
      </c>
      <c r="E431" s="12"/>
      <c r="F431" s="12" t="s">
        <v>91</v>
      </c>
      <c r="G431" t="s">
        <v>123</v>
      </c>
      <c r="H431" s="12" t="str">
        <f>INDEX('ei names mapping'!$B$71:$R$100,MATCH($B$3,'ei names mapping'!$A$4:$A$33,0),MATCH(G431,'ei names mapping'!$B$3:$R$3,0))</f>
        <v>maintenance, electric bicycle, without battery</v>
      </c>
    </row>
    <row r="432" spans="1:8" x14ac:dyDescent="0.3">
      <c r="A432" s="12" t="str">
        <f>INDEX('ei names mapping'!$B$4:$BK$33,MATCH($B$179,'ei names mapping'!$A$4:$A$33,0),MATCH(G432,'ei names mapping'!$B$3:$BK$3,0))</f>
        <v>treatment of road wear emissions, passenger car</v>
      </c>
      <c r="B432" s="15">
        <f>INDEX('vehicles specifications'!$B$3:$CK$86,MATCH(B404,'vehicles specifications'!$A$3:$A$86,0),MATCH(G432,'vehicles specifications'!$B$2:$CK$2,0))*INDEX('ei names mapping'!$B$137:$BK$220,MATCH(B404,'ei names mapping'!$A$137:$A$220,0),MATCH(G432,'ei names mapping'!$B$136:$BK$136,0))</f>
        <v>-3.0000000000000001E-6</v>
      </c>
      <c r="C432" s="12" t="str">
        <f>INDEX('ei names mapping'!$B$38:$BK$67,MATCH($B$179,'ei names mapping'!$A$4:$A$33,0),MATCH(G432,'ei names mapping'!$B$3:$BK$3,0))</f>
        <v>RER</v>
      </c>
      <c r="D432" s="12" t="str">
        <f>INDEX('ei names mapping'!$B$104:$BK$133,MATCH($B$179,'ei names mapping'!$A$4:$A$33,0),MATCH(G432,'ei names mapping'!$B$3:$BK$3,0))</f>
        <v>kilogram</v>
      </c>
      <c r="E432" s="12"/>
      <c r="F432" s="12" t="s">
        <v>91</v>
      </c>
      <c r="G432" t="s">
        <v>29</v>
      </c>
      <c r="H432" s="12" t="str">
        <f>INDEX('ei names mapping'!$B$71:$BK$100,MATCH(B401,'ei names mapping'!$A$4:$A$33,0),MATCH(G432,'ei names mapping'!$B$3:$BK$3,0))</f>
        <v>road wear emissions, passenger car</v>
      </c>
    </row>
    <row r="433" spans="1:8" x14ac:dyDescent="0.3">
      <c r="A433" s="12" t="str">
        <f>INDEX('ei names mapping'!$B$4:$BK$33,MATCH($B$179,'ei names mapping'!$A$4:$A$33,0),MATCH(G433,'ei names mapping'!$B$3:$BK$3,0))</f>
        <v>treatment of tyre wear emissions, passenger car</v>
      </c>
      <c r="B433" s="15">
        <f>INDEX('vehicles specifications'!$B$3:$CK$86,MATCH(B404,'vehicles specifications'!$A$3:$A$86,0),MATCH(G433,'vehicles specifications'!$B$2:$CK$2,0))*INDEX('ei names mapping'!$B$137:$BK$220,MATCH(B404,'ei names mapping'!$A$137:$A$220,0),MATCH(G433,'ei names mapping'!$B$136:$BK$136,0))</f>
        <v>-2.9189999999999999E-6</v>
      </c>
      <c r="C433" s="12" t="str">
        <f>INDEX('ei names mapping'!$B$38:$BK$67,MATCH($B$179,'ei names mapping'!$A$4:$A$33,0),MATCH(G433,'ei names mapping'!$B$3:$BK$3,0))</f>
        <v>RER</v>
      </c>
      <c r="D433" s="12" t="str">
        <f>INDEX('ei names mapping'!$B$104:$BK$133,MATCH($B$179,'ei names mapping'!$A$4:$A$33,0),MATCH(G433,'ei names mapping'!$B$3:$BK$3,0))</f>
        <v>kilogram</v>
      </c>
      <c r="E433" s="12"/>
      <c r="F433" s="12" t="s">
        <v>91</v>
      </c>
      <c r="G433" t="s">
        <v>30</v>
      </c>
      <c r="H433" s="12" t="str">
        <f>INDEX('ei names mapping'!$B$71:$BK$100,MATCH($B$179,'ei names mapping'!$A$4:$A$33,0),MATCH(G433,'ei names mapping'!$B$3:$BK$3,0))</f>
        <v>tyre wear emissions, passenger car</v>
      </c>
    </row>
    <row r="434" spans="1:8" x14ac:dyDescent="0.3">
      <c r="A434" s="12" t="str">
        <f>INDEX('ei names mapping'!$B$4:$BK$33,MATCH($B$179,'ei names mapping'!$A$4:$A$33,0),MATCH(G434,'ei names mapping'!$B$3:$BK$3,0))</f>
        <v>treatment of brake wear emissions, passenger car</v>
      </c>
      <c r="B434" s="15">
        <f>INDEX('vehicles specifications'!$B$3:$CK$86,MATCH(B404,'vehicles specifications'!$A$3:$A$86,0),MATCH(G434,'vehicles specifications'!$B$2:$CK$2,0))*INDEX('ei names mapping'!$B$137:$BK$220,MATCH(B404,'ei names mapping'!$A$137:$A$220,0),MATCH(G434,'ei names mapping'!$B$136:$BK$136,0))</f>
        <v>-1.8370000000000002E-6</v>
      </c>
      <c r="C434" s="12" t="str">
        <f>INDEX('ei names mapping'!$B$38:$BK$67,MATCH($B$179,'ei names mapping'!$A$4:$A$33,0),MATCH(G434,'ei names mapping'!$B$3:$BK$3,0))</f>
        <v>RER</v>
      </c>
      <c r="D434" s="12" t="str">
        <f>INDEX('ei names mapping'!$B$104:$BK$133,MATCH($B$179,'ei names mapping'!$A$4:$A$33,0),MATCH(G434,'ei names mapping'!$B$3:$BK$3,0))</f>
        <v>kilogram</v>
      </c>
      <c r="E434" s="12"/>
      <c r="F434" s="12" t="s">
        <v>91</v>
      </c>
      <c r="G434" t="s">
        <v>31</v>
      </c>
      <c r="H434" s="12" t="str">
        <f>INDEX('ei names mapping'!$B$71:$BK$100,MATCH($B$179,'ei names mapping'!$A$4:$A$33,0),MATCH(G434,'ei names mapping'!$B$3:$BK$3,0))</f>
        <v>brake wear emissions, passenger car</v>
      </c>
    </row>
    <row r="436" spans="1:8" ht="15.6" x14ac:dyDescent="0.3">
      <c r="A436" s="11" t="s">
        <v>72</v>
      </c>
      <c r="B436" s="9" t="str">
        <f>"transport, "&amp;B438&amp;", "&amp;B440&amp;", label-certified electricity"</f>
        <v>transport, Bicycle, electric, cargo bike, 2050, label-certified electricity</v>
      </c>
    </row>
    <row r="437" spans="1:8" x14ac:dyDescent="0.3">
      <c r="A437" t="s">
        <v>73</v>
      </c>
      <c r="B437" t="s">
        <v>37</v>
      </c>
    </row>
    <row r="438" spans="1:8" x14ac:dyDescent="0.3">
      <c r="A438" t="s">
        <v>87</v>
      </c>
      <c r="B438" s="21" t="s">
        <v>524</v>
      </c>
    </row>
    <row r="439" spans="1:8" x14ac:dyDescent="0.3">
      <c r="A439" t="s">
        <v>88</v>
      </c>
      <c r="B439" s="12"/>
    </row>
    <row r="440" spans="1:8" x14ac:dyDescent="0.3">
      <c r="A440" t="s">
        <v>89</v>
      </c>
      <c r="B440" s="12">
        <v>2050</v>
      </c>
    </row>
    <row r="441" spans="1:8" x14ac:dyDescent="0.3">
      <c r="A441" t="s">
        <v>131</v>
      </c>
      <c r="B441" s="12" t="str">
        <f>B438&amp;" - "&amp;B440&amp;" - "&amp;B437</f>
        <v>Bicycle, electric, cargo bike - 2050 - CH</v>
      </c>
    </row>
    <row r="442" spans="1:8" x14ac:dyDescent="0.3">
      <c r="A442" t="s">
        <v>74</v>
      </c>
      <c r="B442" s="12" t="str">
        <f>"transport, "&amp;B438</f>
        <v>transport, Bicycle, electric, cargo bike</v>
      </c>
    </row>
    <row r="443" spans="1:8" x14ac:dyDescent="0.3">
      <c r="A443" t="s">
        <v>75</v>
      </c>
      <c r="B443" t="s">
        <v>76</v>
      </c>
    </row>
    <row r="444" spans="1:8" x14ac:dyDescent="0.3">
      <c r="A444" t="s">
        <v>77</v>
      </c>
      <c r="B444" t="s">
        <v>172</v>
      </c>
    </row>
    <row r="445" spans="1:8" x14ac:dyDescent="0.3">
      <c r="A445" t="s">
        <v>79</v>
      </c>
      <c r="B445" t="s">
        <v>90</v>
      </c>
    </row>
    <row r="446" spans="1:8" x14ac:dyDescent="0.3">
      <c r="A446" t="s">
        <v>132</v>
      </c>
      <c r="B446">
        <f>INDEX('vehicles specifications'!$B$3:$CK$86,MATCH(B441,'vehicles specifications'!$A$3:$A$86,0),MATCH("Lifetime [km]",'vehicles specifications'!$B$2:$CK$2,0))</f>
        <v>20000</v>
      </c>
    </row>
    <row r="447" spans="1:8" x14ac:dyDescent="0.3">
      <c r="A447" t="s">
        <v>133</v>
      </c>
      <c r="B447">
        <f>INDEX('vehicles specifications'!$B$3:$CK$86,MATCH(B441,'vehicles specifications'!$A$3:$A$86,0),MATCH("Passengers [unit]",'vehicles specifications'!$B$2:$CK$2,0))</f>
        <v>1</v>
      </c>
    </row>
    <row r="448" spans="1:8" x14ac:dyDescent="0.3">
      <c r="A448" t="s">
        <v>134</v>
      </c>
      <c r="B448">
        <f>INDEX('vehicles specifications'!$B$3:$CK$86,MATCH(B441,'vehicles specifications'!$A$3:$A$86,0),MATCH("Servicing [unit]",'vehicles specifications'!$B$2:$CK$2,0))</f>
        <v>5</v>
      </c>
    </row>
    <row r="449" spans="1:8" x14ac:dyDescent="0.3">
      <c r="A449" t="s">
        <v>135</v>
      </c>
      <c r="B449">
        <f>INDEX('vehicles specifications'!$B$3:$CK$86,MATCH(B441,'vehicles specifications'!$A$3:$A$86,0),MATCH("Energy battery replacement [unit]",'vehicles specifications'!$B$2:$CK$2,0))</f>
        <v>0</v>
      </c>
    </row>
    <row r="450" spans="1:8" x14ac:dyDescent="0.3">
      <c r="A450" t="s">
        <v>136</v>
      </c>
      <c r="B450">
        <f>INDEX('vehicles specifications'!$B$3:$CK$86,MATCH(B441,'vehicles specifications'!$A$3:$A$86,0),MATCH("Annual kilometers [km]",'vehicles specifications'!$B$2:$CK$2,0))</f>
        <v>2060</v>
      </c>
    </row>
    <row r="451" spans="1:8" x14ac:dyDescent="0.3">
      <c r="A451" t="s">
        <v>137</v>
      </c>
      <c r="B451">
        <f>INDEX('vehicles specifications'!$B$3:$CK$86,MATCH(B441,'vehicles specifications'!$A$3:$A$86,0),MATCH("Curb mass [kg]",'vehicles specifications'!$B$2:$CK$2,0))</f>
        <v>36.619999999999997</v>
      </c>
    </row>
    <row r="452" spans="1:8" x14ac:dyDescent="0.3">
      <c r="A452" t="s">
        <v>138</v>
      </c>
      <c r="B452">
        <f>INDEX('vehicles specifications'!$B$3:$CK$86,MATCH(B441,'vehicles specifications'!$A$3:$A$86,0),MATCH("Power [kW]",'vehicles specifications'!$B$2:$CK$2,0))</f>
        <v>0.5</v>
      </c>
    </row>
    <row r="453" spans="1:8" x14ac:dyDescent="0.3">
      <c r="A453" t="s">
        <v>139</v>
      </c>
      <c r="B453">
        <f>INDEX('vehicles specifications'!$B$3:$CK$86,MATCH(B441,'vehicles specifications'!$A$3:$A$86,0),MATCH("Energy battery mass [kg]",'vehicles specifications'!$B$2:$CK$2,0))</f>
        <v>5.9799999999999995</v>
      </c>
    </row>
    <row r="454" spans="1:8" x14ac:dyDescent="0.3">
      <c r="A454" t="s">
        <v>140</v>
      </c>
      <c r="B454">
        <f>INDEX('vehicles specifications'!$B$3:$CK$86,MATCH(B441,'vehicles specifications'!$A$3:$A$86,0),MATCH("Electric energy stored [kWh]",'vehicles specifications'!$B$2:$CK$2,0))</f>
        <v>2.2999999999999998</v>
      </c>
    </row>
    <row r="455" spans="1:8" s="21" customFormat="1" x14ac:dyDescent="0.3">
      <c r="A455" s="21" t="s">
        <v>654</v>
      </c>
      <c r="B455" s="21">
        <f>INDEX('vehicles specifications'!$B$3:$CK$86,MATCH(B441,'vehicles specifications'!$A$3:$A$86,0),MATCH("Electric energy available [kWh]",'vehicles specifications'!$B$2:$CK$2,0))</f>
        <v>1.8399999999999999</v>
      </c>
    </row>
    <row r="456" spans="1:8" x14ac:dyDescent="0.3">
      <c r="A456" t="s">
        <v>143</v>
      </c>
      <c r="B456">
        <f>INDEX('vehicles specifications'!$B$3:$CK$86,MATCH(B441,'vehicles specifications'!$A$3:$A$86,0),MATCH("Oxydation energy stored [kWh]",'vehicles specifications'!$B$2:$CK$2,0))</f>
        <v>0</v>
      </c>
    </row>
    <row r="457" spans="1:8" x14ac:dyDescent="0.3">
      <c r="A457" t="s">
        <v>145</v>
      </c>
      <c r="B457">
        <f>INDEX('vehicles specifications'!$B$3:$CK$86,MATCH(B441,'vehicles specifications'!$A$3:$A$86,0),MATCH("Fuel mass [kg]",'vehicles specifications'!$B$2:$CK$2,0))</f>
        <v>0</v>
      </c>
    </row>
    <row r="458" spans="1:8" x14ac:dyDescent="0.3">
      <c r="A458" t="s">
        <v>141</v>
      </c>
      <c r="B458">
        <f>INDEX('vehicles specifications'!$B$3:$CK$86,MATCH(B441,'vehicles specifications'!$A$3:$A$86,0),MATCH("Range [km]",'vehicles specifications'!$B$2:$CK$2,0))</f>
        <v>190.84759493670884</v>
      </c>
    </row>
    <row r="459" spans="1:8" x14ac:dyDescent="0.3">
      <c r="A459" t="s">
        <v>142</v>
      </c>
      <c r="B459" t="str">
        <f>INDEX('vehicles specifications'!$B$3:$CK$86,MATCH(B441,'vehicles specifications'!$A$3:$A$86,0),MATCH("Emission standard",'vehicles specifications'!$B$2:$CK$2,0))</f>
        <v>None</v>
      </c>
    </row>
    <row r="460" spans="1:8" x14ac:dyDescent="0.3">
      <c r="A460" t="s">
        <v>144</v>
      </c>
      <c r="B460" s="6">
        <f>INDEX('vehicles specifications'!$B$3:$CK$86,MATCH(B441,'vehicles specifications'!$A$3:$A$86,0),MATCH("Lightweighting rate [%]",'vehicles specifications'!$B$2:$CK$2,0))</f>
        <v>7.0000000000000007E-2</v>
      </c>
    </row>
    <row r="461" spans="1:8" x14ac:dyDescent="0.3">
      <c r="A461" t="s">
        <v>84</v>
      </c>
      <c r="B461" s="21" t="str">
        <f>"Power: "&amp;B452&amp;" kW. Lifetime: "&amp;B446&amp;" km. Annual kilometers: "&amp;B450&amp;" km. Number of passengers: "&amp;B447&amp;". Curb mass: "&amp;ROUND(B451,1)&amp;" kg. Lightweighting of glider: "&amp;ROUND(B460*100,0)&amp;"%. Emission standard: "&amp;B459&amp;". Service visits throughout lifetime: "&amp;ROUND(B448,1)&amp;". Range: "&amp;ROUND(B458,0)&amp;" km. Battery capacity: "&amp;ROUND(B454,1)&amp;" kWh. Available battery capacity: "&amp;B455&amp;" kWh. Battery mass: "&amp;ROUND(B453,1)&amp; " kg. Battery replacement throughout lifetime: "&amp;ROUND(B449,1)&amp;". Fuel tank capacity: "&amp;ROUND(B456,1)&amp;" kWh. Fuel mass: "&amp;ROUND(B457,1)&amp;" kg. Documentation: "&amp;Readmefirst!$B$2&amp;", "&amp;Readmefirst!$B$3&amp;". "&amp;B445</f>
        <v>Power: 0.5 kW. Lifetime: 20000 km. Annual kilometers: 2060 km. Number of passengers: 1. Curb mass: 36.6 kg. Lightweighting of glider: 7%. Emission standard: None. Service visits throughout lifetime: 5. Range: 191 km. Battery capacity: 2.3 kWh. Available battery capacity: 1.84 kWh. Battery mass: 6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62" spans="1:8" ht="15.6" x14ac:dyDescent="0.3">
      <c r="A462" s="11" t="s">
        <v>80</v>
      </c>
    </row>
    <row r="463" spans="1:8" x14ac:dyDescent="0.3">
      <c r="A463" t="s">
        <v>81</v>
      </c>
      <c r="B463" t="s">
        <v>82</v>
      </c>
      <c r="C463" t="s">
        <v>73</v>
      </c>
      <c r="D463" t="s">
        <v>77</v>
      </c>
      <c r="E463" t="s">
        <v>83</v>
      </c>
      <c r="F463" t="s">
        <v>75</v>
      </c>
      <c r="G463" t="s">
        <v>84</v>
      </c>
      <c r="H463" t="s">
        <v>74</v>
      </c>
    </row>
    <row r="464" spans="1:8" x14ac:dyDescent="0.3">
      <c r="A464" s="12" t="str">
        <f>B436</f>
        <v>transport, Bicycle, electric, cargo bike, 2050, label-certified electricity</v>
      </c>
      <c r="B464" s="12">
        <v>1</v>
      </c>
      <c r="C464" s="12" t="str">
        <f>B437</f>
        <v>CH</v>
      </c>
      <c r="D464" s="12" t="s">
        <v>172</v>
      </c>
      <c r="E464" s="12"/>
      <c r="F464" s="12" t="s">
        <v>85</v>
      </c>
      <c r="G464" s="12" t="s">
        <v>86</v>
      </c>
      <c r="H464" s="12" t="str">
        <f>B442</f>
        <v>transport, Bicycle, electric, cargo bike</v>
      </c>
    </row>
    <row r="465" spans="1:8" x14ac:dyDescent="0.3">
      <c r="A465" s="12" t="str">
        <f>B438&amp;", "&amp;B440</f>
        <v>Bicycle, electric, cargo bike, 2050</v>
      </c>
      <c r="B465" s="12">
        <f>1/B446</f>
        <v>5.0000000000000002E-5</v>
      </c>
      <c r="C465" s="12" t="str">
        <f>B437</f>
        <v>CH</v>
      </c>
      <c r="D465" s="12" t="s">
        <v>77</v>
      </c>
      <c r="E465" s="12"/>
      <c r="F465" s="12" t="s">
        <v>91</v>
      </c>
      <c r="G465" s="12"/>
      <c r="H465" s="12" t="str">
        <f>RIGHT(H464,LEN(H464)-11)</f>
        <v>Bicycle, electric, cargo bike</v>
      </c>
    </row>
    <row r="466" spans="1:8" s="21" customFormat="1" x14ac:dyDescent="0.3">
      <c r="A466" s="12" t="str">
        <f>INDEX('ei names mapping'!$B$4:$R$33,MATCH(B438,'ei names mapping'!$A$4:$A$33,0),MATCH(G466,'ei names mapping'!$B$3:$R$3,0))</f>
        <v>road construction</v>
      </c>
      <c r="B466" s="16">
        <f>INDEX('vehicles specifications'!$B$3:$CK$86,MATCH(B441,'vehicles specifications'!$A$3:$A$86,0),MATCH(G466,'vehicles specifications'!$B$2:$CK$2,0))*INDEX('ei names mapping'!$B$137:$BK$220,MATCH(B441,'ei names mapping'!$A$137:$A$220,0),MATCH(G466,'ei names mapping'!$B$136:$BK$136,0))</f>
        <v>5.7791940000000001E-5</v>
      </c>
      <c r="C466" s="12" t="str">
        <f>INDEX('ei names mapping'!$B$38:$R$67,MATCH(B438,'ei names mapping'!$A$4:$A$33,0),MATCH(G466,'ei names mapping'!$B$3:$R$3,0))</f>
        <v>CH</v>
      </c>
      <c r="D466" s="12" t="str">
        <f>INDEX('ei names mapping'!$B$104:$BK$133,MATCH(B438,'ei names mapping'!$A$4:$A$33,0),MATCH(G466,'ei names mapping'!$B$3:$BK$3,0))</f>
        <v>meter-year</v>
      </c>
      <c r="E466" s="12"/>
      <c r="F466" s="12" t="s">
        <v>91</v>
      </c>
      <c r="G466" s="21" t="s">
        <v>108</v>
      </c>
      <c r="H466" s="12" t="str">
        <f>INDEX('ei names mapping'!$B$71:$BK$100,MATCH(B438,'ei names mapping'!$A$4:$A$33,0),MATCH(G466,'ei names mapping'!$B$3:$BK$3,0))</f>
        <v>road</v>
      </c>
    </row>
    <row r="467" spans="1:8" x14ac:dyDescent="0.3">
      <c r="A467" s="12" t="s">
        <v>114</v>
      </c>
      <c r="B467" s="14">
        <f>INDEX('vehicles specifications'!$B$3:$CK$86,MATCH(B441,'vehicles specifications'!$A$3:$A$86,0),MATCH(G467,'vehicles specifications'!$B$2:$CK$2,0))*INDEX('ei names mapping'!$B$137:$BK$220,MATCH(B441,'ei names mapping'!$A$137:$A$220,0),MATCH(G467,'ei names mapping'!$B$136:$BK$136,0))</f>
        <v>1.0605320966560899E-2</v>
      </c>
      <c r="C467" s="12" t="str">
        <f>INDEX('ei names mapping'!$B$38:$R$67,MATCH($B$3,'ei names mapping'!$A$4:$A$33,0),MATCH(G467,'ei names mapping'!$B$3:$R$3,0))</f>
        <v>CH</v>
      </c>
      <c r="D467" s="12" t="str">
        <f>INDEX('ei names mapping'!$B$104:$R$133,MATCH($B$3,'ei names mapping'!$A$4:$A$33,0),MATCH(G467,'ei names mapping'!$B$3:$R$3,0))</f>
        <v>kilowatt hour</v>
      </c>
      <c r="E467" s="12"/>
      <c r="F467" s="12" t="s">
        <v>91</v>
      </c>
      <c r="G467" t="s">
        <v>28</v>
      </c>
      <c r="H467" s="12" t="s">
        <v>116</v>
      </c>
    </row>
    <row r="468" spans="1:8" x14ac:dyDescent="0.3">
      <c r="A468" s="12" t="str">
        <f>INDEX('ei names mapping'!$B$4:$R$33,MATCH($B$3,'ei names mapping'!$A$4:$A$33,0),MATCH(G468,'ei names mapping'!$B$3:$R$3,0))</f>
        <v>maintenance, electric bicycle, without battery</v>
      </c>
      <c r="B468" s="14">
        <f>INDEX('vehicles specifications'!$B$3:$CK$86,MATCH(B441,'vehicles specifications'!$A$3:$A$86,0),MATCH(G468,'vehicles specifications'!$B$2:$CK$2,0))*INDEX('ei names mapping'!$B$137:$BK$220,MATCH(B441,'ei names mapping'!$A$137:$A$220,0),MATCH(G468,'ei names mapping'!$B$136:$BK$136,0))</f>
        <v>2.5000000000000001E-4</v>
      </c>
      <c r="C468" s="12" t="str">
        <f>INDEX('ei names mapping'!$B$38:$R$67,MATCH($B$3,'ei names mapping'!$A$4:$A$33,0),MATCH(G468,'ei names mapping'!$B$3:$R$3,0))</f>
        <v>CH</v>
      </c>
      <c r="D468" s="12" t="str">
        <f>INDEX('ei names mapping'!$B$104:$R$133,MATCH($B$3,'ei names mapping'!$A$4:$A$33,0),MATCH(G468,'ei names mapping'!$B$3:$R$3,0))</f>
        <v>unit</v>
      </c>
      <c r="E468" s="12"/>
      <c r="F468" s="12" t="s">
        <v>91</v>
      </c>
      <c r="G468" t="s">
        <v>123</v>
      </c>
      <c r="H468" s="12" t="str">
        <f>INDEX('ei names mapping'!$B$71:$R$100,MATCH($B$3,'ei names mapping'!$A$4:$A$33,0),MATCH(G468,'ei names mapping'!$B$3:$R$3,0))</f>
        <v>maintenance, electric bicycle, without battery</v>
      </c>
    </row>
    <row r="469" spans="1:8" x14ac:dyDescent="0.3">
      <c r="A469" s="12" t="str">
        <f>INDEX('ei names mapping'!$B$4:$BK$33,MATCH($B$179,'ei names mapping'!$A$4:$A$33,0),MATCH(G469,'ei names mapping'!$B$3:$BK$3,0))</f>
        <v>treatment of road wear emissions, passenger car</v>
      </c>
      <c r="B469" s="15">
        <f>INDEX('vehicles specifications'!$B$3:$CK$86,MATCH(B441,'vehicles specifications'!$A$3:$A$86,0),MATCH(G469,'vehicles specifications'!$B$2:$CK$2,0))*INDEX('ei names mapping'!$B$137:$BK$220,MATCH(B441,'ei names mapping'!$A$137:$A$220,0),MATCH(G469,'ei names mapping'!$B$136:$BK$136,0))</f>
        <v>-3.0000000000000001E-6</v>
      </c>
      <c r="C469" s="12" t="str">
        <f>INDEX('ei names mapping'!$B$38:$BK$67,MATCH($B$179,'ei names mapping'!$A$4:$A$33,0),MATCH(G469,'ei names mapping'!$B$3:$BK$3,0))</f>
        <v>RER</v>
      </c>
      <c r="D469" s="12" t="str">
        <f>INDEX('ei names mapping'!$B$104:$BK$133,MATCH($B$179,'ei names mapping'!$A$4:$A$33,0),MATCH(G469,'ei names mapping'!$B$3:$BK$3,0))</f>
        <v>kilogram</v>
      </c>
      <c r="E469" s="12"/>
      <c r="F469" s="12" t="s">
        <v>91</v>
      </c>
      <c r="G469" t="s">
        <v>29</v>
      </c>
      <c r="H469" s="12" t="str">
        <f>INDEX('ei names mapping'!$B$71:$BK$100,MATCH(B438,'ei names mapping'!$A$4:$A$33,0),MATCH(G469,'ei names mapping'!$B$3:$BK$3,0))</f>
        <v>road wear emissions, passenger car</v>
      </c>
    </row>
    <row r="470" spans="1:8" x14ac:dyDescent="0.3">
      <c r="A470" s="12" t="str">
        <f>INDEX('ei names mapping'!$B$4:$BK$33,MATCH($B$179,'ei names mapping'!$A$4:$A$33,0),MATCH(G470,'ei names mapping'!$B$3:$BK$3,0))</f>
        <v>treatment of tyre wear emissions, passenger car</v>
      </c>
      <c r="B470" s="15">
        <f>INDEX('vehicles specifications'!$B$3:$CK$86,MATCH(B441,'vehicles specifications'!$A$3:$A$86,0),MATCH(G470,'vehicles specifications'!$B$2:$CK$2,0))*INDEX('ei names mapping'!$B$137:$BK$220,MATCH(B441,'ei names mapping'!$A$137:$A$220,0),MATCH(G470,'ei names mapping'!$B$136:$BK$136,0))</f>
        <v>-2.9189999999999999E-6</v>
      </c>
      <c r="C470" s="12" t="str">
        <f>INDEX('ei names mapping'!$B$38:$BK$67,MATCH($B$179,'ei names mapping'!$A$4:$A$33,0),MATCH(G470,'ei names mapping'!$B$3:$BK$3,0))</f>
        <v>RER</v>
      </c>
      <c r="D470" s="12" t="str">
        <f>INDEX('ei names mapping'!$B$104:$BK$133,MATCH($B$179,'ei names mapping'!$A$4:$A$33,0),MATCH(G470,'ei names mapping'!$B$3:$BK$3,0))</f>
        <v>kilogram</v>
      </c>
      <c r="E470" s="12"/>
      <c r="F470" s="12" t="s">
        <v>91</v>
      </c>
      <c r="G470" t="s">
        <v>30</v>
      </c>
      <c r="H470" s="12" t="str">
        <f>INDEX('ei names mapping'!$B$71:$BK$100,MATCH($B$179,'ei names mapping'!$A$4:$A$33,0),MATCH(G470,'ei names mapping'!$B$3:$BK$3,0))</f>
        <v>tyre wear emissions, passenger car</v>
      </c>
    </row>
    <row r="471" spans="1:8" x14ac:dyDescent="0.3">
      <c r="A471" s="12" t="str">
        <f>INDEX('ei names mapping'!$B$4:$BK$33,MATCH($B$179,'ei names mapping'!$A$4:$A$33,0),MATCH(G471,'ei names mapping'!$B$3:$BK$3,0))</f>
        <v>treatment of brake wear emissions, passenger car</v>
      </c>
      <c r="B471" s="15">
        <f>INDEX('vehicles specifications'!$B$3:$CK$86,MATCH(B441,'vehicles specifications'!$A$3:$A$86,0),MATCH(G471,'vehicles specifications'!$B$2:$CK$2,0))*INDEX('ei names mapping'!$B$137:$BK$220,MATCH(B441,'ei names mapping'!$A$137:$A$220,0),MATCH(G471,'ei names mapping'!$B$136:$BK$136,0))</f>
        <v>-1.8370000000000002E-6</v>
      </c>
      <c r="C471" s="12" t="str">
        <f>INDEX('ei names mapping'!$B$38:$BK$67,MATCH($B$179,'ei names mapping'!$A$4:$A$33,0),MATCH(G471,'ei names mapping'!$B$3:$BK$3,0))</f>
        <v>RER</v>
      </c>
      <c r="D471" s="12" t="str">
        <f>INDEX('ei names mapping'!$B$104:$BK$133,MATCH($B$179,'ei names mapping'!$A$4:$A$33,0),MATCH(G471,'ei names mapping'!$B$3:$BK$3,0))</f>
        <v>kilogram</v>
      </c>
      <c r="E471" s="12"/>
      <c r="F471" s="12" t="s">
        <v>91</v>
      </c>
      <c r="G471" t="s">
        <v>31</v>
      </c>
      <c r="H471" s="12" t="str">
        <f>INDEX('ei names mapping'!$B$71:$BK$100,MATCH($B$179,'ei names mapping'!$A$4:$A$33,0),MATCH(G471,'ei names mapping'!$B$3:$BK$3,0))</f>
        <v>brake wear emissions, passenger car</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139" workbookViewId="0">
      <selection activeCell="B188" sqref="B188"/>
    </sheetView>
  </sheetViews>
  <sheetFormatPr defaultRowHeight="14.4" x14ac:dyDescent="0.3"/>
  <cols>
    <col min="1" max="1" width="48.21875" bestFit="1" customWidth="1"/>
    <col min="2" max="2" width="15.6640625" bestFit="1" customWidth="1"/>
    <col min="7" max="7" width="32" bestFit="1" customWidth="1"/>
  </cols>
  <sheetData>
    <row r="1" spans="1:2" ht="15.6" x14ac:dyDescent="0.3">
      <c r="A1" s="11" t="s">
        <v>72</v>
      </c>
      <c r="B1" s="9" t="str">
        <f>B3&amp;", "&amp;B5</f>
        <v>Tram, electric, 2020</v>
      </c>
    </row>
    <row r="2" spans="1:2" x14ac:dyDescent="0.3">
      <c r="A2" t="s">
        <v>73</v>
      </c>
      <c r="B2" t="s">
        <v>37</v>
      </c>
    </row>
    <row r="3" spans="1:2" x14ac:dyDescent="0.3">
      <c r="A3" t="s">
        <v>87</v>
      </c>
      <c r="B3" t="s">
        <v>519</v>
      </c>
    </row>
    <row r="4" spans="1:2" x14ac:dyDescent="0.3">
      <c r="A4" t="s">
        <v>88</v>
      </c>
      <c r="B4" s="12"/>
    </row>
    <row r="5" spans="1:2" x14ac:dyDescent="0.3">
      <c r="A5" t="s">
        <v>89</v>
      </c>
      <c r="B5" s="12">
        <v>2020</v>
      </c>
    </row>
    <row r="6" spans="1:2" x14ac:dyDescent="0.3">
      <c r="A6" t="s">
        <v>131</v>
      </c>
      <c r="B6" s="12" t="str">
        <f>B3&amp;" - "&amp;B5&amp;" - "&amp;B2</f>
        <v>Tram, electric - 2020 - CH</v>
      </c>
    </row>
    <row r="7" spans="1:2" x14ac:dyDescent="0.3">
      <c r="A7" t="s">
        <v>74</v>
      </c>
      <c r="B7" t="str">
        <f>B3</f>
        <v>Tram, electric</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2800000</v>
      </c>
    </row>
    <row r="12" spans="1:2" x14ac:dyDescent="0.3">
      <c r="A12" t="s">
        <v>133</v>
      </c>
      <c r="B12">
        <f>INDEX('vehicles specifications'!$B$3:$CK$86,MATCH(B6,'vehicles specifications'!$A$3:$A$86,0),MATCH("Passengers [unit]",'vehicles specifications'!$B$2:$CK$2,0))</f>
        <v>38</v>
      </c>
    </row>
    <row r="13" spans="1:2" x14ac:dyDescent="0.3">
      <c r="A13" t="s">
        <v>134</v>
      </c>
      <c r="B13">
        <f>INDEX('vehicles specifications'!$B$3:$CK$86,MATCH(B6,'vehicles specifications'!$A$3:$A$86,0),MATCH("Servicing [unit]",'vehicles specifications'!$B$2:$CK$2,0))</f>
        <v>1.3333333333333333</v>
      </c>
    </row>
    <row r="14" spans="1:2" x14ac:dyDescent="0.3">
      <c r="A14" t="s">
        <v>135</v>
      </c>
      <c r="B14">
        <f>INDEX('vehicles specifications'!$B$3:$CK$86,MATCH(B6,'vehicles specifications'!$A$3:$A$86,0),MATCH("Energy battery replacement [unit]",'vehicles specifications'!$B$2:$CK$2,0))</f>
        <v>0</v>
      </c>
    </row>
    <row r="15" spans="1:2" x14ac:dyDescent="0.3">
      <c r="A15" t="s">
        <v>136</v>
      </c>
      <c r="B15">
        <f>INDEX('vehicles specifications'!$B$3:$CK$86,MATCH(B6,'vehicles specifications'!$A$3:$A$86,0),MATCH("Annual kilometers [km]",'vehicles specifications'!$B$2:$CK$2,0))</f>
        <v>70000</v>
      </c>
    </row>
    <row r="16" spans="1:2" x14ac:dyDescent="0.3">
      <c r="A16" t="s">
        <v>137</v>
      </c>
      <c r="B16">
        <f>INDEX('vehicles specifications'!$B$3:$CK$86,MATCH(B6,'vehicles specifications'!$A$3:$A$86,0),MATCH("Curb mass [kg]",'vehicles specifications'!$B$2:$CK$2,0))</f>
        <v>54000</v>
      </c>
    </row>
    <row r="17" spans="1:8" x14ac:dyDescent="0.3">
      <c r="A17" t="s">
        <v>138</v>
      </c>
      <c r="B17">
        <f>INDEX('vehicles specifications'!$B$3:$CK$86,MATCH(B6,'vehicles specifications'!$A$3:$A$86,0),MATCH("Power [kW]",'vehicles specifications'!$B$2:$CK$2,0))</f>
        <v>660</v>
      </c>
    </row>
    <row r="18" spans="1:8" x14ac:dyDescent="0.3">
      <c r="A18" t="s">
        <v>139</v>
      </c>
      <c r="B18">
        <f>INDEX('vehicles specifications'!$B$3:$CK$86,MATCH(B6,'vehicles specifications'!$A$3:$A$86,0),MATCH("Energy battery mass [kg]",'vehicles specifications'!$B$2:$CK$2,0))</f>
        <v>0</v>
      </c>
    </row>
    <row r="19" spans="1:8" x14ac:dyDescent="0.3">
      <c r="A19" t="s">
        <v>140</v>
      </c>
      <c r="B19">
        <f>INDEX('vehicles specifications'!$B$3:$CK$86,MATCH(B6,'vehicles specifications'!$A$3:$A$86,0),MATCH("Electric energy available [kWh]",'vehicles specifications'!$B$2:$CK$2,0))</f>
        <v>0</v>
      </c>
    </row>
    <row r="20" spans="1:8" x14ac:dyDescent="0.3">
      <c r="A20" t="s">
        <v>143</v>
      </c>
      <c r="B20">
        <f>INDEX('vehicles specifications'!$B$3:$CK$86,MATCH(B6,'vehicles specifications'!$A$3:$A$86,0),MATCH("Oxydation energy stored [kWh]",'vehicles specifications'!$B$2:$CK$2,0))</f>
        <v>0</v>
      </c>
    </row>
    <row r="21" spans="1:8" x14ac:dyDescent="0.3">
      <c r="A21" t="s">
        <v>145</v>
      </c>
      <c r="B21">
        <f>INDEX('vehicles specifications'!$B$3:$CK$86,MATCH(B6,'vehicles specifications'!$A$3:$A$86,0),MATCH("Fuel mass [kg]",'vehicles specifications'!$B$2:$CK$2,0))</f>
        <v>0</v>
      </c>
    </row>
    <row r="22" spans="1:8" x14ac:dyDescent="0.3">
      <c r="A22" t="s">
        <v>141</v>
      </c>
      <c r="B22">
        <f>INDEX('vehicles specifications'!$B$3:$CK$86,MATCH(B6,'vehicles specifications'!$A$3:$A$86,0),MATCH("Range [km]",'vehicles specifications'!$B$2:$CK$2,0))</f>
        <v>0</v>
      </c>
    </row>
    <row r="23" spans="1:8" x14ac:dyDescent="0.3">
      <c r="A23" t="s">
        <v>142</v>
      </c>
      <c r="B23" t="str">
        <f>INDEX('vehicles specifications'!$B$3:$CK$86,MATCH(B6,'vehicles specifications'!$A$3:$A$86,0),MATCH("Emission standard",'vehicles specifications'!$B$2:$CK$2,0))</f>
        <v>None</v>
      </c>
    </row>
    <row r="24" spans="1:8" x14ac:dyDescent="0.3">
      <c r="A24" t="s">
        <v>144</v>
      </c>
      <c r="B24" s="6">
        <f>INDEX('vehicles specifications'!$B$3:$CK$86,MATCH(B6,'vehicles specifications'!$A$3:$A$86,0),MATCH("Lightweighting rate [%]",'vehicles specifications'!$B$2:$CK$2,0))</f>
        <v>0</v>
      </c>
    </row>
    <row r="25" spans="1:8" s="21" customFormat="1" x14ac:dyDescent="0.3">
      <c r="A25" s="21" t="s">
        <v>513</v>
      </c>
      <c r="B25" s="6" t="s">
        <v>558</v>
      </c>
    </row>
    <row r="26" spans="1:8" s="21" customFormat="1" x14ac:dyDescent="0.3">
      <c r="A26" s="21" t="s">
        <v>515</v>
      </c>
      <c r="B26" s="2">
        <v>0</v>
      </c>
    </row>
    <row r="27" spans="1:8" s="21" customFormat="1" x14ac:dyDescent="0.3">
      <c r="A27" s="21" t="s">
        <v>516</v>
      </c>
      <c r="B27" s="2">
        <v>1000</v>
      </c>
    </row>
    <row r="28" spans="1:8" s="21" customFormat="1" x14ac:dyDescent="0.3">
      <c r="A28" s="21" t="s">
        <v>84</v>
      </c>
      <c r="B28" s="21" t="str">
        <f>"Power: "&amp;B17&amp;" kW. Lifetime: "&amp;B11&amp;" km. Annual kilometers: "&amp;ROUND(B15,0)&amp;" km. Number of passengers: "&amp;ROUND(B12,1)&amp;". Curb mass: "&amp;ROUND(B16,1)&amp;" kg. Lightweighting of glider: "&amp;ROUND(B24*100,0)&amp;"%. Emission standard: "&amp;B23&amp;". Service visits throughout lifetime: every year for "&amp;B11/B15&amp;" years.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9" spans="1:8" ht="15.6" x14ac:dyDescent="0.3">
      <c r="A29" s="11" t="s">
        <v>80</v>
      </c>
    </row>
    <row r="30" spans="1:8" x14ac:dyDescent="0.3">
      <c r="A30" t="s">
        <v>81</v>
      </c>
      <c r="B30" t="s">
        <v>82</v>
      </c>
      <c r="C30" t="s">
        <v>73</v>
      </c>
      <c r="D30" t="s">
        <v>77</v>
      </c>
      <c r="E30" t="s">
        <v>83</v>
      </c>
      <c r="F30" t="s">
        <v>75</v>
      </c>
      <c r="G30" t="s">
        <v>84</v>
      </c>
      <c r="H30" t="s">
        <v>74</v>
      </c>
    </row>
    <row r="31" spans="1:8" x14ac:dyDescent="0.3">
      <c r="A31" s="12" t="str">
        <f>B1</f>
        <v>Tram, electric, 2020</v>
      </c>
      <c r="B31" s="12">
        <v>1</v>
      </c>
      <c r="C31" s="12" t="str">
        <f>B2</f>
        <v>CH</v>
      </c>
      <c r="D31" s="12" t="str">
        <f>B9</f>
        <v>unit</v>
      </c>
      <c r="E31" s="12"/>
      <c r="F31" s="12" t="s">
        <v>85</v>
      </c>
      <c r="G31" s="12" t="s">
        <v>86</v>
      </c>
      <c r="H31" s="12" t="str">
        <f>B3</f>
        <v>Tram, electric</v>
      </c>
    </row>
    <row r="32" spans="1:8" x14ac:dyDescent="0.3">
      <c r="A32" s="12" t="str">
        <f>INDEX('ei names mapping'!$B$4:$R$33,MATCH($B$3,'ei names mapping'!$A$4:$A$33,0),MATCH(G32,'ei names mapping'!$B$3:$R$3,0))</f>
        <v>tram production</v>
      </c>
      <c r="B32" s="14">
        <f>INDEX('vehicles specifications'!$B$3:$CK$86,MATCH(B6,'vehicles specifications'!$A$3:$A$86,0),MATCH(G32,'vehicles specifications'!$B$2:$CK$2,0))*INDEX('ei names mapping'!$B$137:$BK$220,MATCH(B6,'ei names mapping'!$A$137:$A$220,0),MATCH(G32,'ei names mapping'!$B$136:$BK$136,0))</f>
        <v>2.0579268292682928</v>
      </c>
      <c r="C32" s="12" t="str">
        <f>INDEX('ei names mapping'!$B$38:$R$67,MATCH($B$3,'ei names mapping'!$A$4:$A$33,0),MATCH(G32,'ei names mapping'!$B$3:$R$3,0))</f>
        <v>RER</v>
      </c>
      <c r="D32" s="12" t="str">
        <f>INDEX('ei names mapping'!$B$104:$R$133,MATCH(B3,'ei names mapping'!$A$104:$A$133,0),MATCH(G32,'ei names mapping'!$B$3:$R$3,0))</f>
        <v>unit</v>
      </c>
      <c r="E32" s="12"/>
      <c r="F32" s="12" t="s">
        <v>91</v>
      </c>
      <c r="G32" s="21" t="s">
        <v>15</v>
      </c>
      <c r="H32" s="12" t="str">
        <f>INDEX('ei names mapping'!$B$71:$R$100,MATCH($B$3,'ei names mapping'!$A$4:$A$33,0),MATCH(G32,'ei names mapping'!$B$3:$R$3,0))</f>
        <v>tram</v>
      </c>
    </row>
    <row r="33" spans="1:8" x14ac:dyDescent="0.3">
      <c r="A33" s="12" t="str">
        <f>INDEX('ei names mapping'!$B$4:$R$33,MATCH($B$3,'ei names mapping'!$A$4:$A$33,0),MATCH(G33,'ei names mapping'!$B$3:$R$3,0))</f>
        <v>tram production</v>
      </c>
      <c r="B33" s="14">
        <f>INDEX('vehicles specifications'!$B$3:$CK$86,MATCH(B6,'vehicles specifications'!$A$3:$A$86,0),MATCH(G33,'vehicles specifications'!$B$2:$CK$2,0))*INDEX('ei names mapping'!$B$137:$BK$220,MATCH(B6,'ei names mapping'!$A$137:$A$220,0),MATCH(G33,'ei names mapping'!$B$136:$BK$136,0))</f>
        <v>0.37157012195121952</v>
      </c>
      <c r="C33" s="12" t="str">
        <f>INDEX('ei names mapping'!$B$38:$R$67,MATCH($B$3,'ei names mapping'!$A$4:$A$33,0),MATCH(G33,'ei names mapping'!$B$3:$R$3,0))</f>
        <v>RER</v>
      </c>
      <c r="D33" s="12" t="str">
        <f>INDEX('ei names mapping'!$B$104:$R$133,MATCH(B3,'ei names mapping'!$A$104:$A$133,0),MATCH(G33,'ei names mapping'!$B$3:$R$3,0))</f>
        <v>unit</v>
      </c>
      <c r="E33" s="12"/>
      <c r="F33" s="12" t="s">
        <v>91</v>
      </c>
      <c r="G33" t="s">
        <v>16</v>
      </c>
      <c r="H33" s="12" t="str">
        <f>INDEX('ei names mapping'!$B$71:$R$100,MATCH($B$3,'ei names mapping'!$A$4:$A$33,0),MATCH(G33,'ei names mapping'!$B$3:$R$3,0))</f>
        <v>tram</v>
      </c>
    </row>
    <row r="34" spans="1:8" x14ac:dyDescent="0.3">
      <c r="A34" s="12" t="str">
        <f>INDEX('ei names mapping'!$B$4:$R$33,MATCH($B$3,'ei names mapping'!$A$4:$A$33,0),MATCH(G34,'ei names mapping'!$B$3:$R$3,0))</f>
        <v>tram production</v>
      </c>
      <c r="B34" s="14">
        <f>INDEX('vehicles specifications'!$B$3:$CK$86,MATCH(B6,'vehicles specifications'!$A$3:$A$86,0),MATCH(G34,'vehicles specifications'!$B$2:$CK$2,0))*INDEX('ei names mapping'!$B$137:$BK$220,MATCH(B6,'ei names mapping'!$A$137:$A$220,0),MATCH(G34,'ei names mapping'!$B$136:$BK$136,0))</f>
        <v>0.14291158536585366</v>
      </c>
      <c r="C34" s="12" t="str">
        <f>INDEX('ei names mapping'!$B$38:$R$67,MATCH($B$3,'ei names mapping'!$A$4:$A$33,0),MATCH(G34,'ei names mapping'!$B$3:$R$3,0))</f>
        <v>RER</v>
      </c>
      <c r="D34" s="12" t="str">
        <f>INDEX('ei names mapping'!$B$104:$R$133,MATCH(B3,'ei names mapping'!$A$104:$A$133,0),MATCH(G34,'ei names mapping'!$B$3:$R$3,0))</f>
        <v>unit</v>
      </c>
      <c r="E34" s="12"/>
      <c r="F34" s="12" t="s">
        <v>91</v>
      </c>
      <c r="G34" t="s">
        <v>557</v>
      </c>
      <c r="H34" s="12" t="str">
        <f>INDEX('ei names mapping'!$B$71:$R$100,MATCH($B$3,'ei names mapping'!$A$4:$A$33,0),MATCH(G34,'ei names mapping'!$B$3:$R$3,0))</f>
        <v>tram</v>
      </c>
    </row>
    <row r="35" spans="1:8" s="21" customFormat="1" x14ac:dyDescent="0.3">
      <c r="A35" s="12" t="str">
        <f>INDEX('ei names mapping'!$B$4:$R$33,MATCH(B3,'ei names mapping'!$A$4:$A$33,0),MATCH(G35,'ei names mapping'!$B$3:$R$3,0))</f>
        <v>glider lightweighting</v>
      </c>
      <c r="B35" s="16">
        <f>INDEX('vehicles specifications'!$B$3:$CK$86,MATCH(B6,'vehicles specifications'!$A$3:$A$86,0),MATCH(G35,'vehicles specifications'!$B$2:$CK$2,0))*INDEX('ei names mapping'!$B$137:$BK$220,MATCH(B6,'ei names mapping'!$A$137:$A$220,0),MATCH(G35,'ei names mapping'!$B$136:$BK$136,0))</f>
        <v>0</v>
      </c>
      <c r="C35" s="12" t="str">
        <f>INDEX('ei names mapping'!$B$38:$R$67,MATCH(B3,'ei names mapping'!$A$4:$A$33,0),MATCH(G35,'ei names mapping'!$B$3:$R$3,0))</f>
        <v>GLO</v>
      </c>
      <c r="D35" s="12" t="str">
        <f>INDEX('ei names mapping'!$B$104:$R$133,MATCH(B3,'ei names mapping'!$A$104:$A$133,0),MATCH(G35,'ei names mapping'!$B$3:$R$3,0))</f>
        <v>kilogram</v>
      </c>
      <c r="E35" s="12"/>
      <c r="F35" s="12" t="s">
        <v>91</v>
      </c>
      <c r="G35" s="21" t="s">
        <v>14</v>
      </c>
      <c r="H35" s="12" t="str">
        <f>INDEX('ei names mapping'!$B$71:$R$100,MATCH(B3,'ei names mapping'!$A$4:$A$33,0),MATCH(G35,'ei names mapping'!$B$3:$R$3,0))</f>
        <v>glider lightweighting</v>
      </c>
    </row>
    <row r="36" spans="1:8" x14ac:dyDescent="0.3">
      <c r="A36" s="12" t="str">
        <f>INDEX('ei names mapping'!$B$4:$R$33,MATCH($B$3,'ei names mapping'!$A$4:$A$33,0),MATCH(G36,'ei names mapping'!$B$3:$R$3,0))</f>
        <v>tram track construction</v>
      </c>
      <c r="B36" s="18">
        <f>INDEX('vehicles specifications'!$B$3:$CK$86,MATCH(B6,'vehicles specifications'!$A$3:$A$86,0),MATCH(G36,'vehicles specifications'!$B$2:$CK$2,0))*INDEX('ei names mapping'!$B$137:$BK$220,MATCH(B6,'ei names mapping'!$A$137:$A$220,0),MATCH(G36,'ei names mapping'!$B$136:$BK$136,0))</f>
        <v>4.5599999999999998E-3</v>
      </c>
      <c r="C36" s="12" t="str">
        <f>INDEX('ei names mapping'!$B$38:$R$67,MATCH($B$3,'ei names mapping'!$A$4:$A$33,0),MATCH(G36,'ei names mapping'!$B$3:$R$3,0))</f>
        <v>CH</v>
      </c>
      <c r="D36" s="12" t="str">
        <f>INDEX('ei names mapping'!$B$104:$R$133,MATCH(B3,'ei names mapping'!$A$104:$A$133,0),MATCH(G36,'ei names mapping'!$B$3:$R$3,0))</f>
        <v>meter-year</v>
      </c>
      <c r="E36" s="12"/>
      <c r="F36" s="12" t="s">
        <v>91</v>
      </c>
      <c r="G36" t="s">
        <v>108</v>
      </c>
      <c r="H36" s="12" t="str">
        <f>INDEX('ei names mapping'!$B$71:$R$100,MATCH($B$3,'ei names mapping'!$A$4:$A$33,0),MATCH(G36,'ei names mapping'!$B$3:$R$3,0))</f>
        <v>tram track</v>
      </c>
    </row>
    <row r="37" spans="1:8" s="21" customFormat="1" x14ac:dyDescent="0.3">
      <c r="A37" s="12" t="s">
        <v>572</v>
      </c>
      <c r="B37" s="18">
        <f>-1*B36</f>
        <v>-4.5599999999999998E-3</v>
      </c>
      <c r="C37" s="12" t="s">
        <v>37</v>
      </c>
      <c r="D37" s="12" t="s">
        <v>110</v>
      </c>
      <c r="E37" s="12"/>
      <c r="F37" s="12" t="s">
        <v>91</v>
      </c>
      <c r="G37" s="21" t="s">
        <v>570</v>
      </c>
      <c r="H37" s="12" t="s">
        <v>571</v>
      </c>
    </row>
    <row r="38" spans="1:8" s="21" customFormat="1" x14ac:dyDescent="0.3">
      <c r="A38" s="22" t="s">
        <v>468</v>
      </c>
      <c r="B38" s="21">
        <f>(B16/1000)*B27</f>
        <v>54000</v>
      </c>
      <c r="C38" s="21" t="s">
        <v>94</v>
      </c>
      <c r="D38" s="21" t="s">
        <v>243</v>
      </c>
      <c r="F38" s="21" t="s">
        <v>91</v>
      </c>
      <c r="H38" s="22" t="s">
        <v>469</v>
      </c>
    </row>
    <row r="39" spans="1:8" x14ac:dyDescent="0.3">
      <c r="A39" s="12"/>
      <c r="B39" s="16"/>
      <c r="C39" s="12"/>
      <c r="D39" s="12"/>
      <c r="E39" s="12"/>
      <c r="F39" s="12"/>
      <c r="H39" s="12"/>
    </row>
    <row r="40" spans="1:8" ht="15.6" x14ac:dyDescent="0.3">
      <c r="A40" s="11" t="s">
        <v>72</v>
      </c>
      <c r="B40" s="9" t="str">
        <f>B42&amp;", "&amp;B44</f>
        <v>Tram, electric, 2030</v>
      </c>
    </row>
    <row r="41" spans="1:8" x14ac:dyDescent="0.3">
      <c r="A41" t="s">
        <v>73</v>
      </c>
      <c r="B41" t="s">
        <v>37</v>
      </c>
    </row>
    <row r="42" spans="1:8" x14ac:dyDescent="0.3">
      <c r="A42" t="s">
        <v>87</v>
      </c>
      <c r="B42" s="21" t="s">
        <v>519</v>
      </c>
    </row>
    <row r="43" spans="1:8" x14ac:dyDescent="0.3">
      <c r="A43" t="s">
        <v>88</v>
      </c>
      <c r="B43" s="12"/>
    </row>
    <row r="44" spans="1:8" x14ac:dyDescent="0.3">
      <c r="A44" t="s">
        <v>89</v>
      </c>
      <c r="B44" s="12">
        <v>2030</v>
      </c>
    </row>
    <row r="45" spans="1:8" x14ac:dyDescent="0.3">
      <c r="A45" t="s">
        <v>131</v>
      </c>
      <c r="B45" s="12" t="str">
        <f>B42&amp;" - "&amp;B44&amp;" - "&amp;B41</f>
        <v>Tram, electric - 2030 - CH</v>
      </c>
    </row>
    <row r="46" spans="1:8" x14ac:dyDescent="0.3">
      <c r="A46" t="s">
        <v>74</v>
      </c>
      <c r="B46" t="str">
        <f>B42</f>
        <v>Tram, electric</v>
      </c>
    </row>
    <row r="47" spans="1:8" x14ac:dyDescent="0.3">
      <c r="A47" t="s">
        <v>75</v>
      </c>
      <c r="B47" t="s">
        <v>76</v>
      </c>
    </row>
    <row r="48" spans="1:8" x14ac:dyDescent="0.3">
      <c r="A48" t="s">
        <v>77</v>
      </c>
      <c r="B48" t="s">
        <v>77</v>
      </c>
    </row>
    <row r="49" spans="1:2" x14ac:dyDescent="0.3">
      <c r="A49" t="s">
        <v>79</v>
      </c>
      <c r="B49" t="s">
        <v>90</v>
      </c>
    </row>
    <row r="50" spans="1:2" x14ac:dyDescent="0.3">
      <c r="A50" t="s">
        <v>132</v>
      </c>
      <c r="B50">
        <f>INDEX('vehicles specifications'!$B$3:$CK$86,MATCH(B45,'vehicles specifications'!$A$3:$A$86,0),MATCH("Lifetime [km]",'vehicles specifications'!$B$2:$CK$2,0))</f>
        <v>2800000</v>
      </c>
    </row>
    <row r="51" spans="1:2" x14ac:dyDescent="0.3">
      <c r="A51" t="s">
        <v>133</v>
      </c>
      <c r="B51">
        <f>INDEX('vehicles specifications'!$B$3:$CK$86,MATCH(B45,'vehicles specifications'!$A$3:$A$86,0),MATCH("Passengers [unit]",'vehicles specifications'!$B$2:$CK$2,0))</f>
        <v>38</v>
      </c>
    </row>
    <row r="52" spans="1:2" x14ac:dyDescent="0.3">
      <c r="A52" t="s">
        <v>134</v>
      </c>
      <c r="B52">
        <f>INDEX('vehicles specifications'!$B$3:$CK$86,MATCH(B45,'vehicles specifications'!$A$3:$A$86,0),MATCH("Servicing [unit]",'vehicles specifications'!$B$2:$CK$2,0))</f>
        <v>1.3333333333333333</v>
      </c>
    </row>
    <row r="53" spans="1:2" x14ac:dyDescent="0.3">
      <c r="A53" t="s">
        <v>135</v>
      </c>
      <c r="B53">
        <f>INDEX('vehicles specifications'!$B$3:$CK$86,MATCH(B45,'vehicles specifications'!$A$3:$A$86,0),MATCH("Energy battery replacement [unit]",'vehicles specifications'!$B$2:$CK$2,0))</f>
        <v>0</v>
      </c>
    </row>
    <row r="54" spans="1:2" x14ac:dyDescent="0.3">
      <c r="A54" t="s">
        <v>136</v>
      </c>
      <c r="B54">
        <f>INDEX('vehicles specifications'!$B$3:$CK$86,MATCH(B45,'vehicles specifications'!$A$3:$A$86,0),MATCH("Annual kilometers [km]",'vehicles specifications'!$B$2:$CK$2,0))</f>
        <v>70000</v>
      </c>
    </row>
    <row r="55" spans="1:2" x14ac:dyDescent="0.3">
      <c r="A55" t="s">
        <v>137</v>
      </c>
      <c r="B55">
        <f>INDEX('vehicles specifications'!$B$3:$CK$86,MATCH(B45,'vehicles specifications'!$A$3:$A$86,0),MATCH("Curb mass [kg]",'vehicles specifications'!$B$2:$CK$2,0))</f>
        <v>52380</v>
      </c>
    </row>
    <row r="56" spans="1:2" x14ac:dyDescent="0.3">
      <c r="A56" t="s">
        <v>138</v>
      </c>
      <c r="B56">
        <f>INDEX('vehicles specifications'!$B$3:$CK$86,MATCH(B45,'vehicles specifications'!$A$3:$A$86,0),MATCH("Power [kW]",'vehicles specifications'!$B$2:$CK$2,0))</f>
        <v>660</v>
      </c>
    </row>
    <row r="57" spans="1:2" x14ac:dyDescent="0.3">
      <c r="A57" t="s">
        <v>139</v>
      </c>
      <c r="B57">
        <f>INDEX('vehicles specifications'!$B$3:$CK$86,MATCH(B45,'vehicles specifications'!$A$3:$A$86,0),MATCH("Energy battery mass [kg]",'vehicles specifications'!$B$2:$CK$2,0))</f>
        <v>0</v>
      </c>
    </row>
    <row r="58" spans="1:2" x14ac:dyDescent="0.3">
      <c r="A58" t="s">
        <v>140</v>
      </c>
      <c r="B58">
        <f>INDEX('vehicles specifications'!$B$3:$CK$86,MATCH(B45,'vehicles specifications'!$A$3:$A$86,0),MATCH("Electric energy available [kWh]",'vehicles specifications'!$B$2:$CK$2,0))</f>
        <v>0</v>
      </c>
    </row>
    <row r="59" spans="1:2" x14ac:dyDescent="0.3">
      <c r="A59" t="s">
        <v>143</v>
      </c>
      <c r="B59">
        <f>INDEX('vehicles specifications'!$B$3:$CK$86,MATCH(B45,'vehicles specifications'!$A$3:$A$86,0),MATCH("Oxydation energy stored [kWh]",'vehicles specifications'!$B$2:$CK$2,0))</f>
        <v>0</v>
      </c>
    </row>
    <row r="60" spans="1:2" x14ac:dyDescent="0.3">
      <c r="A60" t="s">
        <v>145</v>
      </c>
      <c r="B60">
        <f>INDEX('vehicles specifications'!$B$3:$CK$86,MATCH(B45,'vehicles specifications'!$A$3:$A$86,0),MATCH("Fuel mass [kg]",'vehicles specifications'!$B$2:$CK$2,0))</f>
        <v>0</v>
      </c>
    </row>
    <row r="61" spans="1:2" x14ac:dyDescent="0.3">
      <c r="A61" t="s">
        <v>141</v>
      </c>
      <c r="B61">
        <f>INDEX('vehicles specifications'!$B$3:$CK$86,MATCH(B45,'vehicles specifications'!$A$3:$A$86,0),MATCH("Range [km]",'vehicles specifications'!$B$2:$CK$2,0))</f>
        <v>0</v>
      </c>
    </row>
    <row r="62" spans="1:2" x14ac:dyDescent="0.3">
      <c r="A62" t="s">
        <v>142</v>
      </c>
      <c r="B62" t="str">
        <f>INDEX('vehicles specifications'!$B$3:$CK$86,MATCH(B45,'vehicles specifications'!$A$3:$A$86,0),MATCH("Emission standard",'vehicles specifications'!$B$2:$CK$2,0))</f>
        <v>None</v>
      </c>
    </row>
    <row r="63" spans="1:2" x14ac:dyDescent="0.3">
      <c r="A63" t="s">
        <v>144</v>
      </c>
      <c r="B63" s="6">
        <f>INDEX('vehicles specifications'!$B$3:$CK$86,MATCH(B45,'vehicles specifications'!$A$3:$A$86,0),MATCH("Lightweighting rate [%]",'vehicles specifications'!$B$2:$CK$2,0))</f>
        <v>0.03</v>
      </c>
    </row>
    <row r="64" spans="1:2" s="21" customFormat="1" x14ac:dyDescent="0.3">
      <c r="A64" s="21" t="s">
        <v>513</v>
      </c>
      <c r="B64" s="6" t="s">
        <v>558</v>
      </c>
    </row>
    <row r="65" spans="1:8" s="21" customFormat="1" x14ac:dyDescent="0.3">
      <c r="A65" s="21" t="s">
        <v>515</v>
      </c>
      <c r="B65" s="2">
        <v>0</v>
      </c>
    </row>
    <row r="66" spans="1:8" s="21" customFormat="1" x14ac:dyDescent="0.3">
      <c r="A66" s="21" t="s">
        <v>516</v>
      </c>
      <c r="B66" s="2">
        <v>1000</v>
      </c>
    </row>
    <row r="67" spans="1:8" s="21" customFormat="1" x14ac:dyDescent="0.3">
      <c r="A67" s="21" t="s">
        <v>84</v>
      </c>
      <c r="B67" s="21" t="str">
        <f>"Power: "&amp;B56&amp;" kW. Lifetime: "&amp;B50&amp;" km. Annual kilometers: "&amp;ROUND(B54,0)&amp;" km. Number of passengers: "&amp;ROUND(B51,1)&amp;". Curb mass: "&amp;ROUND(B55,1)&amp;" kg. Lightweighting of glider: "&amp;ROUND(B63*100,0)&amp;"%. Emission standard: "&amp;B62&amp;". Service visits throughout lifetime: every year for "&amp;B50/B54&amp;" years. Range: "&amp;ROUND(B61,0)&amp;" km. Battery capacity: "&amp;ROUND(B58,1)&amp;" kWh. Battery mass: "&amp;ROUND(B57,1)&amp; " kg. Battery replacement throughout lifetime: "&amp;ROUND(B53,1)&amp;". Fuel tank capacity: "&amp;ROUND(B59,1)&amp;" kWh. Fuel mass: "&amp;ROUND(B60,1)&amp;" kg. Origin of manufacture: "&amp;B64&amp;". Shipping distance: "&amp;B65&amp;" km. Lorry distribution distance: "&amp;B66&amp;" km. Documentation: "&amp;Readmefirst!$B$2&amp;", "&amp;Readmefirst!$B$3&amp;". "&amp;B49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68" spans="1:8" ht="15.6" x14ac:dyDescent="0.3">
      <c r="A68" s="11" t="s">
        <v>80</v>
      </c>
    </row>
    <row r="69" spans="1:8" x14ac:dyDescent="0.3">
      <c r="A69" t="s">
        <v>81</v>
      </c>
      <c r="B69" t="s">
        <v>82</v>
      </c>
      <c r="C69" t="s">
        <v>73</v>
      </c>
      <c r="D69" t="s">
        <v>77</v>
      </c>
      <c r="E69" t="s">
        <v>83</v>
      </c>
      <c r="F69" t="s">
        <v>75</v>
      </c>
      <c r="G69" t="s">
        <v>84</v>
      </c>
      <c r="H69" t="s">
        <v>74</v>
      </c>
    </row>
    <row r="70" spans="1:8" x14ac:dyDescent="0.3">
      <c r="A70" s="12" t="str">
        <f>B40</f>
        <v>Tram, electric, 2030</v>
      </c>
      <c r="B70" s="12">
        <v>1</v>
      </c>
      <c r="C70" s="12" t="str">
        <f>B41</f>
        <v>CH</v>
      </c>
      <c r="D70" s="12" t="str">
        <f>B48</f>
        <v>unit</v>
      </c>
      <c r="E70" s="12"/>
      <c r="F70" s="12" t="s">
        <v>85</v>
      </c>
      <c r="G70" s="12" t="s">
        <v>86</v>
      </c>
      <c r="H70" s="12" t="str">
        <f>B42</f>
        <v>Tram, electric</v>
      </c>
    </row>
    <row r="71" spans="1:8" x14ac:dyDescent="0.3">
      <c r="A71" s="12" t="str">
        <f>INDEX('ei names mapping'!$B$4:$R$33,MATCH($B$3,'ei names mapping'!$A$4:$A$33,0),MATCH(G71,'ei names mapping'!$B$3:$R$3,0))</f>
        <v>tram production</v>
      </c>
      <c r="B71" s="14">
        <f>INDEX('vehicles specifications'!$B$3:$CK$86,MATCH(B45,'vehicles specifications'!$A$3:$A$86,0),MATCH(G71,'vehicles specifications'!$B$2:$CK$2,0))*INDEX('ei names mapping'!$B$137:$BK$220,MATCH(B45,'ei names mapping'!$A$137:$A$220,0),MATCH(G71,'ei names mapping'!$B$136:$BK$136,0))</f>
        <v>2.0579268292682928</v>
      </c>
      <c r="C71" s="12" t="str">
        <f>INDEX('ei names mapping'!$B$38:$R$67,MATCH($B$3,'ei names mapping'!$A$4:$A$33,0),MATCH(G71,'ei names mapping'!$B$3:$R$3,0))</f>
        <v>RER</v>
      </c>
      <c r="D71" s="12" t="str">
        <f>INDEX('ei names mapping'!$B$104:$R$133,MATCH(B42,'ei names mapping'!$A$104:$A$133,0),MATCH(G71,'ei names mapping'!$B$3:$R$3,0))</f>
        <v>unit</v>
      </c>
      <c r="E71" s="12"/>
      <c r="F71" s="12" t="s">
        <v>91</v>
      </c>
      <c r="G71" s="21" t="s">
        <v>15</v>
      </c>
      <c r="H71" s="12" t="str">
        <f>INDEX('ei names mapping'!$B$71:$R$100,MATCH($B$3,'ei names mapping'!$A$4:$A$33,0),MATCH(G71,'ei names mapping'!$B$3:$R$3,0))</f>
        <v>tram</v>
      </c>
    </row>
    <row r="72" spans="1:8" x14ac:dyDescent="0.3">
      <c r="A72" s="12" t="str">
        <f>INDEX('ei names mapping'!$B$4:$R$33,MATCH($B$3,'ei names mapping'!$A$4:$A$33,0),MATCH(G72,'ei names mapping'!$B$3:$R$3,0))</f>
        <v>tram production</v>
      </c>
      <c r="B72" s="14">
        <f>INDEX('vehicles specifications'!$B$3:$CK$86,MATCH(B45,'vehicles specifications'!$A$3:$A$86,0),MATCH(G72,'vehicles specifications'!$B$2:$CK$2,0))*INDEX('ei names mapping'!$B$137:$BK$220,MATCH(B45,'ei names mapping'!$A$137:$A$220,0),MATCH(G72,'ei names mapping'!$B$136:$BK$136,0))</f>
        <v>0.36042301829268292</v>
      </c>
      <c r="C72" s="12" t="str">
        <f>INDEX('ei names mapping'!$B$38:$R$67,MATCH($B$3,'ei names mapping'!$A$4:$A$33,0),MATCH(G72,'ei names mapping'!$B$3:$R$3,0))</f>
        <v>RER</v>
      </c>
      <c r="D72" s="12" t="str">
        <f>INDEX('ei names mapping'!$B$104:$R$133,MATCH(B42,'ei names mapping'!$A$104:$A$133,0),MATCH(G72,'ei names mapping'!$B$3:$R$3,0))</f>
        <v>unit</v>
      </c>
      <c r="E72" s="12"/>
      <c r="F72" s="12" t="s">
        <v>91</v>
      </c>
      <c r="G72" t="s">
        <v>16</v>
      </c>
      <c r="H72" s="12" t="str">
        <f>INDEX('ei names mapping'!$B$71:$R$100,MATCH($B$3,'ei names mapping'!$A$4:$A$33,0),MATCH(G72,'ei names mapping'!$B$3:$R$3,0))</f>
        <v>tram</v>
      </c>
    </row>
    <row r="73" spans="1:8" x14ac:dyDescent="0.3">
      <c r="A73" s="12" t="str">
        <f>INDEX('ei names mapping'!$B$4:$R$33,MATCH($B$3,'ei names mapping'!$A$4:$A$33,0),MATCH(G73,'ei names mapping'!$B$3:$R$3,0))</f>
        <v>tram production</v>
      </c>
      <c r="B73" s="14">
        <f>INDEX('vehicles specifications'!$B$3:$CK$86,MATCH(B45,'vehicles specifications'!$A$3:$A$86,0),MATCH(G73,'vehicles specifications'!$B$2:$CK$2,0))*INDEX('ei names mapping'!$B$137:$BK$220,MATCH(B45,'ei names mapping'!$A$137:$A$220,0),MATCH(G73,'ei names mapping'!$B$136:$BK$136,0))</f>
        <v>0.13862423780487806</v>
      </c>
      <c r="C73" s="12" t="str">
        <f>INDEX('ei names mapping'!$B$38:$R$67,MATCH($B$3,'ei names mapping'!$A$4:$A$33,0),MATCH(G73,'ei names mapping'!$B$3:$R$3,0))</f>
        <v>RER</v>
      </c>
      <c r="D73" s="12" t="str">
        <f>INDEX('ei names mapping'!$B$104:$R$133,MATCH(B42,'ei names mapping'!$A$104:$A$133,0),MATCH(G73,'ei names mapping'!$B$3:$R$3,0))</f>
        <v>unit</v>
      </c>
      <c r="E73" s="12"/>
      <c r="F73" s="12" t="s">
        <v>91</v>
      </c>
      <c r="G73" t="s">
        <v>557</v>
      </c>
      <c r="H73" s="12" t="str">
        <f>INDEX('ei names mapping'!$B$71:$R$100,MATCH($B$3,'ei names mapping'!$A$4:$A$33,0),MATCH(G73,'ei names mapping'!$B$3:$R$3,0))</f>
        <v>tram</v>
      </c>
    </row>
    <row r="74" spans="1:8" s="21" customFormat="1" x14ac:dyDescent="0.3">
      <c r="A74" s="12" t="str">
        <f>INDEX('ei names mapping'!$B$4:$R$33,MATCH(B42,'ei names mapping'!$A$4:$A$33,0),MATCH(G74,'ei names mapping'!$B$3:$R$3,0))</f>
        <v>glider lightweighting</v>
      </c>
      <c r="B74" s="16">
        <f>INDEX('vehicles specifications'!$B$3:$CK$86,MATCH(B45,'vehicles specifications'!$A$3:$A$86,0),MATCH(G74,'vehicles specifications'!$B$2:$CK$2,0))*INDEX('ei names mapping'!$B$137:$BK$220,MATCH(B45,'ei names mapping'!$A$137:$A$220,0),MATCH(G74,'ei names mapping'!$B$136:$BK$136,0))</f>
        <v>1296</v>
      </c>
      <c r="C74" s="12" t="str">
        <f>INDEX('ei names mapping'!$B$38:$R$67,MATCH(B42,'ei names mapping'!$A$4:$A$33,0),MATCH(G74,'ei names mapping'!$B$3:$R$3,0))</f>
        <v>GLO</v>
      </c>
      <c r="D74" s="12" t="str">
        <f>INDEX('ei names mapping'!$B$104:$R$133,MATCH(B42,'ei names mapping'!$A$104:$A$133,0),MATCH(G74,'ei names mapping'!$B$3:$R$3,0))</f>
        <v>kilogram</v>
      </c>
      <c r="E74" s="12"/>
      <c r="F74" s="12" t="s">
        <v>91</v>
      </c>
      <c r="G74" s="21" t="s">
        <v>14</v>
      </c>
      <c r="H74" s="12" t="str">
        <f>INDEX('ei names mapping'!$B$71:$R$100,MATCH(B42,'ei names mapping'!$A$4:$A$33,0),MATCH(G74,'ei names mapping'!$B$3:$R$3,0))</f>
        <v>glider lightweighting</v>
      </c>
    </row>
    <row r="75" spans="1:8" x14ac:dyDescent="0.3">
      <c r="A75" s="12" t="str">
        <f>INDEX('ei names mapping'!$B$4:$R$33,MATCH($B$3,'ei names mapping'!$A$4:$A$33,0),MATCH(G75,'ei names mapping'!$B$3:$R$3,0))</f>
        <v>tram track construction</v>
      </c>
      <c r="B75" s="18">
        <f>INDEX('vehicles specifications'!$B$3:$CK$86,MATCH(B45,'vehicles specifications'!$A$3:$A$86,0),MATCH(G75,'vehicles specifications'!$B$2:$CK$2,0))*INDEX('ei names mapping'!$B$137:$BK$220,MATCH(B45,'ei names mapping'!$A$137:$A$220,0),MATCH(G75,'ei names mapping'!$B$136:$BK$136,0))</f>
        <v>4.5599999999999998E-3</v>
      </c>
      <c r="C75" s="12" t="str">
        <f>INDEX('ei names mapping'!$B$38:$R$67,MATCH($B$3,'ei names mapping'!$A$4:$A$33,0),MATCH(G75,'ei names mapping'!$B$3:$R$3,0))</f>
        <v>CH</v>
      </c>
      <c r="D75" s="12" t="str">
        <f>INDEX('ei names mapping'!$B$104:$R$133,MATCH(B42,'ei names mapping'!$A$104:$A$133,0),MATCH(G75,'ei names mapping'!$B$3:$R$3,0))</f>
        <v>meter-year</v>
      </c>
      <c r="E75" s="12"/>
      <c r="F75" s="12" t="s">
        <v>91</v>
      </c>
      <c r="G75" t="s">
        <v>108</v>
      </c>
      <c r="H75" s="12" t="str">
        <f>INDEX('ei names mapping'!$B$71:$R$100,MATCH($B$3,'ei names mapping'!$A$4:$A$33,0),MATCH(G75,'ei names mapping'!$B$3:$R$3,0))</f>
        <v>tram track</v>
      </c>
    </row>
    <row r="76" spans="1:8" s="21" customFormat="1" x14ac:dyDescent="0.3">
      <c r="A76" s="12" t="s">
        <v>572</v>
      </c>
      <c r="B76" s="18">
        <f>-1*B75</f>
        <v>-4.5599999999999998E-3</v>
      </c>
      <c r="C76" s="12" t="s">
        <v>37</v>
      </c>
      <c r="D76" s="12" t="s">
        <v>110</v>
      </c>
      <c r="E76" s="12"/>
      <c r="F76" s="12" t="s">
        <v>91</v>
      </c>
      <c r="G76" s="21" t="s">
        <v>570</v>
      </c>
      <c r="H76" s="12" t="s">
        <v>571</v>
      </c>
    </row>
    <row r="77" spans="1:8" s="21" customFormat="1" x14ac:dyDescent="0.3">
      <c r="A77" s="22" t="s">
        <v>468</v>
      </c>
      <c r="B77" s="21">
        <f>(B55/1000)*B66</f>
        <v>52380</v>
      </c>
      <c r="C77" s="21" t="s">
        <v>94</v>
      </c>
      <c r="D77" s="21" t="s">
        <v>243</v>
      </c>
      <c r="F77" s="21" t="s">
        <v>91</v>
      </c>
      <c r="H77" s="22" t="s">
        <v>469</v>
      </c>
    </row>
    <row r="78" spans="1:8" x14ac:dyDescent="0.3">
      <c r="B78" s="12"/>
    </row>
    <row r="79" spans="1:8" ht="15.6" x14ac:dyDescent="0.3">
      <c r="A79" s="11" t="s">
        <v>72</v>
      </c>
      <c r="B79" s="9" t="str">
        <f>B81&amp;", "&amp;B83</f>
        <v>Tram, electric, 2040</v>
      </c>
    </row>
    <row r="80" spans="1:8" x14ac:dyDescent="0.3">
      <c r="A80" t="s">
        <v>73</v>
      </c>
      <c r="B80" t="s">
        <v>37</v>
      </c>
    </row>
    <row r="81" spans="1:2" x14ac:dyDescent="0.3">
      <c r="A81" t="s">
        <v>87</v>
      </c>
      <c r="B81" s="21" t="s">
        <v>519</v>
      </c>
    </row>
    <row r="82" spans="1:2" x14ac:dyDescent="0.3">
      <c r="A82" t="s">
        <v>88</v>
      </c>
      <c r="B82" s="12"/>
    </row>
    <row r="83" spans="1:2" x14ac:dyDescent="0.3">
      <c r="A83" t="s">
        <v>89</v>
      </c>
      <c r="B83" s="12">
        <v>2040</v>
      </c>
    </row>
    <row r="84" spans="1:2" x14ac:dyDescent="0.3">
      <c r="A84" t="s">
        <v>131</v>
      </c>
      <c r="B84" s="12" t="str">
        <f>B81&amp;" - "&amp;B83&amp;" - "&amp;B80</f>
        <v>Tram, electric - 2040 - CH</v>
      </c>
    </row>
    <row r="85" spans="1:2" x14ac:dyDescent="0.3">
      <c r="A85" t="s">
        <v>74</v>
      </c>
      <c r="B85" t="str">
        <f>B81</f>
        <v>Tram, electric</v>
      </c>
    </row>
    <row r="86" spans="1:2" x14ac:dyDescent="0.3">
      <c r="A86" t="s">
        <v>75</v>
      </c>
      <c r="B86" t="s">
        <v>76</v>
      </c>
    </row>
    <row r="87" spans="1:2" x14ac:dyDescent="0.3">
      <c r="A87" t="s">
        <v>77</v>
      </c>
      <c r="B87" t="s">
        <v>77</v>
      </c>
    </row>
    <row r="88" spans="1:2" x14ac:dyDescent="0.3">
      <c r="A88" t="s">
        <v>79</v>
      </c>
      <c r="B88" t="s">
        <v>90</v>
      </c>
    </row>
    <row r="89" spans="1:2" x14ac:dyDescent="0.3">
      <c r="A89" t="s">
        <v>132</v>
      </c>
      <c r="B89">
        <f>INDEX('vehicles specifications'!$B$3:$CK$86,MATCH(B84,'vehicles specifications'!$A$3:$A$86,0),MATCH("Lifetime [km]",'vehicles specifications'!$B$2:$CK$2,0))</f>
        <v>2800000</v>
      </c>
    </row>
    <row r="90" spans="1:2" x14ac:dyDescent="0.3">
      <c r="A90" t="s">
        <v>133</v>
      </c>
      <c r="B90">
        <f>INDEX('vehicles specifications'!$B$3:$CK$86,MATCH(B84,'vehicles specifications'!$A$3:$A$86,0),MATCH("Passengers [unit]",'vehicles specifications'!$B$2:$CK$2,0))</f>
        <v>38</v>
      </c>
    </row>
    <row r="91" spans="1:2" x14ac:dyDescent="0.3">
      <c r="A91" t="s">
        <v>134</v>
      </c>
      <c r="B91">
        <f>INDEX('vehicles specifications'!$B$3:$CK$86,MATCH(B84,'vehicles specifications'!$A$3:$A$86,0),MATCH("Servicing [unit]",'vehicles specifications'!$B$2:$CK$2,0))</f>
        <v>1.3333333333333333</v>
      </c>
    </row>
    <row r="92" spans="1:2" x14ac:dyDescent="0.3">
      <c r="A92" t="s">
        <v>135</v>
      </c>
      <c r="B92">
        <f>INDEX('vehicles specifications'!$B$3:$CK$86,MATCH(B84,'vehicles specifications'!$A$3:$A$86,0),MATCH("Energy battery replacement [unit]",'vehicles specifications'!$B$2:$CK$2,0))</f>
        <v>0</v>
      </c>
    </row>
    <row r="93" spans="1:2" x14ac:dyDescent="0.3">
      <c r="A93" t="s">
        <v>136</v>
      </c>
      <c r="B93">
        <f>INDEX('vehicles specifications'!$B$3:$CK$86,MATCH(B84,'vehicles specifications'!$A$3:$A$86,0),MATCH("Annual kilometers [km]",'vehicles specifications'!$B$2:$CK$2,0))</f>
        <v>70000</v>
      </c>
    </row>
    <row r="94" spans="1:2" x14ac:dyDescent="0.3">
      <c r="A94" t="s">
        <v>137</v>
      </c>
      <c r="B94">
        <f>INDEX('vehicles specifications'!$B$3:$CK$86,MATCH(B84,'vehicles specifications'!$A$3:$A$86,0),MATCH("Curb mass [kg]",'vehicles specifications'!$B$2:$CK$2,0))</f>
        <v>51202</v>
      </c>
    </row>
    <row r="95" spans="1:2" x14ac:dyDescent="0.3">
      <c r="A95" t="s">
        <v>138</v>
      </c>
      <c r="B95">
        <f>INDEX('vehicles specifications'!$B$3:$CK$86,MATCH(B84,'vehicles specifications'!$A$3:$A$86,0),MATCH("Power [kW]",'vehicles specifications'!$B$2:$CK$2,0))</f>
        <v>660</v>
      </c>
    </row>
    <row r="96" spans="1:2" x14ac:dyDescent="0.3">
      <c r="A96" t="s">
        <v>139</v>
      </c>
      <c r="B96">
        <f>INDEX('vehicles specifications'!$B$3:$CK$86,MATCH(B84,'vehicles specifications'!$A$3:$A$86,0),MATCH("Energy battery mass [kg]",'vehicles specifications'!$B$2:$CK$2,0))</f>
        <v>0</v>
      </c>
    </row>
    <row r="97" spans="1:8" x14ac:dyDescent="0.3">
      <c r="A97" t="s">
        <v>140</v>
      </c>
      <c r="B97">
        <f>INDEX('vehicles specifications'!$B$3:$CK$86,MATCH(B84,'vehicles specifications'!$A$3:$A$86,0),MATCH("Electric energy available [kWh]",'vehicles specifications'!$B$2:$CK$2,0))</f>
        <v>0</v>
      </c>
    </row>
    <row r="98" spans="1:8" x14ac:dyDescent="0.3">
      <c r="A98" t="s">
        <v>143</v>
      </c>
      <c r="B98">
        <f>INDEX('vehicles specifications'!$B$3:$CK$86,MATCH(B84,'vehicles specifications'!$A$3:$A$86,0),MATCH("Oxydation energy stored [kWh]",'vehicles specifications'!$B$2:$CK$2,0))</f>
        <v>0</v>
      </c>
    </row>
    <row r="99" spans="1:8" x14ac:dyDescent="0.3">
      <c r="A99" t="s">
        <v>145</v>
      </c>
      <c r="B99">
        <f>INDEX('vehicles specifications'!$B$3:$CK$86,MATCH(B84,'vehicles specifications'!$A$3:$A$86,0),MATCH("Fuel mass [kg]",'vehicles specifications'!$B$2:$CK$2,0))</f>
        <v>0</v>
      </c>
    </row>
    <row r="100" spans="1:8" x14ac:dyDescent="0.3">
      <c r="A100" t="s">
        <v>141</v>
      </c>
      <c r="B100">
        <f>INDEX('vehicles specifications'!$B$3:$CK$86,MATCH(B84,'vehicles specifications'!$A$3:$A$86,0),MATCH("Range [km]",'vehicles specifications'!$B$2:$CK$2,0))</f>
        <v>0</v>
      </c>
    </row>
    <row r="101" spans="1:8" x14ac:dyDescent="0.3">
      <c r="A101" t="s">
        <v>142</v>
      </c>
      <c r="B101" t="str">
        <f>INDEX('vehicles specifications'!$B$3:$CK$86,MATCH(B84,'vehicles specifications'!$A$3:$A$86,0),MATCH("Emission standard",'vehicles specifications'!$B$2:$CK$2,0))</f>
        <v>None</v>
      </c>
    </row>
    <row r="102" spans="1:8" x14ac:dyDescent="0.3">
      <c r="A102" t="s">
        <v>144</v>
      </c>
      <c r="B102" s="6">
        <f>INDEX('vehicles specifications'!$B$3:$CK$86,MATCH(B84,'vehicles specifications'!$A$3:$A$86,0),MATCH("Lightweighting rate [%]",'vehicles specifications'!$B$2:$CK$2,0))</f>
        <v>0.05</v>
      </c>
    </row>
    <row r="103" spans="1:8" s="21" customFormat="1" x14ac:dyDescent="0.3">
      <c r="A103" s="21" t="s">
        <v>513</v>
      </c>
      <c r="B103" s="6" t="s">
        <v>558</v>
      </c>
    </row>
    <row r="104" spans="1:8" s="21" customFormat="1" x14ac:dyDescent="0.3">
      <c r="A104" s="21" t="s">
        <v>515</v>
      </c>
      <c r="B104" s="2">
        <v>0</v>
      </c>
    </row>
    <row r="105" spans="1:8" s="21" customFormat="1" x14ac:dyDescent="0.3">
      <c r="A105" s="21" t="s">
        <v>516</v>
      </c>
      <c r="B105" s="2">
        <v>1000</v>
      </c>
    </row>
    <row r="106" spans="1:8" s="21" customFormat="1" x14ac:dyDescent="0.3">
      <c r="A106" s="21" t="s">
        <v>84</v>
      </c>
      <c r="B106" s="21" t="str">
        <f>"Power: "&amp;B95&amp;" kW. Lifetime: "&amp;B89&amp;" km. Annual kilometers: "&amp;ROUND(B93,0)&amp;" km. Number of passengers: "&amp;ROUND(B90,1)&amp;". Curb mass: "&amp;ROUND(B94,1)&amp;" kg. Lightweighting of glider: "&amp;ROUND(B102*100,0)&amp;"%. Emission standard: "&amp;B101&amp;". Service visits throughout lifetime: every year for "&amp;B89/B93&amp;" years. Range: "&amp;ROUND(B100,0)&amp;" km. Battery capacity: "&amp;ROUND(B97,1)&amp;" kWh. Battery mass: "&amp;ROUND(B96,1)&amp; " kg. Battery replacement throughout lifetime: "&amp;ROUND(B92,1)&amp;". Fuel tank capacity: "&amp;ROUND(B98,1)&amp;" kWh. Fuel mass: "&amp;ROUND(B99,1)&amp;" kg. Origin of manufacture: "&amp;B103&amp;". Shipping distance: "&amp;B104&amp;" km. Lorry distribution distance: "&amp;B105&amp;" km. Documentation: "&amp;Readmefirst!$B$2&amp;", "&amp;Readmefirst!$B$3&amp;". "&amp;B88</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07" spans="1:8" ht="15.6" x14ac:dyDescent="0.3">
      <c r="A107" s="11" t="s">
        <v>80</v>
      </c>
    </row>
    <row r="108" spans="1:8" x14ac:dyDescent="0.3">
      <c r="A108" t="s">
        <v>81</v>
      </c>
      <c r="B108" t="s">
        <v>82</v>
      </c>
      <c r="C108" t="s">
        <v>73</v>
      </c>
      <c r="D108" t="s">
        <v>77</v>
      </c>
      <c r="E108" t="s">
        <v>83</v>
      </c>
      <c r="F108" t="s">
        <v>75</v>
      </c>
      <c r="G108" t="s">
        <v>84</v>
      </c>
      <c r="H108" t="s">
        <v>74</v>
      </c>
    </row>
    <row r="109" spans="1:8" x14ac:dyDescent="0.3">
      <c r="A109" s="12" t="str">
        <f>B79</f>
        <v>Tram, electric, 2040</v>
      </c>
      <c r="B109" s="12">
        <v>1</v>
      </c>
      <c r="C109" s="12" t="str">
        <f>B80</f>
        <v>CH</v>
      </c>
      <c r="D109" s="12" t="str">
        <f>B87</f>
        <v>unit</v>
      </c>
      <c r="E109" s="12"/>
      <c r="F109" s="12" t="s">
        <v>85</v>
      </c>
      <c r="G109" s="12" t="s">
        <v>86</v>
      </c>
      <c r="H109" s="12" t="str">
        <f>B81</f>
        <v>Tram, electric</v>
      </c>
    </row>
    <row r="110" spans="1:8" x14ac:dyDescent="0.3">
      <c r="A110" s="12" t="str">
        <f>INDEX('ei names mapping'!$B$4:$R$33,MATCH($B$3,'ei names mapping'!$A$4:$A$33,0),MATCH(G110,'ei names mapping'!$B$3:$R$3,0))</f>
        <v>tram production</v>
      </c>
      <c r="B110" s="14">
        <f>INDEX('vehicles specifications'!$B$3:$CK$86,MATCH(B84,'vehicles specifications'!$A$3:$A$86,0),MATCH(G110,'vehicles specifications'!$B$2:$CK$2,0))*INDEX('ei names mapping'!$B$137:$BK$220,MATCH(B84,'ei names mapping'!$A$137:$A$220,0),MATCH(G110,'ei names mapping'!$B$136:$BK$136,0))</f>
        <v>2.0579268292682928</v>
      </c>
      <c r="C110" s="12" t="str">
        <f>INDEX('ei names mapping'!$B$38:$R$67,MATCH($B$3,'ei names mapping'!$A$4:$A$33,0),MATCH(G110,'ei names mapping'!$B$3:$R$3,0))</f>
        <v>RER</v>
      </c>
      <c r="D110" s="12" t="str">
        <f>INDEX('ei names mapping'!$B$104:$R$133,MATCH(B81,'ei names mapping'!$A$104:$A$133,0),MATCH(G110,'ei names mapping'!$B$3:$R$3,0))</f>
        <v>unit</v>
      </c>
      <c r="E110" s="12"/>
      <c r="F110" s="12" t="s">
        <v>91</v>
      </c>
      <c r="G110" s="21" t="s">
        <v>15</v>
      </c>
      <c r="H110" s="12" t="str">
        <f>INDEX('ei names mapping'!$B$71:$R$100,MATCH($B$3,'ei names mapping'!$A$4:$A$33,0),MATCH(G110,'ei names mapping'!$B$3:$R$3,0))</f>
        <v>tram</v>
      </c>
    </row>
    <row r="111" spans="1:8" x14ac:dyDescent="0.3">
      <c r="A111" s="12" t="str">
        <f>INDEX('ei names mapping'!$B$4:$R$33,MATCH($B$3,'ei names mapping'!$A$4:$A$33,0),MATCH(G111,'ei names mapping'!$B$3:$R$3,0))</f>
        <v>tram production</v>
      </c>
      <c r="B111" s="14">
        <f>INDEX('vehicles specifications'!$B$3:$CK$86,MATCH(B84,'vehicles specifications'!$A$3:$A$86,0),MATCH(G111,'vehicles specifications'!$B$2:$CK$2,0))*INDEX('ei names mapping'!$B$137:$BK$220,MATCH(B84,'ei names mapping'!$A$137:$A$220,0),MATCH(G111,'ei names mapping'!$B$136:$BK$136,0))</f>
        <v>0.34965701219512196</v>
      </c>
      <c r="C111" s="12" t="str">
        <f>INDEX('ei names mapping'!$B$38:$R$67,MATCH($B$3,'ei names mapping'!$A$4:$A$33,0),MATCH(G111,'ei names mapping'!$B$3:$R$3,0))</f>
        <v>RER</v>
      </c>
      <c r="D111" s="12" t="str">
        <f>INDEX('ei names mapping'!$B$104:$R$133,MATCH(B81,'ei names mapping'!$A$104:$A$133,0),MATCH(G111,'ei names mapping'!$B$3:$R$3,0))</f>
        <v>unit</v>
      </c>
      <c r="E111" s="12"/>
      <c r="F111" s="12" t="s">
        <v>91</v>
      </c>
      <c r="G111" t="s">
        <v>16</v>
      </c>
      <c r="H111" s="12" t="str">
        <f>INDEX('ei names mapping'!$B$71:$R$100,MATCH($B$3,'ei names mapping'!$A$4:$A$33,0),MATCH(G111,'ei names mapping'!$B$3:$R$3,0))</f>
        <v>tram</v>
      </c>
    </row>
    <row r="112" spans="1:8" x14ac:dyDescent="0.3">
      <c r="A112" s="12" t="str">
        <f>INDEX('ei names mapping'!$B$4:$R$33,MATCH($B$3,'ei names mapping'!$A$4:$A$33,0),MATCH(G112,'ei names mapping'!$B$3:$R$3,0))</f>
        <v>tram production</v>
      </c>
      <c r="B112" s="14">
        <f>INDEX('vehicles specifications'!$B$3:$CK$86,MATCH(B84,'vehicles specifications'!$A$3:$A$86,0),MATCH(G112,'vehicles specifications'!$B$2:$CK$2,0))*INDEX('ei names mapping'!$B$137:$BK$220,MATCH(B84,'ei names mapping'!$A$137:$A$220,0),MATCH(G112,'ei names mapping'!$B$136:$BK$136,0))</f>
        <v>0.13443216463414634</v>
      </c>
      <c r="C112" s="12" t="str">
        <f>INDEX('ei names mapping'!$B$38:$R$67,MATCH($B$3,'ei names mapping'!$A$4:$A$33,0),MATCH(G112,'ei names mapping'!$B$3:$R$3,0))</f>
        <v>RER</v>
      </c>
      <c r="D112" s="12" t="str">
        <f>INDEX('ei names mapping'!$B$104:$R$133,MATCH(B81,'ei names mapping'!$A$104:$A$133,0),MATCH(G112,'ei names mapping'!$B$3:$R$3,0))</f>
        <v>unit</v>
      </c>
      <c r="E112" s="12"/>
      <c r="F112" s="12" t="s">
        <v>91</v>
      </c>
      <c r="G112" t="s">
        <v>557</v>
      </c>
      <c r="H112" s="12" t="str">
        <f>INDEX('ei names mapping'!$B$71:$R$100,MATCH($B$3,'ei names mapping'!$A$4:$A$33,0),MATCH(G112,'ei names mapping'!$B$3:$R$3,0))</f>
        <v>tram</v>
      </c>
    </row>
    <row r="113" spans="1:8" s="21" customFormat="1" x14ac:dyDescent="0.3">
      <c r="A113" s="12" t="str">
        <f>INDEX('ei names mapping'!$B$4:$R$33,MATCH(B81,'ei names mapping'!$A$4:$A$33,0),MATCH(G113,'ei names mapping'!$B$3:$R$3,0))</f>
        <v>glider lightweighting</v>
      </c>
      <c r="B113" s="16">
        <f>INDEX('vehicles specifications'!$B$3:$CK$86,MATCH(B84,'vehicles specifications'!$A$3:$A$86,0),MATCH(G113,'vehicles specifications'!$B$2:$CK$2,0))*INDEX('ei names mapping'!$B$137:$BK$220,MATCH(B84,'ei names mapping'!$A$137:$A$220,0),MATCH(G113,'ei names mapping'!$B$136:$BK$136,0))</f>
        <v>2160</v>
      </c>
      <c r="C113" s="12" t="str">
        <f>INDEX('ei names mapping'!$B$38:$R$67,MATCH(B81,'ei names mapping'!$A$4:$A$33,0),MATCH(G113,'ei names mapping'!$B$3:$R$3,0))</f>
        <v>GLO</v>
      </c>
      <c r="D113" s="12" t="str">
        <f>INDEX('ei names mapping'!$B$104:$R$133,MATCH(B81,'ei names mapping'!$A$104:$A$133,0),MATCH(G113,'ei names mapping'!$B$3:$R$3,0))</f>
        <v>kilogram</v>
      </c>
      <c r="E113" s="12"/>
      <c r="F113" s="12" t="s">
        <v>91</v>
      </c>
      <c r="G113" s="21" t="s">
        <v>14</v>
      </c>
      <c r="H113" s="12" t="str">
        <f>INDEX('ei names mapping'!$B$71:$R$100,MATCH(B81,'ei names mapping'!$A$4:$A$33,0),MATCH(G113,'ei names mapping'!$B$3:$R$3,0))</f>
        <v>glider lightweighting</v>
      </c>
    </row>
    <row r="114" spans="1:8" x14ac:dyDescent="0.3">
      <c r="A114" s="12" t="str">
        <f>INDEX('ei names mapping'!$B$4:$R$33,MATCH($B$3,'ei names mapping'!$A$4:$A$33,0),MATCH(G114,'ei names mapping'!$B$3:$R$3,0))</f>
        <v>tram track construction</v>
      </c>
      <c r="B114" s="18">
        <f>INDEX('vehicles specifications'!$B$3:$CK$86,MATCH(B84,'vehicles specifications'!$A$3:$A$86,0),MATCH(G114,'vehicles specifications'!$B$2:$CK$2,0))*INDEX('ei names mapping'!$B$137:$BK$220,MATCH(B84,'ei names mapping'!$A$137:$A$220,0),MATCH(G114,'ei names mapping'!$B$136:$BK$136,0))</f>
        <v>4.5599999999999998E-3</v>
      </c>
      <c r="C114" s="12" t="str">
        <f>INDEX('ei names mapping'!$B$38:$R$67,MATCH($B$3,'ei names mapping'!$A$4:$A$33,0),MATCH(G114,'ei names mapping'!$B$3:$R$3,0))</f>
        <v>CH</v>
      </c>
      <c r="D114" s="12" t="str">
        <f>INDEX('ei names mapping'!$B$104:$R$133,MATCH(B81,'ei names mapping'!$A$104:$A$133,0),MATCH(G114,'ei names mapping'!$B$3:$R$3,0))</f>
        <v>meter-year</v>
      </c>
      <c r="E114" s="12"/>
      <c r="F114" s="12" t="s">
        <v>91</v>
      </c>
      <c r="G114" t="s">
        <v>108</v>
      </c>
      <c r="H114" s="12" t="str">
        <f>INDEX('ei names mapping'!$B$71:$R$100,MATCH($B$3,'ei names mapping'!$A$4:$A$33,0),MATCH(G114,'ei names mapping'!$B$3:$R$3,0))</f>
        <v>tram track</v>
      </c>
    </row>
    <row r="115" spans="1:8" s="21" customFormat="1" x14ac:dyDescent="0.3">
      <c r="A115" s="12" t="s">
        <v>572</v>
      </c>
      <c r="B115" s="18">
        <f>-1*B114</f>
        <v>-4.5599999999999998E-3</v>
      </c>
      <c r="C115" s="12" t="s">
        <v>37</v>
      </c>
      <c r="D115" s="12" t="s">
        <v>110</v>
      </c>
      <c r="E115" s="12"/>
      <c r="F115" s="12" t="s">
        <v>91</v>
      </c>
      <c r="G115" s="21" t="s">
        <v>570</v>
      </c>
      <c r="H115" s="12" t="s">
        <v>571</v>
      </c>
    </row>
    <row r="116" spans="1:8" s="21" customFormat="1" x14ac:dyDescent="0.3">
      <c r="A116" s="22" t="s">
        <v>468</v>
      </c>
      <c r="B116" s="21">
        <f>(B94/1000)*B105</f>
        <v>51202</v>
      </c>
      <c r="C116" s="21" t="s">
        <v>94</v>
      </c>
      <c r="D116" s="21" t="s">
        <v>243</v>
      </c>
      <c r="F116" s="21" t="s">
        <v>91</v>
      </c>
      <c r="H116" s="22" t="s">
        <v>469</v>
      </c>
    </row>
    <row r="118" spans="1:8" ht="15.6" x14ac:dyDescent="0.3">
      <c r="A118" s="11" t="s">
        <v>72</v>
      </c>
      <c r="B118" s="9" t="str">
        <f>B120&amp;", "&amp;B122</f>
        <v>Tram, electric, 2050</v>
      </c>
    </row>
    <row r="119" spans="1:8" x14ac:dyDescent="0.3">
      <c r="A119" t="s">
        <v>73</v>
      </c>
      <c r="B119" t="s">
        <v>37</v>
      </c>
    </row>
    <row r="120" spans="1:8" x14ac:dyDescent="0.3">
      <c r="A120" t="s">
        <v>87</v>
      </c>
      <c r="B120" s="21" t="s">
        <v>519</v>
      </c>
    </row>
    <row r="121" spans="1:8" x14ac:dyDescent="0.3">
      <c r="A121" t="s">
        <v>88</v>
      </c>
      <c r="B121" s="12"/>
    </row>
    <row r="122" spans="1:8" x14ac:dyDescent="0.3">
      <c r="A122" t="s">
        <v>89</v>
      </c>
      <c r="B122" s="12">
        <v>2050</v>
      </c>
    </row>
    <row r="123" spans="1:8" x14ac:dyDescent="0.3">
      <c r="A123" t="s">
        <v>131</v>
      </c>
      <c r="B123" s="12" t="str">
        <f>B120&amp;" - "&amp;B122&amp;" - "&amp;B119</f>
        <v>Tram, electric - 2050 - CH</v>
      </c>
    </row>
    <row r="124" spans="1:8" x14ac:dyDescent="0.3">
      <c r="A124" t="s">
        <v>74</v>
      </c>
      <c r="B124" t="str">
        <f>B120</f>
        <v>Tram, electric</v>
      </c>
    </row>
    <row r="125" spans="1:8" x14ac:dyDescent="0.3">
      <c r="A125" t="s">
        <v>75</v>
      </c>
      <c r="B125" t="s">
        <v>76</v>
      </c>
    </row>
    <row r="126" spans="1:8" x14ac:dyDescent="0.3">
      <c r="A126" t="s">
        <v>77</v>
      </c>
      <c r="B126" t="s">
        <v>77</v>
      </c>
    </row>
    <row r="127" spans="1:8" x14ac:dyDescent="0.3">
      <c r="A127" t="s">
        <v>79</v>
      </c>
      <c r="B127" t="s">
        <v>90</v>
      </c>
    </row>
    <row r="128" spans="1:8" x14ac:dyDescent="0.3">
      <c r="A128" t="s">
        <v>132</v>
      </c>
      <c r="B128">
        <f>INDEX('vehicles specifications'!$B$3:$CK$86,MATCH(B123,'vehicles specifications'!$A$3:$A$86,0),MATCH("Lifetime [km]",'vehicles specifications'!$B$2:$CK$2,0))</f>
        <v>2800000</v>
      </c>
    </row>
    <row r="129" spans="1:2" x14ac:dyDescent="0.3">
      <c r="A129" t="s">
        <v>133</v>
      </c>
      <c r="B129">
        <f>INDEX('vehicles specifications'!$B$3:$CK$86,MATCH(B123,'vehicles specifications'!$A$3:$A$86,0),MATCH("Passengers [unit]",'vehicles specifications'!$B$2:$CK$2,0))</f>
        <v>38</v>
      </c>
    </row>
    <row r="130" spans="1:2" x14ac:dyDescent="0.3">
      <c r="A130" t="s">
        <v>134</v>
      </c>
      <c r="B130">
        <f>INDEX('vehicles specifications'!$B$3:$CK$86,MATCH(B123,'vehicles specifications'!$A$3:$A$86,0),MATCH("Servicing [unit]",'vehicles specifications'!$B$2:$CK$2,0))</f>
        <v>1.3333333333333333</v>
      </c>
    </row>
    <row r="131" spans="1:2" x14ac:dyDescent="0.3">
      <c r="A131" t="s">
        <v>135</v>
      </c>
      <c r="B131">
        <f>INDEX('vehicles specifications'!$B$3:$CK$86,MATCH(B123,'vehicles specifications'!$A$3:$A$86,0),MATCH("Energy battery replacement [unit]",'vehicles specifications'!$B$2:$CK$2,0))</f>
        <v>0</v>
      </c>
    </row>
    <row r="132" spans="1:2" x14ac:dyDescent="0.3">
      <c r="A132" t="s">
        <v>136</v>
      </c>
      <c r="B132">
        <f>INDEX('vehicles specifications'!$B$3:$CK$86,MATCH(B123,'vehicles specifications'!$A$3:$A$86,0),MATCH("Annual kilometers [km]",'vehicles specifications'!$B$2:$CK$2,0))</f>
        <v>70000</v>
      </c>
    </row>
    <row r="133" spans="1:2" x14ac:dyDescent="0.3">
      <c r="A133" t="s">
        <v>137</v>
      </c>
      <c r="B133">
        <f>INDEX('vehicles specifications'!$B$3:$CK$86,MATCH(B123,'vehicles specifications'!$A$3:$A$86,0),MATCH("Curb mass [kg]",'vehicles specifications'!$B$2:$CK$2,0))</f>
        <v>50033</v>
      </c>
    </row>
    <row r="134" spans="1:2" x14ac:dyDescent="0.3">
      <c r="A134" t="s">
        <v>138</v>
      </c>
      <c r="B134">
        <f>INDEX('vehicles specifications'!$B$3:$CK$86,MATCH(B123,'vehicles specifications'!$A$3:$A$86,0),MATCH("Power [kW]",'vehicles specifications'!$B$2:$CK$2,0))</f>
        <v>660</v>
      </c>
    </row>
    <row r="135" spans="1:2" x14ac:dyDescent="0.3">
      <c r="A135" t="s">
        <v>139</v>
      </c>
      <c r="B135">
        <f>INDEX('vehicles specifications'!$B$3:$CK$86,MATCH(B123,'vehicles specifications'!$A$3:$A$86,0),MATCH("Energy battery mass [kg]",'vehicles specifications'!$B$2:$CK$2,0))</f>
        <v>0</v>
      </c>
    </row>
    <row r="136" spans="1:2" x14ac:dyDescent="0.3">
      <c r="A136" t="s">
        <v>140</v>
      </c>
      <c r="B136">
        <f>INDEX('vehicles specifications'!$B$3:$CK$86,MATCH(B123,'vehicles specifications'!$A$3:$A$86,0),MATCH("Electric energy available [kWh]",'vehicles specifications'!$B$2:$CK$2,0))</f>
        <v>0</v>
      </c>
    </row>
    <row r="137" spans="1:2" x14ac:dyDescent="0.3">
      <c r="A137" t="s">
        <v>143</v>
      </c>
      <c r="B137">
        <f>INDEX('vehicles specifications'!$B$3:$CK$86,MATCH(B123,'vehicles specifications'!$A$3:$A$86,0),MATCH("Oxydation energy stored [kWh]",'vehicles specifications'!$B$2:$CK$2,0))</f>
        <v>0</v>
      </c>
    </row>
    <row r="138" spans="1:2" x14ac:dyDescent="0.3">
      <c r="A138" t="s">
        <v>145</v>
      </c>
      <c r="B138">
        <f>INDEX('vehicles specifications'!$B$3:$CK$86,MATCH(B123,'vehicles specifications'!$A$3:$A$86,0),MATCH("Fuel mass [kg]",'vehicles specifications'!$B$2:$CK$2,0))</f>
        <v>0</v>
      </c>
    </row>
    <row r="139" spans="1:2" x14ac:dyDescent="0.3">
      <c r="A139" t="s">
        <v>141</v>
      </c>
      <c r="B139">
        <f>INDEX('vehicles specifications'!$B$3:$CK$86,MATCH(B123,'vehicles specifications'!$A$3:$A$86,0),MATCH("Range [km]",'vehicles specifications'!$B$2:$CK$2,0))</f>
        <v>0</v>
      </c>
    </row>
    <row r="140" spans="1:2" x14ac:dyDescent="0.3">
      <c r="A140" t="s">
        <v>142</v>
      </c>
      <c r="B140" t="str">
        <f>INDEX('vehicles specifications'!$B$3:$CK$86,MATCH(B123,'vehicles specifications'!$A$3:$A$86,0),MATCH("Emission standard",'vehicles specifications'!$B$2:$CK$2,0))</f>
        <v>None</v>
      </c>
    </row>
    <row r="141" spans="1:2" x14ac:dyDescent="0.3">
      <c r="A141" t="s">
        <v>144</v>
      </c>
      <c r="B141" s="6">
        <f>INDEX('vehicles specifications'!$B$3:$CK$86,MATCH(B123,'vehicles specifications'!$A$3:$A$86,0),MATCH("Lightweighting rate [%]",'vehicles specifications'!$B$2:$CK$2,0))</f>
        <v>7.0000000000000007E-2</v>
      </c>
    </row>
    <row r="142" spans="1:2" s="21" customFormat="1" x14ac:dyDescent="0.3">
      <c r="A142" s="21" t="s">
        <v>513</v>
      </c>
      <c r="B142" s="6" t="s">
        <v>558</v>
      </c>
    </row>
    <row r="143" spans="1:2" s="21" customFormat="1" x14ac:dyDescent="0.3">
      <c r="A143" s="21" t="s">
        <v>515</v>
      </c>
      <c r="B143" s="2">
        <v>0</v>
      </c>
    </row>
    <row r="144" spans="1:2" s="21" customFormat="1" x14ac:dyDescent="0.3">
      <c r="A144" s="21" t="s">
        <v>516</v>
      </c>
      <c r="B144" s="2">
        <v>1000</v>
      </c>
    </row>
    <row r="145" spans="1:8" s="21" customFormat="1" x14ac:dyDescent="0.3">
      <c r="A145" s="21" t="s">
        <v>84</v>
      </c>
      <c r="B145" s="21" t="str">
        <f>"Power: "&amp;B134&amp;" kW. Lifetime: "&amp;B128&amp;" km. Annual kilometers: "&amp;ROUND(B132,0)&amp;" km. Number of passengers: "&amp;ROUND(B129,1)&amp;". Curb mass: "&amp;ROUND(B133,1)&amp;" kg. Lightweighting of glider: "&amp;ROUND(B141*100,0)&amp;"%. Emission standard: "&amp;B140&amp;". Service visits throughout lifetime: every year for "&amp;B128/B132&amp;" years. Range: "&amp;ROUND(B139,0)&amp;" km. Battery capacity: "&amp;ROUND(B136,1)&amp;" kWh. Battery mass: "&amp;ROUND(B135,1)&amp; " kg. Battery replacement throughout lifetime: "&amp;ROUND(B131,1)&amp;". Fuel tank capacity: "&amp;ROUND(B137,1)&amp;" kWh. Fuel mass: "&amp;ROUND(B138,1)&amp;" kg. Origin of manufacture: "&amp;B142&amp;". Shipping distance: "&amp;B143&amp;" km. Lorry distribution distance: "&amp;B144&amp;" km. Documentation: "&amp;Readmefirst!$B$2&amp;", "&amp;Readmefirst!$B$3&amp;". "&amp;B127</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46" spans="1:8" ht="15.6" x14ac:dyDescent="0.3">
      <c r="A146" s="11" t="s">
        <v>80</v>
      </c>
    </row>
    <row r="147" spans="1:8" x14ac:dyDescent="0.3">
      <c r="A147" t="s">
        <v>81</v>
      </c>
      <c r="B147" t="s">
        <v>82</v>
      </c>
      <c r="C147" t="s">
        <v>73</v>
      </c>
      <c r="D147" t="s">
        <v>77</v>
      </c>
      <c r="E147" t="s">
        <v>83</v>
      </c>
      <c r="F147" t="s">
        <v>75</v>
      </c>
      <c r="G147" t="s">
        <v>84</v>
      </c>
      <c r="H147" t="s">
        <v>74</v>
      </c>
    </row>
    <row r="148" spans="1:8" x14ac:dyDescent="0.3">
      <c r="A148" s="12" t="str">
        <f>B118</f>
        <v>Tram, electric, 2050</v>
      </c>
      <c r="B148" s="12">
        <v>1</v>
      </c>
      <c r="C148" s="12" t="str">
        <f>B119</f>
        <v>CH</v>
      </c>
      <c r="D148" s="12" t="str">
        <f>B126</f>
        <v>unit</v>
      </c>
      <c r="E148" s="12"/>
      <c r="F148" s="12" t="s">
        <v>85</v>
      </c>
      <c r="G148" s="12" t="s">
        <v>86</v>
      </c>
      <c r="H148" s="12" t="str">
        <f>B120</f>
        <v>Tram, electric</v>
      </c>
    </row>
    <row r="149" spans="1:8" x14ac:dyDescent="0.3">
      <c r="A149" s="12" t="str">
        <f>INDEX('ei names mapping'!$B$4:$R$33,MATCH($B$3,'ei names mapping'!$A$4:$A$33,0),MATCH(G149,'ei names mapping'!$B$3:$R$3,0))</f>
        <v>tram production</v>
      </c>
      <c r="B149" s="23">
        <f>INDEX('vehicles specifications'!$B$3:$CK$86,MATCH(B123,'vehicles specifications'!$A$3:$A$86,0),MATCH(G149,'vehicles specifications'!$B$2:$CK$2,0))*INDEX('ei names mapping'!$B$137:$BK$220,MATCH(B123,'ei names mapping'!$A$137:$A$220,0),MATCH(G149,'ei names mapping'!$B$136:$BK$136,0))</f>
        <v>2.0579268292682928</v>
      </c>
      <c r="C149" s="12" t="str">
        <f>INDEX('ei names mapping'!$B$38:$R$67,MATCH($B$3,'ei names mapping'!$A$4:$A$33,0),MATCH(G149,'ei names mapping'!$B$3:$R$3,0))</f>
        <v>RER</v>
      </c>
      <c r="D149" s="12" t="str">
        <f>INDEX('ei names mapping'!$B$104:$R$133,MATCH(B120,'ei names mapping'!$A$104:$A$133,0),MATCH(G149,'ei names mapping'!$B$3:$R$3,0))</f>
        <v>unit</v>
      </c>
      <c r="E149" s="12"/>
      <c r="F149" s="12" t="s">
        <v>91</v>
      </c>
      <c r="G149" s="21" t="s">
        <v>15</v>
      </c>
      <c r="H149" s="12" t="str">
        <f>INDEX('ei names mapping'!$B$71:$R$100,MATCH($B$3,'ei names mapping'!$A$4:$A$33,0),MATCH(G149,'ei names mapping'!$B$3:$R$3,0))</f>
        <v>tram</v>
      </c>
    </row>
    <row r="150" spans="1:8" x14ac:dyDescent="0.3">
      <c r="A150" s="12" t="str">
        <f>INDEX('ei names mapping'!$B$4:$R$33,MATCH($B$3,'ei names mapping'!$A$4:$A$33,0),MATCH(G150,'ei names mapping'!$B$3:$R$3,0))</f>
        <v>tram production</v>
      </c>
      <c r="B150" s="23">
        <f>INDEX('vehicles specifications'!$B$3:$CK$86,MATCH(B123,'vehicles specifications'!$A$3:$A$86,0),MATCH(G150,'vehicles specifications'!$B$2:$CK$2,0))*INDEX('ei names mapping'!$B$137:$BK$220,MATCH(B123,'ei names mapping'!$A$137:$A$220,0),MATCH(G150,'ei names mapping'!$B$136:$BK$136,0))</f>
        <v>0.33912919207317077</v>
      </c>
      <c r="C150" s="12" t="str">
        <f>INDEX('ei names mapping'!$B$38:$R$67,MATCH($B$3,'ei names mapping'!$A$4:$A$33,0),MATCH(G150,'ei names mapping'!$B$3:$R$3,0))</f>
        <v>RER</v>
      </c>
      <c r="D150" s="12" t="str">
        <f>INDEX('ei names mapping'!$B$104:$R$133,MATCH(B120,'ei names mapping'!$A$104:$A$133,0),MATCH(G150,'ei names mapping'!$B$3:$R$3,0))</f>
        <v>unit</v>
      </c>
      <c r="E150" s="12"/>
      <c r="F150" s="12" t="s">
        <v>91</v>
      </c>
      <c r="G150" t="s">
        <v>16</v>
      </c>
      <c r="H150" s="12" t="str">
        <f>INDEX('ei names mapping'!$B$71:$R$100,MATCH($B$3,'ei names mapping'!$A$4:$A$33,0),MATCH(G150,'ei names mapping'!$B$3:$R$3,0))</f>
        <v>tram</v>
      </c>
    </row>
    <row r="151" spans="1:8" x14ac:dyDescent="0.3">
      <c r="A151" s="12" t="str">
        <f>INDEX('ei names mapping'!$B$4:$R$33,MATCH($B$3,'ei names mapping'!$A$4:$A$33,0),MATCH(G151,'ei names mapping'!$B$3:$R$3,0))</f>
        <v>tram production</v>
      </c>
      <c r="B151" s="23">
        <f>INDEX('vehicles specifications'!$B$3:$CK$86,MATCH(B123,'vehicles specifications'!$A$3:$A$86,0),MATCH(G151,'vehicles specifications'!$B$2:$CK$2,0))*INDEX('ei names mapping'!$B$137:$BK$220,MATCH(B123,'ei names mapping'!$A$137:$A$220,0),MATCH(G151,'ei names mapping'!$B$136:$BK$136,0))</f>
        <v>0.13043064024390244</v>
      </c>
      <c r="C151" s="12" t="str">
        <f>INDEX('ei names mapping'!$B$38:$R$67,MATCH($B$3,'ei names mapping'!$A$4:$A$33,0),MATCH(G151,'ei names mapping'!$B$3:$R$3,0))</f>
        <v>RER</v>
      </c>
      <c r="D151" s="12" t="str">
        <f>INDEX('ei names mapping'!$B$104:$R$133,MATCH(B120,'ei names mapping'!$A$104:$A$133,0),MATCH(G151,'ei names mapping'!$B$3:$R$3,0))</f>
        <v>unit</v>
      </c>
      <c r="E151" s="12"/>
      <c r="F151" s="12" t="s">
        <v>91</v>
      </c>
      <c r="G151" t="s">
        <v>557</v>
      </c>
      <c r="H151" s="12" t="str">
        <f>INDEX('ei names mapping'!$B$71:$R$100,MATCH($B$3,'ei names mapping'!$A$4:$A$33,0),MATCH(G151,'ei names mapping'!$B$3:$R$3,0))</f>
        <v>tram</v>
      </c>
    </row>
    <row r="152" spans="1:8" s="21" customFormat="1" x14ac:dyDescent="0.3">
      <c r="A152" s="12" t="str">
        <f>INDEX('ei names mapping'!$B$4:$R$33,MATCH(B120,'ei names mapping'!$A$4:$A$33,0),MATCH(G152,'ei names mapping'!$B$3:$R$3,0))</f>
        <v>glider lightweighting</v>
      </c>
      <c r="B152" s="23">
        <f>INDEX('vehicles specifications'!$B$3:$CK$86,MATCH(B123,'vehicles specifications'!$A$3:$A$86,0),MATCH(G152,'vehicles specifications'!$B$2:$CK$2,0))*INDEX('ei names mapping'!$B$137:$BK$220,MATCH(B123,'ei names mapping'!$A$137:$A$220,0),MATCH(G152,'ei names mapping'!$B$136:$BK$136,0))</f>
        <v>3024.0000000000005</v>
      </c>
      <c r="C152" s="12" t="str">
        <f>INDEX('ei names mapping'!$B$38:$R$67,MATCH(B120,'ei names mapping'!$A$4:$A$33,0),MATCH(G152,'ei names mapping'!$B$3:$R$3,0))</f>
        <v>GLO</v>
      </c>
      <c r="D152" s="12" t="str">
        <f>INDEX('ei names mapping'!$B$104:$R$133,MATCH(B120,'ei names mapping'!$A$104:$A$133,0),MATCH(G152,'ei names mapping'!$B$3:$R$3,0))</f>
        <v>kilogram</v>
      </c>
      <c r="E152" s="12"/>
      <c r="F152" s="12" t="s">
        <v>91</v>
      </c>
      <c r="G152" s="21" t="s">
        <v>14</v>
      </c>
      <c r="H152" s="12" t="str">
        <f>INDEX('ei names mapping'!$B$71:$R$100,MATCH(B120,'ei names mapping'!$A$4:$A$33,0),MATCH(G152,'ei names mapping'!$B$3:$R$3,0))</f>
        <v>glider lightweighting</v>
      </c>
    </row>
    <row r="153" spans="1:8" x14ac:dyDescent="0.3">
      <c r="A153" s="12" t="str">
        <f>INDEX('ei names mapping'!$B$4:$R$33,MATCH($B$3,'ei names mapping'!$A$4:$A$33,0),MATCH(G153,'ei names mapping'!$B$3:$R$3,0))</f>
        <v>tram track construction</v>
      </c>
      <c r="B153" s="23">
        <f>INDEX('vehicles specifications'!$B$3:$CK$86,MATCH(B123,'vehicles specifications'!$A$3:$A$86,0),MATCH(G153,'vehicles specifications'!$B$2:$CK$2,0))*INDEX('ei names mapping'!$B$137:$BK$220,MATCH(B123,'ei names mapping'!$A$137:$A$220,0),MATCH(G153,'ei names mapping'!$B$136:$BK$136,0))</f>
        <v>4.5599999999999998E-3</v>
      </c>
      <c r="C153" s="12" t="str">
        <f>INDEX('ei names mapping'!$B$38:$R$67,MATCH($B$3,'ei names mapping'!$A$4:$A$33,0),MATCH(G153,'ei names mapping'!$B$3:$R$3,0))</f>
        <v>CH</v>
      </c>
      <c r="D153" s="12" t="str">
        <f>INDEX('ei names mapping'!$B$104:$R$133,MATCH(B120,'ei names mapping'!$A$104:$A$133,0),MATCH(G153,'ei names mapping'!$B$3:$R$3,0))</f>
        <v>meter-year</v>
      </c>
      <c r="E153" s="12"/>
      <c r="F153" s="12" t="s">
        <v>91</v>
      </c>
      <c r="G153" t="s">
        <v>108</v>
      </c>
      <c r="H153" s="12" t="str">
        <f>INDEX('ei names mapping'!$B$71:$R$100,MATCH($B$3,'ei names mapping'!$A$4:$A$33,0),MATCH(G153,'ei names mapping'!$B$3:$R$3,0))</f>
        <v>tram track</v>
      </c>
    </row>
    <row r="154" spans="1:8" s="21" customFormat="1" x14ac:dyDescent="0.3">
      <c r="A154" s="12" t="s">
        <v>572</v>
      </c>
      <c r="B154" s="23">
        <f>-1*B153</f>
        <v>-4.5599999999999998E-3</v>
      </c>
      <c r="C154" s="12" t="s">
        <v>37</v>
      </c>
      <c r="D154" s="12" t="s">
        <v>110</v>
      </c>
      <c r="E154" s="12"/>
      <c r="F154" s="12" t="s">
        <v>91</v>
      </c>
      <c r="G154" s="21" t="s">
        <v>570</v>
      </c>
      <c r="H154" s="12" t="s">
        <v>571</v>
      </c>
    </row>
    <row r="155" spans="1:8" s="21" customFormat="1" x14ac:dyDescent="0.3">
      <c r="A155" s="22" t="s">
        <v>468</v>
      </c>
      <c r="B155" s="3">
        <f>(B133/1000)*B144</f>
        <v>50033</v>
      </c>
      <c r="C155" s="21" t="s">
        <v>94</v>
      </c>
      <c r="D155" s="21" t="s">
        <v>243</v>
      </c>
      <c r="F155" s="21" t="s">
        <v>91</v>
      </c>
      <c r="H155" s="22" t="s">
        <v>469</v>
      </c>
    </row>
    <row r="157" spans="1:8" ht="15.6" x14ac:dyDescent="0.3">
      <c r="A157" s="11" t="s">
        <v>72</v>
      </c>
      <c r="B157" s="9" t="str">
        <f>"transport, "&amp;B159&amp;", "&amp;B161</f>
        <v>transport, Tram, electric, 2020</v>
      </c>
    </row>
    <row r="158" spans="1:8" x14ac:dyDescent="0.3">
      <c r="A158" t="s">
        <v>73</v>
      </c>
      <c r="B158" t="s">
        <v>37</v>
      </c>
    </row>
    <row r="159" spans="1:8" x14ac:dyDescent="0.3">
      <c r="A159" t="s">
        <v>87</v>
      </c>
      <c r="B159" t="s">
        <v>519</v>
      </c>
    </row>
    <row r="160" spans="1:8" x14ac:dyDescent="0.3">
      <c r="A160" t="s">
        <v>88</v>
      </c>
      <c r="B160" s="12"/>
    </row>
    <row r="161" spans="1:2" x14ac:dyDescent="0.3">
      <c r="A161" t="s">
        <v>89</v>
      </c>
      <c r="B161" s="12">
        <v>2020</v>
      </c>
    </row>
    <row r="162" spans="1:2" x14ac:dyDescent="0.3">
      <c r="A162" t="s">
        <v>131</v>
      </c>
      <c r="B162" s="12" t="str">
        <f>B159&amp;" - "&amp;B161&amp;" - "&amp;B158</f>
        <v>Tram, electric - 2020 - CH</v>
      </c>
    </row>
    <row r="163" spans="1:2" x14ac:dyDescent="0.3">
      <c r="A163" t="s">
        <v>74</v>
      </c>
      <c r="B163" t="str">
        <f>"transport, "&amp;B159</f>
        <v>transport, Tram, electric</v>
      </c>
    </row>
    <row r="164" spans="1:2" x14ac:dyDescent="0.3">
      <c r="A164" t="s">
        <v>75</v>
      </c>
      <c r="B164" t="s">
        <v>76</v>
      </c>
    </row>
    <row r="165" spans="1:2" x14ac:dyDescent="0.3">
      <c r="A165" t="s">
        <v>77</v>
      </c>
      <c r="B165" t="s">
        <v>175</v>
      </c>
    </row>
    <row r="166" spans="1:2" x14ac:dyDescent="0.3">
      <c r="A166" t="s">
        <v>79</v>
      </c>
      <c r="B166" t="s">
        <v>90</v>
      </c>
    </row>
    <row r="167" spans="1:2" x14ac:dyDescent="0.3">
      <c r="A167" t="s">
        <v>132</v>
      </c>
      <c r="B167">
        <f>INDEX('vehicles specifications'!$B$3:$CK$86,MATCH(B162,'vehicles specifications'!$A$3:$A$86,0),MATCH("Lifetime [km]",'vehicles specifications'!$B$2:$CK$2,0))</f>
        <v>2800000</v>
      </c>
    </row>
    <row r="168" spans="1:2" x14ac:dyDescent="0.3">
      <c r="A168" t="s">
        <v>133</v>
      </c>
      <c r="B168">
        <f>INDEX('vehicles specifications'!$B$3:$CK$86,MATCH(B162,'vehicles specifications'!$A$3:$A$86,0),MATCH("Passengers [unit]",'vehicles specifications'!$B$2:$CK$2,0))</f>
        <v>38</v>
      </c>
    </row>
    <row r="169" spans="1:2" x14ac:dyDescent="0.3">
      <c r="A169" t="s">
        <v>134</v>
      </c>
      <c r="B169">
        <f>INDEX('vehicles specifications'!$B$3:$CK$86,MATCH(B162,'vehicles specifications'!$A$3:$A$86,0),MATCH("Servicing [unit]",'vehicles specifications'!$B$2:$CK$2,0))</f>
        <v>1.3333333333333333</v>
      </c>
    </row>
    <row r="170" spans="1:2" x14ac:dyDescent="0.3">
      <c r="A170" t="s">
        <v>135</v>
      </c>
      <c r="B170">
        <f>INDEX('vehicles specifications'!$B$3:$CK$86,MATCH(B162,'vehicles specifications'!$A$3:$A$86,0),MATCH("Energy battery replacement [unit]",'vehicles specifications'!$B$2:$CK$2,0))</f>
        <v>0</v>
      </c>
    </row>
    <row r="171" spans="1:2" x14ac:dyDescent="0.3">
      <c r="A171" t="s">
        <v>136</v>
      </c>
      <c r="B171">
        <f>INDEX('vehicles specifications'!$B$3:$CK$86,MATCH(B162,'vehicles specifications'!$A$3:$A$86,0),MATCH("Annual kilometers [km]",'vehicles specifications'!$B$2:$CK$2,0))</f>
        <v>70000</v>
      </c>
    </row>
    <row r="172" spans="1:2" x14ac:dyDescent="0.3">
      <c r="A172" t="s">
        <v>137</v>
      </c>
      <c r="B172">
        <f>INDEX('vehicles specifications'!$B$3:$CK$86,MATCH(B162,'vehicles specifications'!$A$3:$A$86,0),MATCH("Curb mass [kg]",'vehicles specifications'!$B$2:$CK$2,0))</f>
        <v>54000</v>
      </c>
    </row>
    <row r="173" spans="1:2" x14ac:dyDescent="0.3">
      <c r="A173" t="s">
        <v>138</v>
      </c>
      <c r="B173">
        <f>INDEX('vehicles specifications'!$B$3:$CK$86,MATCH(B162,'vehicles specifications'!$A$3:$A$86,0),MATCH("Power [kW]",'vehicles specifications'!$B$2:$CK$2,0))</f>
        <v>660</v>
      </c>
    </row>
    <row r="174" spans="1:2" x14ac:dyDescent="0.3">
      <c r="A174" t="s">
        <v>139</v>
      </c>
      <c r="B174">
        <f>INDEX('vehicles specifications'!$B$3:$CK$86,MATCH(B162,'vehicles specifications'!$A$3:$A$86,0),MATCH("Energy battery mass [kg]",'vehicles specifications'!$B$2:$CK$2,0))</f>
        <v>0</v>
      </c>
    </row>
    <row r="175" spans="1:2" x14ac:dyDescent="0.3">
      <c r="A175" t="s">
        <v>140</v>
      </c>
      <c r="B175">
        <f>INDEX('vehicles specifications'!$B$3:$CK$86,MATCH(B162,'vehicles specifications'!$A$3:$A$86,0),MATCH("Electric energy available [kWh]",'vehicles specifications'!$B$2:$CK$2,0))</f>
        <v>0</v>
      </c>
    </row>
    <row r="176" spans="1:2" x14ac:dyDescent="0.3">
      <c r="A176" t="s">
        <v>143</v>
      </c>
      <c r="B176">
        <f>INDEX('vehicles specifications'!$B$3:$CK$86,MATCH(B162,'vehicles specifications'!$A$3:$A$86,0),MATCH("Oxydation energy stored [kWh]",'vehicles specifications'!$B$2:$CK$2,0))</f>
        <v>0</v>
      </c>
    </row>
    <row r="177" spans="1:12" x14ac:dyDescent="0.3">
      <c r="A177" t="s">
        <v>145</v>
      </c>
      <c r="B177">
        <f>INDEX('vehicles specifications'!$B$3:$CK$86,MATCH(B162,'vehicles specifications'!$A$3:$A$86,0),MATCH("Fuel mass [kg]",'vehicles specifications'!$B$2:$CK$2,0))</f>
        <v>0</v>
      </c>
    </row>
    <row r="178" spans="1:12" x14ac:dyDescent="0.3">
      <c r="A178" t="s">
        <v>141</v>
      </c>
      <c r="B178">
        <f>INDEX('vehicles specifications'!$B$3:$CK$86,MATCH(B162,'vehicles specifications'!$A$3:$A$86,0),MATCH("Range [km]",'vehicles specifications'!$B$2:$CK$2,0))</f>
        <v>0</v>
      </c>
    </row>
    <row r="179" spans="1:12" x14ac:dyDescent="0.3">
      <c r="A179" t="s">
        <v>142</v>
      </c>
      <c r="B179" t="str">
        <f>INDEX('vehicles specifications'!$B$3:$CK$86,MATCH(B162,'vehicles specifications'!$A$3:$A$86,0),MATCH("Emission standard",'vehicles specifications'!$B$2:$CK$2,0))</f>
        <v>None</v>
      </c>
    </row>
    <row r="180" spans="1:12" x14ac:dyDescent="0.3">
      <c r="A180" t="s">
        <v>144</v>
      </c>
      <c r="B180" s="6">
        <f>INDEX('vehicles specifications'!$B$3:$CK$86,MATCH(B162,'vehicles specifications'!$A$3:$A$86,0),MATCH("Lightweighting rate [%]",'vehicles specifications'!$B$2:$CK$2,0))</f>
        <v>0</v>
      </c>
    </row>
    <row r="181" spans="1:12" x14ac:dyDescent="0.3">
      <c r="A181" t="s">
        <v>84</v>
      </c>
      <c r="B181" s="21" t="str">
        <f>"Power: "&amp;B173&amp;" kW. Lifetime: "&amp;B167&amp;" km. Annual kilometers: "&amp;B171&amp;" km. Number of passengers: "&amp;B168&amp;". Curb mass: "&amp;ROUND(B172,1)&amp;" kg. Lightweighting of glider: "&amp;ROUND(B180*100,0)&amp;"%. Emission standard: "&amp;B179&amp;". Service visits throughout lifetime: every year for "&amp;B167/B171&amp;" years. Range: "&amp;ROUND(B178,0)&amp;" km. Battery capacity: "&amp;ROUND(B175,1)&amp;" kWh. Battery mass: "&amp;ROUND(B174,1)&amp; " kg. Battery replacement throughout lifetime: "&amp;ROUND(B170,1)&amp;". Fuel tank capacity: "&amp;ROUND(B176,1)&amp;" kWh. Fuel mass: "&amp;ROUND(B177,1)&amp;" kg. Documentation: "&amp;Readmefirst!$B$2&amp;", "&amp;Readmefirst!$B$3&amp;". "&amp;B166</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82" spans="1:12" ht="15.6" x14ac:dyDescent="0.3">
      <c r="A182" s="11" t="s">
        <v>80</v>
      </c>
    </row>
    <row r="183" spans="1:12" x14ac:dyDescent="0.3">
      <c r="A183" t="s">
        <v>81</v>
      </c>
      <c r="B183" t="s">
        <v>82</v>
      </c>
      <c r="C183" t="s">
        <v>73</v>
      </c>
      <c r="D183" t="s">
        <v>77</v>
      </c>
      <c r="E183" t="s">
        <v>83</v>
      </c>
      <c r="F183" t="s">
        <v>75</v>
      </c>
      <c r="G183" t="s">
        <v>84</v>
      </c>
      <c r="H183" t="s">
        <v>74</v>
      </c>
    </row>
    <row r="184" spans="1:12" x14ac:dyDescent="0.3">
      <c r="A184" s="12" t="str">
        <f>B157</f>
        <v>transport, Tram, electric, 2020</v>
      </c>
      <c r="B184" s="12">
        <v>1</v>
      </c>
      <c r="C184" s="12" t="str">
        <f>B158</f>
        <v>CH</v>
      </c>
      <c r="D184" s="12" t="str">
        <f>B165</f>
        <v>person-kilometer</v>
      </c>
      <c r="E184" s="12"/>
      <c r="F184" s="12" t="s">
        <v>85</v>
      </c>
      <c r="G184" s="12" t="s">
        <v>86</v>
      </c>
      <c r="H184" s="12" t="str">
        <f>B163</f>
        <v>transport, Tram, electric</v>
      </c>
    </row>
    <row r="185" spans="1:12" x14ac:dyDescent="0.3">
      <c r="A185" s="12" t="str">
        <f>RIGHT(A184,LEN(A184)-11)</f>
        <v>Tram, electric, 2020</v>
      </c>
      <c r="B185" s="12">
        <f>1/B167/B168</f>
        <v>9.3984962406015038E-9</v>
      </c>
      <c r="C185" s="12" t="str">
        <f>B158</f>
        <v>CH</v>
      </c>
      <c r="D185" s="12" t="s">
        <v>77</v>
      </c>
      <c r="E185" s="12"/>
      <c r="F185" s="12" t="s">
        <v>91</v>
      </c>
      <c r="G185" s="12"/>
      <c r="H185" s="12" t="str">
        <f>RIGHT(H184,LEN(H184)-11)</f>
        <v>Tram, electric</v>
      </c>
    </row>
    <row r="186" spans="1:12" x14ac:dyDescent="0.3">
      <c r="A186" s="12" t="str">
        <f>INDEX('ei names mapping'!$B$4:$R$33,MATCH(B159,'ei names mapping'!$A$4:$A$33,0),MATCH(G186,'ei names mapping'!$B$3:$R$3,0))</f>
        <v>market for electricity, medium voltage</v>
      </c>
      <c r="B186" s="14">
        <f>INDEX('vehicles specifications'!$B$3:$CK$86,MATCH(B162,'vehicles specifications'!$A$3:$A$86,0),MATCH(G186,'vehicles specifications'!$B$2:$CK$2,0))*INDEX('ei names mapping'!$B$137:$BK$220,MATCH(B162,'ei names mapping'!$A$137:$A$220,0),MATCH(G186,'ei names mapping'!$B$136:$BK$136,0))</f>
        <v>9.7222222222222224E-2</v>
      </c>
      <c r="C186" s="12" t="str">
        <f>INDEX('ei names mapping'!$B$38:$BK$67,MATCH(B159,'ei names mapping'!$A$4:$A$33,0),MATCH(G186,'ei names mapping'!$B$3:$BK$3,0))</f>
        <v>CH</v>
      </c>
      <c r="D186" s="12" t="str">
        <f>INDEX('ei names mapping'!$B$104:$BK$133,MATCH(B159,'ei names mapping'!$A$4:$A$33,0),MATCH(G186,'ei names mapping'!$B$3:$BK$3,0))</f>
        <v>kilowatt hour</v>
      </c>
      <c r="E186" s="12"/>
      <c r="F186" s="12" t="s">
        <v>91</v>
      </c>
      <c r="G186" t="s">
        <v>28</v>
      </c>
      <c r="H186" s="12" t="str">
        <f>INDEX('ei names mapping'!$B$71:$BK$100,MATCH(B159,'ei names mapping'!$A$4:$A$33,0),MATCH(G186,'ei names mapping'!$B$3:$BK$3,0))</f>
        <v>electricity, medium voltage</v>
      </c>
    </row>
    <row r="187" spans="1:12" s="21" customFormat="1" x14ac:dyDescent="0.3">
      <c r="A187" s="12" t="s">
        <v>575</v>
      </c>
      <c r="B187" s="15">
        <f>16/B167/B168</f>
        <v>1.5037593984962406E-7</v>
      </c>
      <c r="C187" s="12" t="s">
        <v>98</v>
      </c>
      <c r="D187" s="12" t="s">
        <v>78</v>
      </c>
      <c r="E187" s="12"/>
      <c r="F187" s="12" t="s">
        <v>91</v>
      </c>
      <c r="G187" s="21" t="s">
        <v>577</v>
      </c>
      <c r="H187" s="12" t="s">
        <v>576</v>
      </c>
    </row>
    <row r="188" spans="1:12" x14ac:dyDescent="0.3">
      <c r="A188" s="12" t="str">
        <f>INDEX('ei names mapping'!$B$4:$R$33,MATCH(B159,'ei names mapping'!$A$4:$A$33,0),MATCH(G188,'ei names mapping'!$B$3:$R$3,0))</f>
        <v>maintenance, tram</v>
      </c>
      <c r="B188" s="15">
        <f>INDEX('vehicles specifications'!$B$3:$CK$86,MATCH(B162,'vehicles specifications'!$A$3:$A$86,0),MATCH(G188,'vehicles specifications'!$B$2:$CK$2,0))*INDEX('ei names mapping'!$B$137:$BK$220,MATCH(B162,'ei names mapping'!$A$137:$A$220,0),MATCH(G188,'ei names mapping'!$B$136:$BK$136,0))</f>
        <v>1.2531328320802004E-8</v>
      </c>
      <c r="C188" s="12" t="str">
        <f>INDEX('ei names mapping'!$B$38:$BK$67,MATCH(B159,'ei names mapping'!$A$4:$A$33,0),MATCH(G188,'ei names mapping'!$B$3:$BK$3,0))</f>
        <v>CH</v>
      </c>
      <c r="D188" s="12" t="str">
        <f>INDEX('ei names mapping'!$B$104:$BK$133,MATCH(B159,'ei names mapping'!$A$4:$A$33,0),MATCH(G188,'ei names mapping'!$B$3:$BK$3,0))</f>
        <v>unit</v>
      </c>
      <c r="E188" s="12"/>
      <c r="F188" s="12" t="s">
        <v>91</v>
      </c>
      <c r="G188" t="s">
        <v>123</v>
      </c>
      <c r="H188" s="12" t="str">
        <f>INDEX('ei names mapping'!$B$71:$BK$100,MATCH(B159,'ei names mapping'!$A$4:$A$33,0),MATCH(G188,'ei names mapping'!$B$3:$BK$3,0))</f>
        <v>maintenance, tram</v>
      </c>
    </row>
    <row r="189" spans="1:12" s="21" customFormat="1" x14ac:dyDescent="0.3">
      <c r="A189" s="21" t="s">
        <v>578</v>
      </c>
      <c r="B189" s="15">
        <f>B187</f>
        <v>1.5037593984962406E-7</v>
      </c>
      <c r="C189" s="12"/>
      <c r="D189" s="12" t="s">
        <v>78</v>
      </c>
      <c r="E189" s="12" t="s">
        <v>171</v>
      </c>
      <c r="F189" s="12" t="s">
        <v>173</v>
      </c>
      <c r="G189" s="12" t="s">
        <v>579</v>
      </c>
      <c r="H189" s="12"/>
      <c r="L189" s="6"/>
    </row>
    <row r="190" spans="1:12" s="21" customFormat="1" x14ac:dyDescent="0.3">
      <c r="A190" s="21" t="s">
        <v>464</v>
      </c>
      <c r="B190" s="15">
        <f>0.00000016/B168</f>
        <v>4.2105263157894742E-9</v>
      </c>
      <c r="C190" s="12"/>
      <c r="D190" s="12" t="s">
        <v>78</v>
      </c>
      <c r="E190" s="12" t="s">
        <v>171</v>
      </c>
      <c r="F190" s="12" t="s">
        <v>173</v>
      </c>
      <c r="G190" s="12" t="s">
        <v>584</v>
      </c>
      <c r="H190" s="12"/>
    </row>
    <row r="191" spans="1:12" s="21" customFormat="1" x14ac:dyDescent="0.3">
      <c r="A191" s="21" t="s">
        <v>580</v>
      </c>
      <c r="B191" s="15">
        <f>0.00000032/B168</f>
        <v>8.4210526315789483E-9</v>
      </c>
      <c r="C191" s="12"/>
      <c r="D191" s="12" t="s">
        <v>78</v>
      </c>
      <c r="E191" s="12" t="s">
        <v>171</v>
      </c>
      <c r="F191" s="12" t="s">
        <v>173</v>
      </c>
      <c r="G191" s="12" t="s">
        <v>584</v>
      </c>
      <c r="H191" s="12"/>
    </row>
    <row r="192" spans="1:12" s="21" customFormat="1" x14ac:dyDescent="0.3">
      <c r="A192" s="21" t="s">
        <v>581</v>
      </c>
      <c r="B192" s="15">
        <f>0.00000033/B168</f>
        <v>8.6842105263157895E-9</v>
      </c>
      <c r="C192" s="12"/>
      <c r="D192" s="12" t="s">
        <v>78</v>
      </c>
      <c r="E192" s="12" t="s">
        <v>171</v>
      </c>
      <c r="F192" s="12" t="s">
        <v>173</v>
      </c>
      <c r="G192" s="12" t="s">
        <v>584</v>
      </c>
      <c r="H192" s="12"/>
    </row>
    <row r="193" spans="1:8" s="21" customFormat="1" x14ac:dyDescent="0.3">
      <c r="A193" s="21" t="s">
        <v>464</v>
      </c>
      <c r="B193" s="15">
        <f>0.000009/B168</f>
        <v>2.368421052631579E-7</v>
      </c>
      <c r="C193" s="12"/>
      <c r="D193" s="12" t="s">
        <v>78</v>
      </c>
      <c r="E193" s="12" t="s">
        <v>171</v>
      </c>
      <c r="F193" s="12" t="s">
        <v>173</v>
      </c>
      <c r="G193" s="12" t="s">
        <v>585</v>
      </c>
      <c r="H193" s="12"/>
    </row>
    <row r="194" spans="1:8" s="21" customFormat="1" x14ac:dyDescent="0.3">
      <c r="A194" s="21" t="s">
        <v>580</v>
      </c>
      <c r="B194" s="15">
        <f>0.000018/B168</f>
        <v>4.736842105263158E-7</v>
      </c>
      <c r="C194" s="12"/>
      <c r="D194" s="12" t="s">
        <v>78</v>
      </c>
      <c r="E194" s="12" t="s">
        <v>171</v>
      </c>
      <c r="F194" s="12" t="s">
        <v>173</v>
      </c>
      <c r="G194" s="12" t="s">
        <v>585</v>
      </c>
      <c r="H194" s="12"/>
    </row>
    <row r="195" spans="1:8" s="21" customFormat="1" x14ac:dyDescent="0.3">
      <c r="A195" s="21" t="s">
        <v>464</v>
      </c>
      <c r="B195" s="15">
        <f>0.000004/B168</f>
        <v>1.0526315789473683E-7</v>
      </c>
      <c r="C195" s="12"/>
      <c r="D195" s="12" t="s">
        <v>78</v>
      </c>
      <c r="E195" s="12" t="s">
        <v>171</v>
      </c>
      <c r="F195" s="12" t="s">
        <v>173</v>
      </c>
      <c r="G195" s="12" t="s">
        <v>586</v>
      </c>
      <c r="H195" s="12"/>
    </row>
    <row r="196" spans="1:8" s="21" customFormat="1" x14ac:dyDescent="0.3">
      <c r="A196" s="21" t="s">
        <v>580</v>
      </c>
      <c r="B196" s="15">
        <f>0.000008/B168</f>
        <v>2.1052631578947366E-7</v>
      </c>
      <c r="C196" s="12"/>
      <c r="D196" s="12" t="s">
        <v>78</v>
      </c>
      <c r="E196" s="12" t="s">
        <v>171</v>
      </c>
      <c r="F196" s="12" t="s">
        <v>173</v>
      </c>
      <c r="G196" s="12" t="s">
        <v>586</v>
      </c>
      <c r="H196" s="12"/>
    </row>
    <row r="197" spans="1:8" s="21" customFormat="1" x14ac:dyDescent="0.3">
      <c r="A197" s="21" t="s">
        <v>582</v>
      </c>
      <c r="B197" s="15">
        <f>0.00000008/B168</f>
        <v>2.1052631578947371E-9</v>
      </c>
      <c r="C197" s="12"/>
      <c r="D197" s="12" t="s">
        <v>78</v>
      </c>
      <c r="E197" s="12" t="s">
        <v>171</v>
      </c>
      <c r="F197" s="12" t="s">
        <v>173</v>
      </c>
      <c r="G197" s="12" t="s">
        <v>586</v>
      </c>
      <c r="H197" s="12"/>
    </row>
    <row r="198" spans="1:8" s="21" customFormat="1" x14ac:dyDescent="0.3">
      <c r="A198" s="21" t="s">
        <v>583</v>
      </c>
      <c r="B198" s="15">
        <f>0.00000016/B168</f>
        <v>4.2105263157894742E-9</v>
      </c>
      <c r="C198" s="12"/>
      <c r="D198" s="12" t="s">
        <v>78</v>
      </c>
      <c r="E198" s="12" t="s">
        <v>171</v>
      </c>
      <c r="F198" s="12" t="s">
        <v>173</v>
      </c>
      <c r="G198" s="12" t="s">
        <v>586</v>
      </c>
      <c r="H198" s="12"/>
    </row>
    <row r="200" spans="1:8" ht="15.6" x14ac:dyDescent="0.3">
      <c r="A200" s="11" t="s">
        <v>72</v>
      </c>
      <c r="B200" s="9" t="str">
        <f>"transport, "&amp;B202&amp;", "&amp;B204</f>
        <v>transport, Tram, electric, 2030</v>
      </c>
    </row>
    <row r="201" spans="1:8" x14ac:dyDescent="0.3">
      <c r="A201" t="s">
        <v>73</v>
      </c>
      <c r="B201" t="s">
        <v>37</v>
      </c>
    </row>
    <row r="202" spans="1:8" x14ac:dyDescent="0.3">
      <c r="A202" t="s">
        <v>87</v>
      </c>
      <c r="B202" s="21" t="s">
        <v>519</v>
      </c>
    </row>
    <row r="203" spans="1:8" x14ac:dyDescent="0.3">
      <c r="A203" t="s">
        <v>88</v>
      </c>
      <c r="B203" s="12"/>
    </row>
    <row r="204" spans="1:8" x14ac:dyDescent="0.3">
      <c r="A204" t="s">
        <v>89</v>
      </c>
      <c r="B204" s="12">
        <v>2030</v>
      </c>
    </row>
    <row r="205" spans="1:8" x14ac:dyDescent="0.3">
      <c r="A205" t="s">
        <v>131</v>
      </c>
      <c r="B205" s="12" t="str">
        <f>B202&amp;" - "&amp;B204&amp;" - "&amp;B201</f>
        <v>Tram, electric - 2030 - CH</v>
      </c>
    </row>
    <row r="206" spans="1:8" x14ac:dyDescent="0.3">
      <c r="A206" t="s">
        <v>74</v>
      </c>
      <c r="B206" s="12" t="str">
        <f>"transport, "&amp;B202</f>
        <v>transport, Tram, electric</v>
      </c>
    </row>
    <row r="207" spans="1:8" x14ac:dyDescent="0.3">
      <c r="A207" t="s">
        <v>75</v>
      </c>
      <c r="B207" t="s">
        <v>76</v>
      </c>
    </row>
    <row r="208" spans="1:8" x14ac:dyDescent="0.3">
      <c r="A208" t="s">
        <v>77</v>
      </c>
      <c r="B208" t="s">
        <v>175</v>
      </c>
    </row>
    <row r="209" spans="1:2" x14ac:dyDescent="0.3">
      <c r="A209" t="s">
        <v>79</v>
      </c>
      <c r="B209" t="s">
        <v>90</v>
      </c>
    </row>
    <row r="210" spans="1:2" x14ac:dyDescent="0.3">
      <c r="A210" t="s">
        <v>132</v>
      </c>
      <c r="B210">
        <f>INDEX('vehicles specifications'!$B$3:$CK$86,MATCH(B205,'vehicles specifications'!$A$3:$A$86,0),MATCH("Lifetime [km]",'vehicles specifications'!$B$2:$CK$2,0))</f>
        <v>2800000</v>
      </c>
    </row>
    <row r="211" spans="1:2" x14ac:dyDescent="0.3">
      <c r="A211" t="s">
        <v>133</v>
      </c>
      <c r="B211">
        <f>INDEX('vehicles specifications'!$B$3:$CK$86,MATCH(B205,'vehicles specifications'!$A$3:$A$86,0),MATCH("Passengers [unit]",'vehicles specifications'!$B$2:$CK$2,0))</f>
        <v>38</v>
      </c>
    </row>
    <row r="212" spans="1:2" x14ac:dyDescent="0.3">
      <c r="A212" t="s">
        <v>134</v>
      </c>
      <c r="B212">
        <f>INDEX('vehicles specifications'!$B$3:$CK$86,MATCH(B205,'vehicles specifications'!$A$3:$A$86,0),MATCH("Servicing [unit]",'vehicles specifications'!$B$2:$CK$2,0))</f>
        <v>1.3333333333333333</v>
      </c>
    </row>
    <row r="213" spans="1:2" x14ac:dyDescent="0.3">
      <c r="A213" t="s">
        <v>135</v>
      </c>
      <c r="B213">
        <f>INDEX('vehicles specifications'!$B$3:$CK$86,MATCH(B205,'vehicles specifications'!$A$3:$A$86,0),MATCH("Energy battery replacement [unit]",'vehicles specifications'!$B$2:$CK$2,0))</f>
        <v>0</v>
      </c>
    </row>
    <row r="214" spans="1:2" x14ac:dyDescent="0.3">
      <c r="A214" t="s">
        <v>136</v>
      </c>
      <c r="B214">
        <f>INDEX('vehicles specifications'!$B$3:$CK$86,MATCH(B205,'vehicles specifications'!$A$3:$A$86,0),MATCH("Annual kilometers [km]",'vehicles specifications'!$B$2:$CK$2,0))</f>
        <v>70000</v>
      </c>
    </row>
    <row r="215" spans="1:2" x14ac:dyDescent="0.3">
      <c r="A215" t="s">
        <v>137</v>
      </c>
      <c r="B215">
        <f>INDEX('vehicles specifications'!$B$3:$CK$86,MATCH(B205,'vehicles specifications'!$A$3:$A$86,0),MATCH("Curb mass [kg]",'vehicles specifications'!$B$2:$CK$2,0))</f>
        <v>52380</v>
      </c>
    </row>
    <row r="216" spans="1:2" x14ac:dyDescent="0.3">
      <c r="A216" t="s">
        <v>138</v>
      </c>
      <c r="B216">
        <f>INDEX('vehicles specifications'!$B$3:$CK$86,MATCH(B205,'vehicles specifications'!$A$3:$A$86,0),MATCH("Power [kW]",'vehicles specifications'!$B$2:$CK$2,0))</f>
        <v>660</v>
      </c>
    </row>
    <row r="217" spans="1:2" x14ac:dyDescent="0.3">
      <c r="A217" t="s">
        <v>139</v>
      </c>
      <c r="B217">
        <f>INDEX('vehicles specifications'!$B$3:$CK$86,MATCH(B205,'vehicles specifications'!$A$3:$A$86,0),MATCH("Energy battery mass [kg]",'vehicles specifications'!$B$2:$CK$2,0))</f>
        <v>0</v>
      </c>
    </row>
    <row r="218" spans="1:2" x14ac:dyDescent="0.3">
      <c r="A218" t="s">
        <v>140</v>
      </c>
      <c r="B218">
        <f>INDEX('vehicles specifications'!$B$3:$CK$86,MATCH(B205,'vehicles specifications'!$A$3:$A$86,0),MATCH("Electric energy available [kWh]",'vehicles specifications'!$B$2:$CK$2,0))</f>
        <v>0</v>
      </c>
    </row>
    <row r="219" spans="1:2" x14ac:dyDescent="0.3">
      <c r="A219" t="s">
        <v>143</v>
      </c>
      <c r="B219">
        <f>INDEX('vehicles specifications'!$B$3:$CK$86,MATCH(B205,'vehicles specifications'!$A$3:$A$86,0),MATCH("Oxydation energy stored [kWh]",'vehicles specifications'!$B$2:$CK$2,0))</f>
        <v>0</v>
      </c>
    </row>
    <row r="220" spans="1:2" x14ac:dyDescent="0.3">
      <c r="A220" t="s">
        <v>145</v>
      </c>
      <c r="B220">
        <f>INDEX('vehicles specifications'!$B$3:$CK$86,MATCH(B205,'vehicles specifications'!$A$3:$A$86,0),MATCH("Fuel mass [kg]",'vehicles specifications'!$B$2:$CK$2,0))</f>
        <v>0</v>
      </c>
    </row>
    <row r="221" spans="1:2" x14ac:dyDescent="0.3">
      <c r="A221" t="s">
        <v>141</v>
      </c>
      <c r="B221">
        <f>INDEX('vehicles specifications'!$B$3:$CK$86,MATCH(B205,'vehicles specifications'!$A$3:$A$86,0),MATCH("Range [km]",'vehicles specifications'!$B$2:$CK$2,0))</f>
        <v>0</v>
      </c>
    </row>
    <row r="222" spans="1:2" x14ac:dyDescent="0.3">
      <c r="A222" t="s">
        <v>142</v>
      </c>
      <c r="B222" t="str">
        <f>INDEX('vehicles specifications'!$B$3:$CK$86,MATCH(B205,'vehicles specifications'!$A$3:$A$86,0),MATCH("Emission standard",'vehicles specifications'!$B$2:$CK$2,0))</f>
        <v>None</v>
      </c>
    </row>
    <row r="223" spans="1:2" x14ac:dyDescent="0.3">
      <c r="A223" t="s">
        <v>144</v>
      </c>
      <c r="B223" s="6">
        <f>INDEX('vehicles specifications'!$B$3:$CK$86,MATCH(B205,'vehicles specifications'!$A$3:$A$86,0),MATCH("Lightweighting rate [%]",'vehicles specifications'!$B$2:$CK$2,0))</f>
        <v>0.03</v>
      </c>
    </row>
    <row r="224" spans="1:2" x14ac:dyDescent="0.3">
      <c r="A224" t="s">
        <v>84</v>
      </c>
      <c r="B224" s="21" t="str">
        <f>"Power: "&amp;B216&amp;" kW. Lifetime: "&amp;B210&amp;" km. Annual kilometers: "&amp;B214&amp;" km. Number of passengers: "&amp;B211&amp;". Curb mass: "&amp;ROUND(B215,1)&amp;" kg. Lightweighting of glider: "&amp;ROUND(B223*100,0)&amp;"%. Emission standard: "&amp;B222&amp;". Service visits throughout lifetime: every year for "&amp;B210/B214&amp;" years. Range: "&amp;ROUND(B221,0)&amp;" km. Battery capacity: "&amp;ROUND(B218,1)&amp;" kWh. Battery mass: "&amp;ROUND(B217,1)&amp; " kg. Battery replacement throughout lifetime: "&amp;ROUND(B213,1)&amp;". Fuel tank capacity: "&amp;ROUND(B219,1)&amp;" kWh. Fuel mass: "&amp;ROUND(B220,1)&amp;" kg. Documentation: "&amp;Readmefirst!$B$2&amp;", "&amp;Readmefirst!$B$3&amp;". "&amp;B209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25" spans="1:8" ht="15.6" x14ac:dyDescent="0.3">
      <c r="A225" s="11" t="s">
        <v>80</v>
      </c>
    </row>
    <row r="226" spans="1:8" x14ac:dyDescent="0.3">
      <c r="A226" t="s">
        <v>81</v>
      </c>
      <c r="B226" t="s">
        <v>82</v>
      </c>
      <c r="C226" t="s">
        <v>73</v>
      </c>
      <c r="D226" t="s">
        <v>77</v>
      </c>
      <c r="E226" t="s">
        <v>83</v>
      </c>
      <c r="F226" t="s">
        <v>75</v>
      </c>
      <c r="G226" t="s">
        <v>84</v>
      </c>
      <c r="H226" t="s">
        <v>74</v>
      </c>
    </row>
    <row r="227" spans="1:8" x14ac:dyDescent="0.3">
      <c r="A227" s="12" t="str">
        <f>B200</f>
        <v>transport, Tram, electric, 2030</v>
      </c>
      <c r="B227" s="12">
        <v>1</v>
      </c>
      <c r="C227" s="12" t="str">
        <f>B201</f>
        <v>CH</v>
      </c>
      <c r="D227" s="12" t="str">
        <f>B208</f>
        <v>person-kilometer</v>
      </c>
      <c r="E227" s="12"/>
      <c r="F227" s="12" t="s">
        <v>85</v>
      </c>
      <c r="G227" s="12" t="s">
        <v>86</v>
      </c>
      <c r="H227" s="12" t="str">
        <f>B206</f>
        <v>transport, Tram, electric</v>
      </c>
    </row>
    <row r="228" spans="1:8" x14ac:dyDescent="0.3">
      <c r="A228" s="12" t="str">
        <f>RIGHT(A227,LEN(A227)-11)</f>
        <v>Tram, electric, 2030</v>
      </c>
      <c r="B228" s="12">
        <f>1/B210/B211</f>
        <v>9.3984962406015038E-9</v>
      </c>
      <c r="C228" s="12" t="str">
        <f>B201</f>
        <v>CH</v>
      </c>
      <c r="D228" s="12" t="s">
        <v>77</v>
      </c>
      <c r="E228" s="12"/>
      <c r="F228" s="12" t="s">
        <v>91</v>
      </c>
      <c r="G228" s="12"/>
      <c r="H228" s="12" t="str">
        <f>RIGHT(H227,LEN(H227)-11)</f>
        <v>Tram, electric</v>
      </c>
    </row>
    <row r="229" spans="1:8" x14ac:dyDescent="0.3">
      <c r="A229" s="12" t="str">
        <f>INDEX('ei names mapping'!$B$4:$R$33,MATCH(B202,'ei names mapping'!$A$4:$A$33,0),MATCH(G229,'ei names mapping'!$B$3:$R$3,0))</f>
        <v>market for electricity, medium voltage</v>
      </c>
      <c r="B229" s="14">
        <f>INDEX('vehicles specifications'!$B$3:$CK$86,MATCH(B205,'vehicles specifications'!$A$3:$A$86,0),MATCH(G229,'vehicles specifications'!$B$2:$CK$2,0))*INDEX('ei names mapping'!$B$137:$BK$220,MATCH(B205,'ei names mapping'!$A$137:$A$220,0),MATCH(G229,'ei names mapping'!$B$136:$BK$136,0))</f>
        <v>9.7222222222222224E-2</v>
      </c>
      <c r="C229" s="12" t="str">
        <f>INDEX('ei names mapping'!$B$38:$BK$67,MATCH(B202,'ei names mapping'!$A$4:$A$33,0),MATCH(G229,'ei names mapping'!$B$3:$BK$3,0))</f>
        <v>CH</v>
      </c>
      <c r="D229" s="12" t="str">
        <f>INDEX('ei names mapping'!$B$104:$BK$133,MATCH(B202,'ei names mapping'!$A$4:$A$33,0),MATCH(G229,'ei names mapping'!$B$3:$BK$3,0))</f>
        <v>kilowatt hour</v>
      </c>
      <c r="E229" s="12"/>
      <c r="F229" s="12" t="s">
        <v>91</v>
      </c>
      <c r="G229" t="s">
        <v>28</v>
      </c>
      <c r="H229" s="12" t="str">
        <f>INDEX('ei names mapping'!$B$71:$BK$100,MATCH(B202,'ei names mapping'!$A$4:$A$33,0),MATCH(G229,'ei names mapping'!$B$3:$BK$3,0))</f>
        <v>electricity, medium voltage</v>
      </c>
    </row>
    <row r="230" spans="1:8" s="21" customFormat="1" x14ac:dyDescent="0.3">
      <c r="A230" s="12" t="s">
        <v>575</v>
      </c>
      <c r="B230" s="15">
        <f>0.00000971/B211</f>
        <v>2.5552631578947371E-7</v>
      </c>
      <c r="C230" s="12" t="s">
        <v>98</v>
      </c>
      <c r="D230" s="12" t="s">
        <v>78</v>
      </c>
      <c r="E230" s="12"/>
      <c r="F230" s="12" t="s">
        <v>91</v>
      </c>
      <c r="G230" s="21" t="s">
        <v>577</v>
      </c>
      <c r="H230" s="12" t="s">
        <v>576</v>
      </c>
    </row>
    <row r="231" spans="1:8" x14ac:dyDescent="0.3">
      <c r="A231" s="12" t="str">
        <f>INDEX('ei names mapping'!$B$4:$R$33,MATCH(B202,'ei names mapping'!$A$4:$A$33,0),MATCH(G231,'ei names mapping'!$B$3:$R$3,0))</f>
        <v>maintenance, tram</v>
      </c>
      <c r="B231" s="15">
        <f>INDEX('vehicles specifications'!$B$3:$CK$86,MATCH(B205,'vehicles specifications'!$A$3:$A$86,0),MATCH(G231,'vehicles specifications'!$B$2:$CK$2,0))*INDEX('ei names mapping'!$B$137:$BK$220,MATCH(B205,'ei names mapping'!$A$137:$A$220,0),MATCH(G231,'ei names mapping'!$B$136:$BK$136,0))</f>
        <v>1.2531328320802004E-8</v>
      </c>
      <c r="C231" s="12" t="str">
        <f>INDEX('ei names mapping'!$B$38:$BK$67,MATCH(B202,'ei names mapping'!$A$4:$A$33,0),MATCH(G231,'ei names mapping'!$B$3:$BK$3,0))</f>
        <v>CH</v>
      </c>
      <c r="D231" s="12" t="str">
        <f>INDEX('ei names mapping'!$B$104:$BK$133,MATCH(B202,'ei names mapping'!$A$4:$A$33,0),MATCH(G231,'ei names mapping'!$B$3:$BK$3,0))</f>
        <v>unit</v>
      </c>
      <c r="E231" s="12"/>
      <c r="F231" s="12" t="s">
        <v>91</v>
      </c>
      <c r="G231" t="s">
        <v>123</v>
      </c>
      <c r="H231" s="12" t="str">
        <f>INDEX('ei names mapping'!$B$71:$BK$100,MATCH(B202,'ei names mapping'!$A$4:$A$33,0),MATCH(G231,'ei names mapping'!$B$3:$BK$3,0))</f>
        <v>maintenance, tram</v>
      </c>
    </row>
    <row r="232" spans="1:8" s="21" customFormat="1" x14ac:dyDescent="0.3">
      <c r="A232" s="21" t="s">
        <v>578</v>
      </c>
      <c r="B232" s="15">
        <f>B230</f>
        <v>2.5552631578947371E-7</v>
      </c>
      <c r="C232" s="12"/>
      <c r="D232" s="12" t="s">
        <v>78</v>
      </c>
      <c r="E232" s="12" t="s">
        <v>171</v>
      </c>
      <c r="F232" s="12" t="s">
        <v>173</v>
      </c>
      <c r="G232" s="12" t="s">
        <v>579</v>
      </c>
      <c r="H232" s="12"/>
    </row>
    <row r="233" spans="1:8" s="21" customFormat="1" x14ac:dyDescent="0.3">
      <c r="A233" s="21" t="s">
        <v>464</v>
      </c>
      <c r="B233" s="15">
        <f>0.00000016/B211</f>
        <v>4.2105263157894742E-9</v>
      </c>
      <c r="C233" s="12"/>
      <c r="D233" s="12" t="s">
        <v>78</v>
      </c>
      <c r="E233" s="12" t="s">
        <v>171</v>
      </c>
      <c r="F233" s="12" t="s">
        <v>173</v>
      </c>
      <c r="G233" s="12" t="s">
        <v>584</v>
      </c>
      <c r="H233" s="12"/>
    </row>
    <row r="234" spans="1:8" s="21" customFormat="1" x14ac:dyDescent="0.3">
      <c r="A234" s="21" t="s">
        <v>580</v>
      </c>
      <c r="B234" s="15">
        <f>0.00000032/B211</f>
        <v>8.4210526315789483E-9</v>
      </c>
      <c r="C234" s="12"/>
      <c r="D234" s="12" t="s">
        <v>78</v>
      </c>
      <c r="E234" s="12" t="s">
        <v>171</v>
      </c>
      <c r="F234" s="12" t="s">
        <v>173</v>
      </c>
      <c r="G234" s="12" t="s">
        <v>584</v>
      </c>
      <c r="H234" s="12"/>
    </row>
    <row r="235" spans="1:8" s="21" customFormat="1" x14ac:dyDescent="0.3">
      <c r="A235" s="21" t="s">
        <v>581</v>
      </c>
      <c r="B235" s="15">
        <f>0.00000033/B211</f>
        <v>8.6842105263157895E-9</v>
      </c>
      <c r="C235" s="12"/>
      <c r="D235" s="12" t="s">
        <v>78</v>
      </c>
      <c r="E235" s="12" t="s">
        <v>171</v>
      </c>
      <c r="F235" s="12" t="s">
        <v>173</v>
      </c>
      <c r="G235" s="12" t="s">
        <v>584</v>
      </c>
      <c r="H235" s="12"/>
    </row>
    <row r="236" spans="1:8" s="21" customFormat="1" x14ac:dyDescent="0.3">
      <c r="A236" s="21" t="s">
        <v>464</v>
      </c>
      <c r="B236" s="15">
        <f>0.000009/B211</f>
        <v>2.368421052631579E-7</v>
      </c>
      <c r="C236" s="12"/>
      <c r="D236" s="12" t="s">
        <v>78</v>
      </c>
      <c r="E236" s="12" t="s">
        <v>171</v>
      </c>
      <c r="F236" s="12" t="s">
        <v>173</v>
      </c>
      <c r="G236" s="12" t="s">
        <v>585</v>
      </c>
      <c r="H236" s="12"/>
    </row>
    <row r="237" spans="1:8" s="21" customFormat="1" x14ac:dyDescent="0.3">
      <c r="A237" s="21" t="s">
        <v>580</v>
      </c>
      <c r="B237" s="15">
        <f>0.000018/B211</f>
        <v>4.736842105263158E-7</v>
      </c>
      <c r="C237" s="12"/>
      <c r="D237" s="12" t="s">
        <v>78</v>
      </c>
      <c r="E237" s="12" t="s">
        <v>171</v>
      </c>
      <c r="F237" s="12" t="s">
        <v>173</v>
      </c>
      <c r="G237" s="12" t="s">
        <v>585</v>
      </c>
      <c r="H237" s="12"/>
    </row>
    <row r="238" spans="1:8" s="21" customFormat="1" x14ac:dyDescent="0.3">
      <c r="A238" s="21" t="s">
        <v>464</v>
      </c>
      <c r="B238" s="15">
        <f>0.000004/B211</f>
        <v>1.0526315789473683E-7</v>
      </c>
      <c r="C238" s="12"/>
      <c r="D238" s="12" t="s">
        <v>78</v>
      </c>
      <c r="E238" s="12" t="s">
        <v>171</v>
      </c>
      <c r="F238" s="12" t="s">
        <v>173</v>
      </c>
      <c r="G238" s="12" t="s">
        <v>586</v>
      </c>
      <c r="H238" s="12"/>
    </row>
    <row r="239" spans="1:8" s="21" customFormat="1" x14ac:dyDescent="0.3">
      <c r="A239" s="21" t="s">
        <v>580</v>
      </c>
      <c r="B239" s="15">
        <f>0.000008/B211</f>
        <v>2.1052631578947366E-7</v>
      </c>
      <c r="C239" s="12"/>
      <c r="D239" s="12" t="s">
        <v>78</v>
      </c>
      <c r="E239" s="12" t="s">
        <v>171</v>
      </c>
      <c r="F239" s="12" t="s">
        <v>173</v>
      </c>
      <c r="G239" s="12" t="s">
        <v>586</v>
      </c>
      <c r="H239" s="12"/>
    </row>
    <row r="240" spans="1:8" s="21" customFormat="1" x14ac:dyDescent="0.3">
      <c r="A240" s="21" t="s">
        <v>582</v>
      </c>
      <c r="B240" s="15">
        <f>0.00000008/B211</f>
        <v>2.1052631578947371E-9</v>
      </c>
      <c r="C240" s="12"/>
      <c r="D240" s="12" t="s">
        <v>78</v>
      </c>
      <c r="E240" s="12" t="s">
        <v>171</v>
      </c>
      <c r="F240" s="12" t="s">
        <v>173</v>
      </c>
      <c r="G240" s="12" t="s">
        <v>586</v>
      </c>
      <c r="H240" s="12"/>
    </row>
    <row r="241" spans="1:8" s="21" customFormat="1" x14ac:dyDescent="0.3">
      <c r="A241" s="21" t="s">
        <v>583</v>
      </c>
      <c r="B241" s="15">
        <f>0.00000016/B211</f>
        <v>4.2105263157894742E-9</v>
      </c>
      <c r="C241" s="12"/>
      <c r="D241" s="12" t="s">
        <v>78</v>
      </c>
      <c r="E241" s="12" t="s">
        <v>171</v>
      </c>
      <c r="F241" s="12" t="s">
        <v>173</v>
      </c>
      <c r="G241" s="12" t="s">
        <v>586</v>
      </c>
      <c r="H241" s="12"/>
    </row>
    <row r="243" spans="1:8" ht="15.6" x14ac:dyDescent="0.3">
      <c r="A243" s="11" t="s">
        <v>72</v>
      </c>
      <c r="B243" s="9" t="str">
        <f>"transport, "&amp;B245&amp;", "&amp;B247</f>
        <v>transport, Tram, electric, 2040</v>
      </c>
    </row>
    <row r="244" spans="1:8" x14ac:dyDescent="0.3">
      <c r="A244" t="s">
        <v>73</v>
      </c>
      <c r="B244" t="s">
        <v>37</v>
      </c>
    </row>
    <row r="245" spans="1:8" x14ac:dyDescent="0.3">
      <c r="A245" t="s">
        <v>87</v>
      </c>
      <c r="B245" s="21" t="s">
        <v>519</v>
      </c>
    </row>
    <row r="246" spans="1:8" x14ac:dyDescent="0.3">
      <c r="A246" t="s">
        <v>88</v>
      </c>
      <c r="B246" s="12"/>
    </row>
    <row r="247" spans="1:8" x14ac:dyDescent="0.3">
      <c r="A247" t="s">
        <v>89</v>
      </c>
      <c r="B247" s="12">
        <v>2040</v>
      </c>
    </row>
    <row r="248" spans="1:8" x14ac:dyDescent="0.3">
      <c r="A248" t="s">
        <v>131</v>
      </c>
      <c r="B248" s="12" t="str">
        <f>B245&amp;" - "&amp;B247&amp;" - "&amp;B244</f>
        <v>Tram, electric - 2040 - CH</v>
      </c>
    </row>
    <row r="249" spans="1:8" x14ac:dyDescent="0.3">
      <c r="A249" t="s">
        <v>74</v>
      </c>
      <c r="B249" s="12" t="str">
        <f>"transport, "&amp;B245</f>
        <v>transport, Tram, electric</v>
      </c>
    </row>
    <row r="250" spans="1:8" x14ac:dyDescent="0.3">
      <c r="A250" t="s">
        <v>75</v>
      </c>
      <c r="B250" t="s">
        <v>76</v>
      </c>
    </row>
    <row r="251" spans="1:8" x14ac:dyDescent="0.3">
      <c r="A251" t="s">
        <v>77</v>
      </c>
      <c r="B251" t="s">
        <v>175</v>
      </c>
    </row>
    <row r="252" spans="1:8" x14ac:dyDescent="0.3">
      <c r="A252" t="s">
        <v>79</v>
      </c>
      <c r="B252" t="s">
        <v>90</v>
      </c>
    </row>
    <row r="253" spans="1:8" x14ac:dyDescent="0.3">
      <c r="A253" t="s">
        <v>132</v>
      </c>
      <c r="B253">
        <f>INDEX('vehicles specifications'!$B$3:$CK$86,MATCH(B248,'vehicles specifications'!$A$3:$A$86,0),MATCH("Lifetime [km]",'vehicles specifications'!$B$2:$CK$2,0))</f>
        <v>2800000</v>
      </c>
    </row>
    <row r="254" spans="1:8" x14ac:dyDescent="0.3">
      <c r="A254" t="s">
        <v>133</v>
      </c>
      <c r="B254">
        <f>INDEX('vehicles specifications'!$B$3:$CK$86,MATCH(B248,'vehicles specifications'!$A$3:$A$86,0),MATCH("Passengers [unit]",'vehicles specifications'!$B$2:$CK$2,0))</f>
        <v>38</v>
      </c>
    </row>
    <row r="255" spans="1:8" x14ac:dyDescent="0.3">
      <c r="A255" t="s">
        <v>134</v>
      </c>
      <c r="B255">
        <f>INDEX('vehicles specifications'!$B$3:$CK$86,MATCH(B248,'vehicles specifications'!$A$3:$A$86,0),MATCH("Servicing [unit]",'vehicles specifications'!$B$2:$CK$2,0))</f>
        <v>1.3333333333333333</v>
      </c>
    </row>
    <row r="256" spans="1:8" x14ac:dyDescent="0.3">
      <c r="A256" t="s">
        <v>135</v>
      </c>
      <c r="B256">
        <f>INDEX('vehicles specifications'!$B$3:$CK$86,MATCH(B248,'vehicles specifications'!$A$3:$A$86,0),MATCH("Energy battery replacement [unit]",'vehicles specifications'!$B$2:$CK$2,0))</f>
        <v>0</v>
      </c>
    </row>
    <row r="257" spans="1:8" x14ac:dyDescent="0.3">
      <c r="A257" t="s">
        <v>136</v>
      </c>
      <c r="B257">
        <f>INDEX('vehicles specifications'!$B$3:$CK$86,MATCH(B248,'vehicles specifications'!$A$3:$A$86,0),MATCH("Annual kilometers [km]",'vehicles specifications'!$B$2:$CK$2,0))</f>
        <v>70000</v>
      </c>
    </row>
    <row r="258" spans="1:8" x14ac:dyDescent="0.3">
      <c r="A258" t="s">
        <v>137</v>
      </c>
      <c r="B258">
        <f>INDEX('vehicles specifications'!$B$3:$CK$86,MATCH(B248,'vehicles specifications'!$A$3:$A$86,0),MATCH("Curb mass [kg]",'vehicles specifications'!$B$2:$CK$2,0))</f>
        <v>51202</v>
      </c>
    </row>
    <row r="259" spans="1:8" x14ac:dyDescent="0.3">
      <c r="A259" t="s">
        <v>138</v>
      </c>
      <c r="B259">
        <f>INDEX('vehicles specifications'!$B$3:$CK$86,MATCH(B248,'vehicles specifications'!$A$3:$A$86,0),MATCH("Power [kW]",'vehicles specifications'!$B$2:$CK$2,0))</f>
        <v>660</v>
      </c>
    </row>
    <row r="260" spans="1:8" x14ac:dyDescent="0.3">
      <c r="A260" t="s">
        <v>139</v>
      </c>
      <c r="B260">
        <f>INDEX('vehicles specifications'!$B$3:$CK$86,MATCH(B248,'vehicles specifications'!$A$3:$A$86,0),MATCH("Energy battery mass [kg]",'vehicles specifications'!$B$2:$CK$2,0))</f>
        <v>0</v>
      </c>
    </row>
    <row r="261" spans="1:8" x14ac:dyDescent="0.3">
      <c r="A261" t="s">
        <v>140</v>
      </c>
      <c r="B261">
        <f>INDEX('vehicles specifications'!$B$3:$CK$86,MATCH(B248,'vehicles specifications'!$A$3:$A$86,0),MATCH("Electric energy available [kWh]",'vehicles specifications'!$B$2:$CK$2,0))</f>
        <v>0</v>
      </c>
    </row>
    <row r="262" spans="1:8" x14ac:dyDescent="0.3">
      <c r="A262" t="s">
        <v>143</v>
      </c>
      <c r="B262">
        <f>INDEX('vehicles specifications'!$B$3:$CK$86,MATCH(B248,'vehicles specifications'!$A$3:$A$86,0),MATCH("Oxydation energy stored [kWh]",'vehicles specifications'!$B$2:$CK$2,0))</f>
        <v>0</v>
      </c>
    </row>
    <row r="263" spans="1:8" x14ac:dyDescent="0.3">
      <c r="A263" t="s">
        <v>145</v>
      </c>
      <c r="B263">
        <f>INDEX('vehicles specifications'!$B$3:$CK$86,MATCH(B248,'vehicles specifications'!$A$3:$A$86,0),MATCH("Fuel mass [kg]",'vehicles specifications'!$B$2:$CK$2,0))</f>
        <v>0</v>
      </c>
    </row>
    <row r="264" spans="1:8" x14ac:dyDescent="0.3">
      <c r="A264" t="s">
        <v>141</v>
      </c>
      <c r="B264">
        <f>INDEX('vehicles specifications'!$B$3:$CK$86,MATCH(B248,'vehicles specifications'!$A$3:$A$86,0),MATCH("Range [km]",'vehicles specifications'!$B$2:$CK$2,0))</f>
        <v>0</v>
      </c>
    </row>
    <row r="265" spans="1:8" x14ac:dyDescent="0.3">
      <c r="A265" t="s">
        <v>142</v>
      </c>
      <c r="B265" t="str">
        <f>INDEX('vehicles specifications'!$B$3:$CK$86,MATCH(B248,'vehicles specifications'!$A$3:$A$86,0),MATCH("Emission standard",'vehicles specifications'!$B$2:$CK$2,0))</f>
        <v>None</v>
      </c>
    </row>
    <row r="266" spans="1:8" x14ac:dyDescent="0.3">
      <c r="A266" t="s">
        <v>144</v>
      </c>
      <c r="B266" s="6">
        <f>INDEX('vehicles specifications'!$B$3:$CK$86,MATCH(B248,'vehicles specifications'!$A$3:$A$86,0),MATCH("Lightweighting rate [%]",'vehicles specifications'!$B$2:$CK$2,0))</f>
        <v>0.05</v>
      </c>
    </row>
    <row r="267" spans="1:8" x14ac:dyDescent="0.3">
      <c r="A267" t="s">
        <v>84</v>
      </c>
      <c r="B267" s="21" t="str">
        <f>"Power: "&amp;B259&amp;" kW. Lifetime: "&amp;B253&amp;" km. Annual kilometers: "&amp;B257&amp;" km. Number of passengers: "&amp;B254&amp;". Curb mass: "&amp;ROUND(B258,1)&amp;" kg. Lightweighting of glider: "&amp;ROUND(B266*100,0)&amp;"%. Emission standard: "&amp;B265&amp;". Service visits throughout lifetime: every year for "&amp;B253/B257&amp;" years. Range: "&amp;ROUND(B264,0)&amp;" km. Battery capacity: "&amp;ROUND(B261,1)&amp;" kWh. Battery mass: "&amp;ROUND(B260,1)&amp; " kg. Battery replacement throughout lifetime: "&amp;ROUND(B256,1)&amp;". Fuel tank capacity: "&amp;ROUND(B262,1)&amp;" kWh. Fuel mass: "&amp;ROUND(B263,1)&amp;" kg. Documentation: "&amp;Readmefirst!$B$2&amp;", "&amp;Readmefirst!$B$3&amp;". "&amp;B252</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68" spans="1:8" ht="15.6" x14ac:dyDescent="0.3">
      <c r="A268" s="11" t="s">
        <v>80</v>
      </c>
    </row>
    <row r="269" spans="1:8" x14ac:dyDescent="0.3">
      <c r="A269" t="s">
        <v>81</v>
      </c>
      <c r="B269" t="s">
        <v>82</v>
      </c>
      <c r="C269" t="s">
        <v>73</v>
      </c>
      <c r="D269" t="s">
        <v>77</v>
      </c>
      <c r="E269" t="s">
        <v>83</v>
      </c>
      <c r="F269" t="s">
        <v>75</v>
      </c>
      <c r="G269" t="s">
        <v>84</v>
      </c>
      <c r="H269" t="s">
        <v>74</v>
      </c>
    </row>
    <row r="270" spans="1:8" x14ac:dyDescent="0.3">
      <c r="A270" s="12" t="str">
        <f>B243</f>
        <v>transport, Tram, electric, 2040</v>
      </c>
      <c r="B270" s="12">
        <v>1</v>
      </c>
      <c r="C270" s="12" t="str">
        <f>B244</f>
        <v>CH</v>
      </c>
      <c r="D270" s="12" t="str">
        <f>B251</f>
        <v>person-kilometer</v>
      </c>
      <c r="E270" s="12"/>
      <c r="F270" s="12" t="s">
        <v>85</v>
      </c>
      <c r="G270" s="12" t="s">
        <v>86</v>
      </c>
      <c r="H270" s="12" t="str">
        <f>B249</f>
        <v>transport, Tram, electric</v>
      </c>
    </row>
    <row r="271" spans="1:8" x14ac:dyDescent="0.3">
      <c r="A271" s="12" t="str">
        <f>RIGHT(A270,LEN(A270)-11)</f>
        <v>Tram, electric, 2040</v>
      </c>
      <c r="B271" s="24">
        <f>1/B253/B254</f>
        <v>9.3984962406015038E-9</v>
      </c>
      <c r="C271" s="12" t="str">
        <f>B244</f>
        <v>CH</v>
      </c>
      <c r="D271" s="12" t="s">
        <v>77</v>
      </c>
      <c r="E271" s="12"/>
      <c r="F271" s="12" t="s">
        <v>91</v>
      </c>
      <c r="G271" s="12"/>
      <c r="H271" s="12" t="str">
        <f>RIGHT(H270,LEN(H270)-11)</f>
        <v>Tram, electric</v>
      </c>
    </row>
    <row r="272" spans="1:8" x14ac:dyDescent="0.3">
      <c r="A272" s="12" t="str">
        <f>INDEX('ei names mapping'!$B$4:$R$33,MATCH(B245,'ei names mapping'!$A$4:$A$33,0),MATCH(G272,'ei names mapping'!$B$3:$R$3,0))</f>
        <v>market for electricity, medium voltage</v>
      </c>
      <c r="B272" s="14">
        <f>INDEX('vehicles specifications'!$B$3:$CK$86,MATCH(B248,'vehicles specifications'!$A$3:$A$86,0),MATCH(G272,'vehicles specifications'!$B$2:$CK$2,0))*INDEX('ei names mapping'!$B$137:$BK$220,MATCH(B248,'ei names mapping'!$A$137:$A$220,0),MATCH(G272,'ei names mapping'!$B$136:$BK$136,0))</f>
        <v>9.7222222222222224E-2</v>
      </c>
      <c r="C272" s="12" t="str">
        <f>INDEX('ei names mapping'!$B$38:$BK$67,MATCH(B245,'ei names mapping'!$A$4:$A$33,0),MATCH(G272,'ei names mapping'!$B$3:$BK$3,0))</f>
        <v>CH</v>
      </c>
      <c r="D272" s="12" t="str">
        <f>INDEX('ei names mapping'!$B$104:$BK$133,MATCH(B245,'ei names mapping'!$A$4:$A$33,0),MATCH(G272,'ei names mapping'!$B$3:$BK$3,0))</f>
        <v>kilowatt hour</v>
      </c>
      <c r="E272" s="12"/>
      <c r="F272" s="12" t="s">
        <v>91</v>
      </c>
      <c r="G272" t="s">
        <v>28</v>
      </c>
      <c r="H272" s="12" t="str">
        <f>INDEX('ei names mapping'!$B$71:$BK$100,MATCH(B245,'ei names mapping'!$A$4:$A$33,0),MATCH(G272,'ei names mapping'!$B$3:$BK$3,0))</f>
        <v>electricity, medium voltage</v>
      </c>
    </row>
    <row r="273" spans="1:8" s="21" customFormat="1" x14ac:dyDescent="0.3">
      <c r="A273" s="12" t="s">
        <v>575</v>
      </c>
      <c r="B273" s="15">
        <f>0.00000971/B254</f>
        <v>2.5552631578947371E-7</v>
      </c>
      <c r="C273" s="12" t="s">
        <v>98</v>
      </c>
      <c r="D273" s="12" t="s">
        <v>78</v>
      </c>
      <c r="E273" s="12"/>
      <c r="F273" s="12" t="s">
        <v>91</v>
      </c>
      <c r="G273" s="21" t="s">
        <v>577</v>
      </c>
      <c r="H273" s="12" t="s">
        <v>576</v>
      </c>
    </row>
    <row r="274" spans="1:8" x14ac:dyDescent="0.3">
      <c r="A274" s="12" t="str">
        <f>INDEX('ei names mapping'!$B$4:$R$33,MATCH(B245,'ei names mapping'!$A$4:$A$33,0),MATCH(G274,'ei names mapping'!$B$3:$R$3,0))</f>
        <v>maintenance, tram</v>
      </c>
      <c r="B274" s="15">
        <f>INDEX('vehicles specifications'!$B$3:$CK$86,MATCH(B248,'vehicles specifications'!$A$3:$A$86,0),MATCH(G274,'vehicles specifications'!$B$2:$CK$2,0))*INDEX('ei names mapping'!$B$137:$BK$220,MATCH(B248,'ei names mapping'!$A$137:$A$220,0),MATCH(G274,'ei names mapping'!$B$136:$BK$136,0))</f>
        <v>1.2531328320802004E-8</v>
      </c>
      <c r="C274" s="12" t="str">
        <f>INDEX('ei names mapping'!$B$38:$BK$67,MATCH(B245,'ei names mapping'!$A$4:$A$33,0),MATCH(G274,'ei names mapping'!$B$3:$BK$3,0))</f>
        <v>CH</v>
      </c>
      <c r="D274" s="12" t="str">
        <f>INDEX('ei names mapping'!$B$104:$BK$133,MATCH(B245,'ei names mapping'!$A$4:$A$33,0),MATCH(G274,'ei names mapping'!$B$3:$BK$3,0))</f>
        <v>unit</v>
      </c>
      <c r="E274" s="12"/>
      <c r="F274" s="12" t="s">
        <v>91</v>
      </c>
      <c r="G274" t="s">
        <v>123</v>
      </c>
      <c r="H274" s="12" t="str">
        <f>INDEX('ei names mapping'!$B$71:$BK$100,MATCH(B245,'ei names mapping'!$A$4:$A$33,0),MATCH(G274,'ei names mapping'!$B$3:$BK$3,0))</f>
        <v>maintenance, tram</v>
      </c>
    </row>
    <row r="275" spans="1:8" s="21" customFormat="1" x14ac:dyDescent="0.3">
      <c r="A275" s="21" t="s">
        <v>578</v>
      </c>
      <c r="B275" s="15">
        <f>B273</f>
        <v>2.5552631578947371E-7</v>
      </c>
      <c r="C275" s="12"/>
      <c r="D275" s="12" t="s">
        <v>78</v>
      </c>
      <c r="E275" s="12" t="s">
        <v>171</v>
      </c>
      <c r="F275" s="12" t="s">
        <v>173</v>
      </c>
      <c r="G275" s="12" t="s">
        <v>579</v>
      </c>
      <c r="H275" s="12"/>
    </row>
    <row r="276" spans="1:8" s="21" customFormat="1" x14ac:dyDescent="0.3">
      <c r="A276" s="21" t="s">
        <v>464</v>
      </c>
      <c r="B276" s="15">
        <f>0.00000016/B254</f>
        <v>4.2105263157894742E-9</v>
      </c>
      <c r="C276" s="12"/>
      <c r="D276" s="12" t="s">
        <v>78</v>
      </c>
      <c r="E276" s="12" t="s">
        <v>171</v>
      </c>
      <c r="F276" s="12" t="s">
        <v>173</v>
      </c>
      <c r="G276" s="12" t="s">
        <v>584</v>
      </c>
      <c r="H276" s="12"/>
    </row>
    <row r="277" spans="1:8" s="21" customFormat="1" x14ac:dyDescent="0.3">
      <c r="A277" s="21" t="s">
        <v>580</v>
      </c>
      <c r="B277" s="15">
        <f>0.00000032/B254</f>
        <v>8.4210526315789483E-9</v>
      </c>
      <c r="C277" s="12"/>
      <c r="D277" s="12" t="s">
        <v>78</v>
      </c>
      <c r="E277" s="12" t="s">
        <v>171</v>
      </c>
      <c r="F277" s="12" t="s">
        <v>173</v>
      </c>
      <c r="G277" s="12" t="s">
        <v>584</v>
      </c>
      <c r="H277" s="12"/>
    </row>
    <row r="278" spans="1:8" s="21" customFormat="1" x14ac:dyDescent="0.3">
      <c r="A278" s="21" t="s">
        <v>581</v>
      </c>
      <c r="B278" s="15">
        <f>0.00000033/B254</f>
        <v>8.6842105263157895E-9</v>
      </c>
      <c r="C278" s="12"/>
      <c r="D278" s="12" t="s">
        <v>78</v>
      </c>
      <c r="E278" s="12" t="s">
        <v>171</v>
      </c>
      <c r="F278" s="12" t="s">
        <v>173</v>
      </c>
      <c r="G278" s="12" t="s">
        <v>584</v>
      </c>
      <c r="H278" s="12"/>
    </row>
    <row r="279" spans="1:8" s="21" customFormat="1" x14ac:dyDescent="0.3">
      <c r="A279" s="21" t="s">
        <v>464</v>
      </c>
      <c r="B279" s="15">
        <f>0.000009/B254</f>
        <v>2.368421052631579E-7</v>
      </c>
      <c r="C279" s="12"/>
      <c r="D279" s="12" t="s">
        <v>78</v>
      </c>
      <c r="E279" s="12" t="s">
        <v>171</v>
      </c>
      <c r="F279" s="12" t="s">
        <v>173</v>
      </c>
      <c r="G279" s="12" t="s">
        <v>585</v>
      </c>
      <c r="H279" s="12"/>
    </row>
    <row r="280" spans="1:8" s="21" customFormat="1" x14ac:dyDescent="0.3">
      <c r="A280" s="21" t="s">
        <v>580</v>
      </c>
      <c r="B280" s="15">
        <f>0.000018/B254</f>
        <v>4.736842105263158E-7</v>
      </c>
      <c r="C280" s="12"/>
      <c r="D280" s="12" t="s">
        <v>78</v>
      </c>
      <c r="E280" s="12" t="s">
        <v>171</v>
      </c>
      <c r="F280" s="12" t="s">
        <v>173</v>
      </c>
      <c r="G280" s="12" t="s">
        <v>585</v>
      </c>
      <c r="H280" s="12"/>
    </row>
    <row r="281" spans="1:8" s="21" customFormat="1" x14ac:dyDescent="0.3">
      <c r="A281" s="21" t="s">
        <v>464</v>
      </c>
      <c r="B281" s="15">
        <f>0.000004/B254</f>
        <v>1.0526315789473683E-7</v>
      </c>
      <c r="C281" s="12"/>
      <c r="D281" s="12" t="s">
        <v>78</v>
      </c>
      <c r="E281" s="12" t="s">
        <v>171</v>
      </c>
      <c r="F281" s="12" t="s">
        <v>173</v>
      </c>
      <c r="G281" s="12" t="s">
        <v>586</v>
      </c>
      <c r="H281" s="12"/>
    </row>
    <row r="282" spans="1:8" s="21" customFormat="1" x14ac:dyDescent="0.3">
      <c r="A282" s="21" t="s">
        <v>580</v>
      </c>
      <c r="B282" s="15">
        <f>0.000008/B254</f>
        <v>2.1052631578947366E-7</v>
      </c>
      <c r="C282" s="12"/>
      <c r="D282" s="12" t="s">
        <v>78</v>
      </c>
      <c r="E282" s="12" t="s">
        <v>171</v>
      </c>
      <c r="F282" s="12" t="s">
        <v>173</v>
      </c>
      <c r="G282" s="12" t="s">
        <v>586</v>
      </c>
      <c r="H282" s="12"/>
    </row>
    <row r="283" spans="1:8" s="21" customFormat="1" x14ac:dyDescent="0.3">
      <c r="A283" s="21" t="s">
        <v>582</v>
      </c>
      <c r="B283" s="15">
        <f>0.00000008/B254</f>
        <v>2.1052631578947371E-9</v>
      </c>
      <c r="C283" s="12"/>
      <c r="D283" s="12" t="s">
        <v>78</v>
      </c>
      <c r="E283" s="12" t="s">
        <v>171</v>
      </c>
      <c r="F283" s="12" t="s">
        <v>173</v>
      </c>
      <c r="G283" s="12" t="s">
        <v>586</v>
      </c>
      <c r="H283" s="12"/>
    </row>
    <row r="284" spans="1:8" s="21" customFormat="1" x14ac:dyDescent="0.3">
      <c r="A284" s="21" t="s">
        <v>583</v>
      </c>
      <c r="B284" s="15">
        <f>0.00000016/B254</f>
        <v>4.2105263157894742E-9</v>
      </c>
      <c r="C284" s="12"/>
      <c r="D284" s="12" t="s">
        <v>78</v>
      </c>
      <c r="E284" s="12" t="s">
        <v>171</v>
      </c>
      <c r="F284" s="12" t="s">
        <v>173</v>
      </c>
      <c r="G284" s="12" t="s">
        <v>586</v>
      </c>
      <c r="H284" s="12"/>
    </row>
    <row r="286" spans="1:8" ht="15.6" x14ac:dyDescent="0.3">
      <c r="A286" s="11" t="s">
        <v>72</v>
      </c>
      <c r="B286" s="9" t="str">
        <f>"transport, "&amp;B288&amp;", "&amp;B290</f>
        <v>transport, Tram, electric, 2050</v>
      </c>
    </row>
    <row r="287" spans="1:8" x14ac:dyDescent="0.3">
      <c r="A287" t="s">
        <v>73</v>
      </c>
      <c r="B287" t="s">
        <v>37</v>
      </c>
    </row>
    <row r="288" spans="1:8" x14ac:dyDescent="0.3">
      <c r="A288" t="s">
        <v>87</v>
      </c>
      <c r="B288" s="21" t="s">
        <v>519</v>
      </c>
    </row>
    <row r="289" spans="1:2" x14ac:dyDescent="0.3">
      <c r="A289" t="s">
        <v>88</v>
      </c>
      <c r="B289" s="12"/>
    </row>
    <row r="290" spans="1:2" x14ac:dyDescent="0.3">
      <c r="A290" t="s">
        <v>89</v>
      </c>
      <c r="B290" s="12">
        <v>2050</v>
      </c>
    </row>
    <row r="291" spans="1:2" x14ac:dyDescent="0.3">
      <c r="A291" t="s">
        <v>131</v>
      </c>
      <c r="B291" s="12" t="str">
        <f>B288&amp;" - "&amp;B290&amp;" - "&amp;B287</f>
        <v>Tram, electric - 2050 - CH</v>
      </c>
    </row>
    <row r="292" spans="1:2" x14ac:dyDescent="0.3">
      <c r="A292" t="s">
        <v>74</v>
      </c>
      <c r="B292" s="12" t="str">
        <f>"transport, "&amp;B288</f>
        <v>transport, Tram, electric</v>
      </c>
    </row>
    <row r="293" spans="1:2" x14ac:dyDescent="0.3">
      <c r="A293" t="s">
        <v>75</v>
      </c>
      <c r="B293" t="s">
        <v>76</v>
      </c>
    </row>
    <row r="294" spans="1:2" x14ac:dyDescent="0.3">
      <c r="A294" t="s">
        <v>77</v>
      </c>
      <c r="B294" t="s">
        <v>175</v>
      </c>
    </row>
    <row r="295" spans="1:2" x14ac:dyDescent="0.3">
      <c r="A295" t="s">
        <v>79</v>
      </c>
      <c r="B295" t="s">
        <v>90</v>
      </c>
    </row>
    <row r="296" spans="1:2" x14ac:dyDescent="0.3">
      <c r="A296" t="s">
        <v>132</v>
      </c>
      <c r="B296">
        <f>INDEX('vehicles specifications'!$B$3:$CK$86,MATCH(B291,'vehicles specifications'!$A$3:$A$86,0),MATCH("Lifetime [km]",'vehicles specifications'!$B$2:$CK$2,0))</f>
        <v>2800000</v>
      </c>
    </row>
    <row r="297" spans="1:2" x14ac:dyDescent="0.3">
      <c r="A297" t="s">
        <v>133</v>
      </c>
      <c r="B297">
        <f>INDEX('vehicles specifications'!$B$3:$CK$86,MATCH(B291,'vehicles specifications'!$A$3:$A$86,0),MATCH("Passengers [unit]",'vehicles specifications'!$B$2:$CK$2,0))</f>
        <v>38</v>
      </c>
    </row>
    <row r="298" spans="1:2" x14ac:dyDescent="0.3">
      <c r="A298" t="s">
        <v>134</v>
      </c>
      <c r="B298" s="6">
        <f>INDEX('vehicles specifications'!$B$3:$CK$86,MATCH(B291,'vehicles specifications'!$A$3:$A$86,0),MATCH("Servicing [unit]",'vehicles specifications'!$B$2:$CK$2,0))</f>
        <v>1.3333333333333333</v>
      </c>
    </row>
    <row r="299" spans="1:2" x14ac:dyDescent="0.3">
      <c r="A299" t="s">
        <v>135</v>
      </c>
      <c r="B299">
        <f>INDEX('vehicles specifications'!$B$3:$CK$86,MATCH(B291,'vehicles specifications'!$A$3:$A$86,0),MATCH("Energy battery replacement [unit]",'vehicles specifications'!$B$2:$CK$2,0))</f>
        <v>0</v>
      </c>
    </row>
    <row r="300" spans="1:2" x14ac:dyDescent="0.3">
      <c r="A300" t="s">
        <v>136</v>
      </c>
      <c r="B300">
        <f>INDEX('vehicles specifications'!$B$3:$CK$86,MATCH(B291,'vehicles specifications'!$A$3:$A$86,0),MATCH("Annual kilometers [km]",'vehicles specifications'!$B$2:$CK$2,0))</f>
        <v>70000</v>
      </c>
    </row>
    <row r="301" spans="1:2" x14ac:dyDescent="0.3">
      <c r="A301" t="s">
        <v>137</v>
      </c>
      <c r="B301">
        <f>INDEX('vehicles specifications'!$B$3:$CK$86,MATCH(B291,'vehicles specifications'!$A$3:$A$86,0),MATCH("Curb mass [kg]",'vehicles specifications'!$B$2:$CK$2,0))</f>
        <v>50033</v>
      </c>
    </row>
    <row r="302" spans="1:2" x14ac:dyDescent="0.3">
      <c r="A302" t="s">
        <v>138</v>
      </c>
      <c r="B302">
        <f>INDEX('vehicles specifications'!$B$3:$CK$86,MATCH(B291,'vehicles specifications'!$A$3:$A$86,0),MATCH("Power [kW]",'vehicles specifications'!$B$2:$CK$2,0))</f>
        <v>660</v>
      </c>
    </row>
    <row r="303" spans="1:2" x14ac:dyDescent="0.3">
      <c r="A303" t="s">
        <v>139</v>
      </c>
      <c r="B303">
        <f>INDEX('vehicles specifications'!$B$3:$CK$86,MATCH(B291,'vehicles specifications'!$A$3:$A$86,0),MATCH("Energy battery mass [kg]",'vehicles specifications'!$B$2:$CK$2,0))</f>
        <v>0</v>
      </c>
    </row>
    <row r="304" spans="1:2" x14ac:dyDescent="0.3">
      <c r="A304" t="s">
        <v>140</v>
      </c>
      <c r="B304">
        <f>INDEX('vehicles specifications'!$B$3:$CK$86,MATCH(B291,'vehicles specifications'!$A$3:$A$86,0),MATCH("Electric energy available [kWh]",'vehicles specifications'!$B$2:$CK$2,0))</f>
        <v>0</v>
      </c>
    </row>
    <row r="305" spans="1:8" x14ac:dyDescent="0.3">
      <c r="A305" t="s">
        <v>143</v>
      </c>
      <c r="B305">
        <f>INDEX('vehicles specifications'!$B$3:$CK$86,MATCH(B291,'vehicles specifications'!$A$3:$A$86,0),MATCH("Oxydation energy stored [kWh]",'vehicles specifications'!$B$2:$CK$2,0))</f>
        <v>0</v>
      </c>
    </row>
    <row r="306" spans="1:8" x14ac:dyDescent="0.3">
      <c r="A306" t="s">
        <v>145</v>
      </c>
      <c r="B306">
        <f>INDEX('vehicles specifications'!$B$3:$CK$86,MATCH(B291,'vehicles specifications'!$A$3:$A$86,0),MATCH("Fuel mass [kg]",'vehicles specifications'!$B$2:$CK$2,0))</f>
        <v>0</v>
      </c>
    </row>
    <row r="307" spans="1:8" x14ac:dyDescent="0.3">
      <c r="A307" t="s">
        <v>141</v>
      </c>
      <c r="B307">
        <f>INDEX('vehicles specifications'!$B$3:$CK$86,MATCH(B291,'vehicles specifications'!$A$3:$A$86,0),MATCH("Range [km]",'vehicles specifications'!$B$2:$CK$2,0))</f>
        <v>0</v>
      </c>
    </row>
    <row r="308" spans="1:8" x14ac:dyDescent="0.3">
      <c r="A308" t="s">
        <v>142</v>
      </c>
      <c r="B308" t="str">
        <f>INDEX('vehicles specifications'!$B$3:$CK$86,MATCH(B291,'vehicles specifications'!$A$3:$A$86,0),MATCH("Emission standard",'vehicles specifications'!$B$2:$CK$2,0))</f>
        <v>None</v>
      </c>
    </row>
    <row r="309" spans="1:8" x14ac:dyDescent="0.3">
      <c r="A309" t="s">
        <v>144</v>
      </c>
      <c r="B309" s="6">
        <f>INDEX('vehicles specifications'!$B$3:$CK$86,MATCH(B291,'vehicles specifications'!$A$3:$A$86,0),MATCH("Lightweighting rate [%]",'vehicles specifications'!$B$2:$CK$2,0))</f>
        <v>7.0000000000000007E-2</v>
      </c>
    </row>
    <row r="310" spans="1:8" x14ac:dyDescent="0.3">
      <c r="A310" t="s">
        <v>84</v>
      </c>
      <c r="B310" s="21" t="str">
        <f>"Power: "&amp;B302&amp;" kW. Lifetime: "&amp;B296&amp;" km. Annual kilometers: "&amp;B300&amp;" km. Number of passengers: "&amp;B297&amp;". Curb mass: "&amp;ROUND(B301,1)&amp;" kg. Lightweighting of glider: "&amp;ROUND(B309*100,0)&amp;"%. Emission standard: "&amp;B308&amp;". Service visits throughout lifetime: every year for "&amp;B296/B300&amp;" years. Range: "&amp;ROUND(B307,0)&amp;" km. Battery capacity: "&amp;ROUND(B304,1)&amp;" kWh. Battery mass: "&amp;ROUND(B303,1)&amp; " kg. Battery replacement throughout lifetime: "&amp;ROUND(B299,1)&amp;". Fuel tank capacity: "&amp;ROUND(B305,1)&amp;" kWh. Fuel mass: "&amp;ROUND(B306,1)&amp;" kg. Documentation: "&amp;Readmefirst!$B$2&amp;", "&amp;Readmefirst!$B$3&amp;". "&amp;B295</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11" spans="1:8" ht="15.6" x14ac:dyDescent="0.3">
      <c r="A311" s="11" t="s">
        <v>80</v>
      </c>
    </row>
    <row r="312" spans="1:8" x14ac:dyDescent="0.3">
      <c r="A312" t="s">
        <v>81</v>
      </c>
      <c r="B312" t="s">
        <v>82</v>
      </c>
      <c r="C312" t="s">
        <v>73</v>
      </c>
      <c r="D312" t="s">
        <v>77</v>
      </c>
      <c r="E312" t="s">
        <v>83</v>
      </c>
      <c r="F312" t="s">
        <v>75</v>
      </c>
      <c r="G312" t="s">
        <v>84</v>
      </c>
      <c r="H312" t="s">
        <v>74</v>
      </c>
    </row>
    <row r="313" spans="1:8" x14ac:dyDescent="0.3">
      <c r="A313" s="12" t="str">
        <f>B286</f>
        <v>transport, Tram, electric, 2050</v>
      </c>
      <c r="B313" s="12">
        <v>1</v>
      </c>
      <c r="C313" s="12" t="str">
        <f>B287</f>
        <v>CH</v>
      </c>
      <c r="D313" s="12" t="str">
        <f>B294</f>
        <v>person-kilometer</v>
      </c>
      <c r="E313" s="12"/>
      <c r="F313" s="12" t="s">
        <v>85</v>
      </c>
      <c r="G313" s="12" t="s">
        <v>86</v>
      </c>
      <c r="H313" s="12" t="str">
        <f>B292</f>
        <v>transport, Tram, electric</v>
      </c>
    </row>
    <row r="314" spans="1:8" x14ac:dyDescent="0.3">
      <c r="A314" s="12" t="str">
        <f>RIGHT(A313,LEN(A313)-11)</f>
        <v>Tram, electric, 2050</v>
      </c>
      <c r="B314" s="12">
        <f>1/B296/B297</f>
        <v>9.3984962406015038E-9</v>
      </c>
      <c r="C314" s="12" t="str">
        <f>B287</f>
        <v>CH</v>
      </c>
      <c r="D314" s="12" t="s">
        <v>77</v>
      </c>
      <c r="E314" s="12"/>
      <c r="F314" s="12" t="s">
        <v>91</v>
      </c>
      <c r="G314" s="12"/>
      <c r="H314" s="12" t="str">
        <f>RIGHT(H313,LEN(H313)-11)</f>
        <v>Tram, electric</v>
      </c>
    </row>
    <row r="315" spans="1:8" x14ac:dyDescent="0.3">
      <c r="A315" s="12" t="str">
        <f>INDEX('ei names mapping'!$B$4:$R$33,MATCH(B288,'ei names mapping'!$A$4:$A$33,0),MATCH(G315,'ei names mapping'!$B$3:$R$3,0))</f>
        <v>market for electricity, medium voltage</v>
      </c>
      <c r="B315" s="14">
        <f>INDEX('vehicles specifications'!$B$3:$CK$86,MATCH(B291,'vehicles specifications'!$A$3:$A$86,0),MATCH(G315,'vehicles specifications'!$B$2:$CK$2,0))*INDEX('ei names mapping'!$B$137:$BK$220,MATCH(B291,'ei names mapping'!$A$137:$A$220,0),MATCH(G315,'ei names mapping'!$B$136:$BK$136,0))</f>
        <v>9.7222222222222224E-2</v>
      </c>
      <c r="C315" s="12" t="str">
        <f>INDEX('ei names mapping'!$B$38:$BK$67,MATCH(B288,'ei names mapping'!$A$4:$A$33,0),MATCH(G315,'ei names mapping'!$B$3:$BK$3,0))</f>
        <v>CH</v>
      </c>
      <c r="D315" s="12" t="str">
        <f>INDEX('ei names mapping'!$B$104:$BK$133,MATCH(B288,'ei names mapping'!$A$4:$A$33,0),MATCH(G315,'ei names mapping'!$B$3:$BK$3,0))</f>
        <v>kilowatt hour</v>
      </c>
      <c r="E315" s="12"/>
      <c r="F315" s="12" t="s">
        <v>91</v>
      </c>
      <c r="G315" t="s">
        <v>28</v>
      </c>
      <c r="H315" s="12" t="str">
        <f>INDEX('ei names mapping'!$B$71:$BK$100,MATCH(B288,'ei names mapping'!$A$4:$A$33,0),MATCH(G315,'ei names mapping'!$B$3:$BK$3,0))</f>
        <v>electricity, medium voltage</v>
      </c>
    </row>
    <row r="316" spans="1:8" s="21" customFormat="1" x14ac:dyDescent="0.3">
      <c r="A316" s="12" t="s">
        <v>575</v>
      </c>
      <c r="B316" s="15">
        <f>0.00000971/B297</f>
        <v>2.5552631578947371E-7</v>
      </c>
      <c r="C316" s="12" t="s">
        <v>98</v>
      </c>
      <c r="D316" s="12" t="s">
        <v>78</v>
      </c>
      <c r="E316" s="12"/>
      <c r="F316" s="12" t="s">
        <v>91</v>
      </c>
      <c r="G316" s="21" t="s">
        <v>577</v>
      </c>
      <c r="H316" s="12" t="s">
        <v>576</v>
      </c>
    </row>
    <row r="317" spans="1:8" x14ac:dyDescent="0.3">
      <c r="A317" s="12" t="str">
        <f>INDEX('ei names mapping'!$B$4:$R$33,MATCH(B288,'ei names mapping'!$A$4:$A$33,0),MATCH(G317,'ei names mapping'!$B$3:$R$3,0))</f>
        <v>maintenance, tram</v>
      </c>
      <c r="B317" s="15">
        <f>INDEX('vehicles specifications'!$B$3:$CK$86,MATCH(B291,'vehicles specifications'!$A$3:$A$86,0),MATCH(G317,'vehicles specifications'!$B$2:$CK$2,0))*INDEX('ei names mapping'!$B$137:$BK$220,MATCH(B291,'ei names mapping'!$A$137:$A$220,0),MATCH(G317,'ei names mapping'!$B$136:$BK$136,0))</f>
        <v>1.2531328320802004E-8</v>
      </c>
      <c r="C317" s="12" t="str">
        <f>INDEX('ei names mapping'!$B$38:$BK$67,MATCH(B288,'ei names mapping'!$A$4:$A$33,0),MATCH(G317,'ei names mapping'!$B$3:$BK$3,0))</f>
        <v>CH</v>
      </c>
      <c r="D317" s="12" t="str">
        <f>INDEX('ei names mapping'!$B$104:$BK$133,MATCH(B288,'ei names mapping'!$A$4:$A$33,0),MATCH(G317,'ei names mapping'!$B$3:$BK$3,0))</f>
        <v>unit</v>
      </c>
      <c r="E317" s="12"/>
      <c r="F317" s="12" t="s">
        <v>91</v>
      </c>
      <c r="G317" t="s">
        <v>123</v>
      </c>
      <c r="H317" s="12" t="str">
        <f>INDEX('ei names mapping'!$B$71:$BK$100,MATCH(B288,'ei names mapping'!$A$4:$A$33,0),MATCH(G317,'ei names mapping'!$B$3:$BK$3,0))</f>
        <v>maintenance, tram</v>
      </c>
    </row>
    <row r="318" spans="1:8" s="21" customFormat="1" x14ac:dyDescent="0.3">
      <c r="A318" s="21" t="s">
        <v>578</v>
      </c>
      <c r="B318" s="15">
        <f>B316</f>
        <v>2.5552631578947371E-7</v>
      </c>
      <c r="C318" s="12"/>
      <c r="D318" s="12" t="s">
        <v>78</v>
      </c>
      <c r="E318" s="12" t="s">
        <v>171</v>
      </c>
      <c r="F318" s="12" t="s">
        <v>173</v>
      </c>
      <c r="G318" s="12" t="s">
        <v>579</v>
      </c>
      <c r="H318" s="12"/>
    </row>
    <row r="319" spans="1:8" s="21" customFormat="1" x14ac:dyDescent="0.3">
      <c r="A319" s="21" t="s">
        <v>464</v>
      </c>
      <c r="B319" s="15">
        <f>0.00000016/B297</f>
        <v>4.2105263157894742E-9</v>
      </c>
      <c r="C319" s="12"/>
      <c r="D319" s="12" t="s">
        <v>78</v>
      </c>
      <c r="E319" s="12" t="s">
        <v>171</v>
      </c>
      <c r="F319" s="12" t="s">
        <v>173</v>
      </c>
      <c r="G319" s="12" t="s">
        <v>584</v>
      </c>
      <c r="H319" s="12"/>
    </row>
    <row r="320" spans="1:8" s="21" customFormat="1" x14ac:dyDescent="0.3">
      <c r="A320" s="21" t="s">
        <v>580</v>
      </c>
      <c r="B320" s="15">
        <f>0.00000032/B297</f>
        <v>8.4210526315789483E-9</v>
      </c>
      <c r="C320" s="12"/>
      <c r="D320" s="12" t="s">
        <v>78</v>
      </c>
      <c r="E320" s="12" t="s">
        <v>171</v>
      </c>
      <c r="F320" s="12" t="s">
        <v>173</v>
      </c>
      <c r="G320" s="12" t="s">
        <v>584</v>
      </c>
      <c r="H320" s="12"/>
    </row>
    <row r="321" spans="1:8" s="21" customFormat="1" x14ac:dyDescent="0.3">
      <c r="A321" s="21" t="s">
        <v>581</v>
      </c>
      <c r="B321" s="15">
        <f>0.00000033/B297</f>
        <v>8.6842105263157895E-9</v>
      </c>
      <c r="C321" s="12"/>
      <c r="D321" s="12" t="s">
        <v>78</v>
      </c>
      <c r="E321" s="12" t="s">
        <v>171</v>
      </c>
      <c r="F321" s="12" t="s">
        <v>173</v>
      </c>
      <c r="G321" s="12" t="s">
        <v>584</v>
      </c>
      <c r="H321" s="12"/>
    </row>
    <row r="322" spans="1:8" s="21" customFormat="1" x14ac:dyDescent="0.3">
      <c r="A322" s="21" t="s">
        <v>464</v>
      </c>
      <c r="B322" s="15">
        <f>0.000009/B297</f>
        <v>2.368421052631579E-7</v>
      </c>
      <c r="C322" s="12"/>
      <c r="D322" s="12" t="s">
        <v>78</v>
      </c>
      <c r="E322" s="12" t="s">
        <v>171</v>
      </c>
      <c r="F322" s="12" t="s">
        <v>173</v>
      </c>
      <c r="G322" s="12" t="s">
        <v>585</v>
      </c>
      <c r="H322" s="12"/>
    </row>
    <row r="323" spans="1:8" s="21" customFormat="1" x14ac:dyDescent="0.3">
      <c r="A323" s="21" t="s">
        <v>580</v>
      </c>
      <c r="B323" s="15">
        <f>0.000018/B297</f>
        <v>4.736842105263158E-7</v>
      </c>
      <c r="C323" s="12"/>
      <c r="D323" s="12" t="s">
        <v>78</v>
      </c>
      <c r="E323" s="12" t="s">
        <v>171</v>
      </c>
      <c r="F323" s="12" t="s">
        <v>173</v>
      </c>
      <c r="G323" s="12" t="s">
        <v>585</v>
      </c>
      <c r="H323" s="12"/>
    </row>
    <row r="324" spans="1:8" s="21" customFormat="1" x14ac:dyDescent="0.3">
      <c r="A324" s="21" t="s">
        <v>464</v>
      </c>
      <c r="B324" s="15">
        <f>0.000004/B297</f>
        <v>1.0526315789473683E-7</v>
      </c>
      <c r="C324" s="12"/>
      <c r="D324" s="12" t="s">
        <v>78</v>
      </c>
      <c r="E324" s="12" t="s">
        <v>171</v>
      </c>
      <c r="F324" s="12" t="s">
        <v>173</v>
      </c>
      <c r="G324" s="12" t="s">
        <v>586</v>
      </c>
      <c r="H324" s="12"/>
    </row>
    <row r="325" spans="1:8" s="21" customFormat="1" x14ac:dyDescent="0.3">
      <c r="A325" s="21" t="s">
        <v>580</v>
      </c>
      <c r="B325" s="15">
        <f>0.000008/B297</f>
        <v>2.1052631578947366E-7</v>
      </c>
      <c r="C325" s="12"/>
      <c r="D325" s="12" t="s">
        <v>78</v>
      </c>
      <c r="E325" s="12" t="s">
        <v>171</v>
      </c>
      <c r="F325" s="12" t="s">
        <v>173</v>
      </c>
      <c r="G325" s="12" t="s">
        <v>586</v>
      </c>
      <c r="H325" s="12"/>
    </row>
    <row r="326" spans="1:8" s="21" customFormat="1" x14ac:dyDescent="0.3">
      <c r="A326" s="21" t="s">
        <v>582</v>
      </c>
      <c r="B326" s="15">
        <f>0.00000008/B297</f>
        <v>2.1052631578947371E-9</v>
      </c>
      <c r="C326" s="12"/>
      <c r="D326" s="12" t="s">
        <v>78</v>
      </c>
      <c r="E326" s="12" t="s">
        <v>171</v>
      </c>
      <c r="F326" s="12" t="s">
        <v>173</v>
      </c>
      <c r="G326" s="12" t="s">
        <v>586</v>
      </c>
      <c r="H326" s="12"/>
    </row>
    <row r="327" spans="1:8" s="21" customFormat="1" x14ac:dyDescent="0.3">
      <c r="A327" s="21" t="s">
        <v>583</v>
      </c>
      <c r="B327" s="15">
        <f>0.00000016/B297</f>
        <v>4.2105263157894742E-9</v>
      </c>
      <c r="C327" s="12"/>
      <c r="D327" s="12" t="s">
        <v>78</v>
      </c>
      <c r="E327" s="12" t="s">
        <v>171</v>
      </c>
      <c r="F327" s="12" t="s">
        <v>173</v>
      </c>
      <c r="G327" s="12" t="s">
        <v>586</v>
      </c>
      <c r="H327" s="12"/>
    </row>
    <row r="329" spans="1:8" ht="15.6" x14ac:dyDescent="0.3">
      <c r="A329" s="11" t="s">
        <v>72</v>
      </c>
      <c r="B329" s="9" t="str">
        <f>"transport, "&amp;B331&amp;", "&amp;B333&amp;", label-certified electricity"</f>
        <v>transport, Tram, electric, 2020, label-certified electricity</v>
      </c>
    </row>
    <row r="330" spans="1:8" x14ac:dyDescent="0.3">
      <c r="A330" t="s">
        <v>73</v>
      </c>
      <c r="B330" t="s">
        <v>37</v>
      </c>
    </row>
    <row r="331" spans="1:8" x14ac:dyDescent="0.3">
      <c r="A331" t="s">
        <v>87</v>
      </c>
      <c r="B331" s="21" t="s">
        <v>519</v>
      </c>
    </row>
    <row r="332" spans="1:8" x14ac:dyDescent="0.3">
      <c r="A332" t="s">
        <v>88</v>
      </c>
      <c r="B332" s="12"/>
    </row>
    <row r="333" spans="1:8" x14ac:dyDescent="0.3">
      <c r="A333" t="s">
        <v>89</v>
      </c>
      <c r="B333" s="12">
        <v>2020</v>
      </c>
    </row>
    <row r="334" spans="1:8" x14ac:dyDescent="0.3">
      <c r="A334" t="s">
        <v>131</v>
      </c>
      <c r="B334" s="12" t="str">
        <f>B331&amp;" - "&amp;B333&amp;" - "&amp;B330</f>
        <v>Tram, electric - 2020 - CH</v>
      </c>
    </row>
    <row r="335" spans="1:8" x14ac:dyDescent="0.3">
      <c r="A335" t="s">
        <v>74</v>
      </c>
      <c r="B335" s="12" t="str">
        <f>"transport, "&amp;B331</f>
        <v>transport, Tram, electric</v>
      </c>
    </row>
    <row r="336" spans="1:8" x14ac:dyDescent="0.3">
      <c r="A336" t="s">
        <v>75</v>
      </c>
      <c r="B336" t="s">
        <v>76</v>
      </c>
    </row>
    <row r="337" spans="1:2" x14ac:dyDescent="0.3">
      <c r="A337" t="s">
        <v>77</v>
      </c>
      <c r="B337" t="s">
        <v>175</v>
      </c>
    </row>
    <row r="338" spans="1:2" x14ac:dyDescent="0.3">
      <c r="A338" t="s">
        <v>79</v>
      </c>
      <c r="B338" t="s">
        <v>90</v>
      </c>
    </row>
    <row r="339" spans="1:2" x14ac:dyDescent="0.3">
      <c r="A339" t="s">
        <v>132</v>
      </c>
      <c r="B339">
        <f>INDEX('vehicles specifications'!$B$3:$CK$86,MATCH(B334,'vehicles specifications'!$A$3:$A$86,0),MATCH("Lifetime [km]",'vehicles specifications'!$B$2:$CK$2,0))</f>
        <v>2800000</v>
      </c>
    </row>
    <row r="340" spans="1:2" x14ac:dyDescent="0.3">
      <c r="A340" t="s">
        <v>133</v>
      </c>
      <c r="B340">
        <f>INDEX('vehicles specifications'!$B$3:$CK$86,MATCH(B334,'vehicles specifications'!$A$3:$A$86,0),MATCH("Passengers [unit]",'vehicles specifications'!$B$2:$CK$2,0))</f>
        <v>38</v>
      </c>
    </row>
    <row r="341" spans="1:2" x14ac:dyDescent="0.3">
      <c r="A341" t="s">
        <v>134</v>
      </c>
      <c r="B341">
        <f>INDEX('vehicles specifications'!$B$3:$CK$86,MATCH(B334,'vehicles specifications'!$A$3:$A$86,0),MATCH("Servicing [unit]",'vehicles specifications'!$B$2:$CK$2,0))</f>
        <v>1.3333333333333333</v>
      </c>
    </row>
    <row r="342" spans="1:2" x14ac:dyDescent="0.3">
      <c r="A342" t="s">
        <v>135</v>
      </c>
      <c r="B342">
        <f>INDEX('vehicles specifications'!$B$3:$CK$86,MATCH(B334,'vehicles specifications'!$A$3:$A$86,0),MATCH("Energy battery replacement [unit]",'vehicles specifications'!$B$2:$CK$2,0))</f>
        <v>0</v>
      </c>
    </row>
    <row r="343" spans="1:2" x14ac:dyDescent="0.3">
      <c r="A343" t="s">
        <v>136</v>
      </c>
      <c r="B343">
        <f>INDEX('vehicles specifications'!$B$3:$CK$86,MATCH(B334,'vehicles specifications'!$A$3:$A$86,0),MATCH("Annual kilometers [km]",'vehicles specifications'!$B$2:$CK$2,0))</f>
        <v>70000</v>
      </c>
    </row>
    <row r="344" spans="1:2" x14ac:dyDescent="0.3">
      <c r="A344" t="s">
        <v>137</v>
      </c>
      <c r="B344">
        <f>INDEX('vehicles specifications'!$B$3:$CK$86,MATCH(B334,'vehicles specifications'!$A$3:$A$86,0),MATCH("Curb mass [kg]",'vehicles specifications'!$B$2:$CK$2,0))</f>
        <v>54000</v>
      </c>
    </row>
    <row r="345" spans="1:2" x14ac:dyDescent="0.3">
      <c r="A345" t="s">
        <v>138</v>
      </c>
      <c r="B345">
        <f>INDEX('vehicles specifications'!$B$3:$CK$86,MATCH(B334,'vehicles specifications'!$A$3:$A$86,0),MATCH("Power [kW]",'vehicles specifications'!$B$2:$CK$2,0))</f>
        <v>660</v>
      </c>
    </row>
    <row r="346" spans="1:2" x14ac:dyDescent="0.3">
      <c r="A346" t="s">
        <v>139</v>
      </c>
      <c r="B346">
        <f>INDEX('vehicles specifications'!$B$3:$CK$86,MATCH(B334,'vehicles specifications'!$A$3:$A$86,0),MATCH("Energy battery mass [kg]",'vehicles specifications'!$B$2:$CK$2,0))</f>
        <v>0</v>
      </c>
    </row>
    <row r="347" spans="1:2" x14ac:dyDescent="0.3">
      <c r="A347" t="s">
        <v>140</v>
      </c>
      <c r="B347">
        <f>INDEX('vehicles specifications'!$B$3:$CK$86,MATCH(B334,'vehicles specifications'!$A$3:$A$86,0),MATCH("Electric energy available [kWh]",'vehicles specifications'!$B$2:$CK$2,0))</f>
        <v>0</v>
      </c>
    </row>
    <row r="348" spans="1:2" x14ac:dyDescent="0.3">
      <c r="A348" t="s">
        <v>143</v>
      </c>
      <c r="B348">
        <f>INDEX('vehicles specifications'!$B$3:$CK$86,MATCH(B334,'vehicles specifications'!$A$3:$A$86,0),MATCH("Oxydation energy stored [kWh]",'vehicles specifications'!$B$2:$CK$2,0))</f>
        <v>0</v>
      </c>
    </row>
    <row r="349" spans="1:2" x14ac:dyDescent="0.3">
      <c r="A349" t="s">
        <v>145</v>
      </c>
      <c r="B349">
        <f>INDEX('vehicles specifications'!$B$3:$CK$86,MATCH(B334,'vehicles specifications'!$A$3:$A$86,0),MATCH("Fuel mass [kg]",'vehicles specifications'!$B$2:$CK$2,0))</f>
        <v>0</v>
      </c>
    </row>
    <row r="350" spans="1:2" x14ac:dyDescent="0.3">
      <c r="A350" t="s">
        <v>141</v>
      </c>
      <c r="B350">
        <f>INDEX('vehicles specifications'!$B$3:$CK$86,MATCH(B334,'vehicles specifications'!$A$3:$A$86,0),MATCH("Range [km]",'vehicles specifications'!$B$2:$CK$2,0))</f>
        <v>0</v>
      </c>
    </row>
    <row r="351" spans="1:2" x14ac:dyDescent="0.3">
      <c r="A351" t="s">
        <v>142</v>
      </c>
      <c r="B351" t="str">
        <f>INDEX('vehicles specifications'!$B$3:$CK$86,MATCH(B334,'vehicles specifications'!$A$3:$A$86,0),MATCH("Emission standard",'vehicles specifications'!$B$2:$CK$2,0))</f>
        <v>None</v>
      </c>
    </row>
    <row r="352" spans="1:2" x14ac:dyDescent="0.3">
      <c r="A352" t="s">
        <v>144</v>
      </c>
      <c r="B352" s="6">
        <f>INDEX('vehicles specifications'!$B$3:$CK$86,MATCH(B334,'vehicles specifications'!$A$3:$A$86,0),MATCH("Lightweighting rate [%]",'vehicles specifications'!$B$2:$CK$2,0))</f>
        <v>0</v>
      </c>
    </row>
    <row r="353" spans="1:8" x14ac:dyDescent="0.3">
      <c r="A353" t="s">
        <v>84</v>
      </c>
      <c r="B353" s="21" t="str">
        <f>"Power: "&amp;B345&amp;" kW. Lifetime: "&amp;B339&amp;" km. Annual kilometers: "&amp;B343&amp;" km. Number of passengers: "&amp;B340&amp;". Curb mass: "&amp;ROUND(B344,1)&amp;" kg. Lightweighting of glider: "&amp;ROUND(B352*100,0)&amp;"%. Emission standard: "&amp;B351&amp;". Service visits throughout lifetime: every year for "&amp;B339/B343&amp;" years. Range: "&amp;ROUND(B350,0)&amp;" km. Battery capacity: "&amp;ROUND(B347,1)&amp;" kWh. Battery mass: "&amp;ROUND(B346,1)&amp; " kg. Battery replacement throughout lifetime: "&amp;ROUND(B342,1)&amp;". Fuel tank capacity: "&amp;ROUND(B348,1)&amp;" kWh. Fuel mass: "&amp;ROUND(B349,1)&amp;" kg. Documentation: "&amp;Readmefirst!$B$2&amp;", "&amp;Readmefirst!$B$3&amp;". "&amp;B338</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54" spans="1:8" ht="15.6" x14ac:dyDescent="0.3">
      <c r="A354" s="11" t="s">
        <v>80</v>
      </c>
    </row>
    <row r="355" spans="1:8" x14ac:dyDescent="0.3">
      <c r="A355" t="s">
        <v>81</v>
      </c>
      <c r="B355" t="s">
        <v>82</v>
      </c>
      <c r="C355" t="s">
        <v>73</v>
      </c>
      <c r="D355" t="s">
        <v>77</v>
      </c>
      <c r="E355" t="s">
        <v>83</v>
      </c>
      <c r="F355" t="s">
        <v>75</v>
      </c>
      <c r="G355" t="s">
        <v>84</v>
      </c>
      <c r="H355" t="s">
        <v>74</v>
      </c>
    </row>
    <row r="356" spans="1:8" x14ac:dyDescent="0.3">
      <c r="A356" s="12" t="str">
        <f>B329</f>
        <v>transport, Tram, electric, 2020, label-certified electricity</v>
      </c>
      <c r="B356" s="12">
        <v>1</v>
      </c>
      <c r="C356" s="12" t="str">
        <f>B330</f>
        <v>CH</v>
      </c>
      <c r="D356" s="12" t="str">
        <f>B337</f>
        <v>person-kilometer</v>
      </c>
      <c r="E356" s="12"/>
      <c r="F356" s="12" t="s">
        <v>85</v>
      </c>
      <c r="G356" s="12" t="s">
        <v>86</v>
      </c>
      <c r="H356" s="12" t="str">
        <f>B335</f>
        <v>transport, Tram, electric</v>
      </c>
    </row>
    <row r="357" spans="1:8" x14ac:dyDescent="0.3">
      <c r="A357" s="12" t="str">
        <f>B331&amp;", "&amp;B333</f>
        <v>Tram, electric, 2020</v>
      </c>
      <c r="B357" s="12">
        <f>1/B339/B340</f>
        <v>9.3984962406015038E-9</v>
      </c>
      <c r="C357" s="12" t="str">
        <f>B330</f>
        <v>CH</v>
      </c>
      <c r="D357" s="12" t="s">
        <v>77</v>
      </c>
      <c r="E357" s="12"/>
      <c r="F357" s="12" t="s">
        <v>91</v>
      </c>
      <c r="G357" s="12"/>
      <c r="H357" s="12" t="str">
        <f>RIGHT(H356,LEN(H356)-11)</f>
        <v>Tram, electric</v>
      </c>
    </row>
    <row r="358" spans="1:8" x14ac:dyDescent="0.3">
      <c r="A358" s="12" t="s">
        <v>114</v>
      </c>
      <c r="B358" s="14">
        <f>INDEX('vehicles specifications'!$B$3:$CK$86,MATCH(B334,'vehicles specifications'!$A$3:$A$86,0),MATCH(G358,'vehicles specifications'!$B$2:$CK$2,0))*INDEX('ei names mapping'!$B$137:$BK$220,MATCH(B334,'ei names mapping'!$A$137:$A$220,0),MATCH(G358,'ei names mapping'!$B$136:$BK$136,0))</f>
        <v>9.7222222222222224E-2</v>
      </c>
      <c r="C358" s="12" t="str">
        <f>INDEX('ei names mapping'!$B$38:$BK$67,MATCH(B331,'ei names mapping'!$A$4:$A$33,0),MATCH(G358,'ei names mapping'!$B$3:$BK$3,0))</f>
        <v>CH</v>
      </c>
      <c r="D358" s="12" t="str">
        <f>INDEX('ei names mapping'!$B$104:$BK$133,MATCH(B331,'ei names mapping'!$A$4:$A$33,0),MATCH(G358,'ei names mapping'!$B$3:$BK$3,0))</f>
        <v>kilowatt hour</v>
      </c>
      <c r="E358" s="12"/>
      <c r="F358" s="12" t="s">
        <v>91</v>
      </c>
      <c r="G358" t="s">
        <v>28</v>
      </c>
      <c r="H358" s="12" t="s">
        <v>116</v>
      </c>
    </row>
    <row r="359" spans="1:8" s="21" customFormat="1" x14ac:dyDescent="0.3">
      <c r="A359" s="12" t="s">
        <v>575</v>
      </c>
      <c r="B359" s="15">
        <f>0.00000971/B340</f>
        <v>2.5552631578947371E-7</v>
      </c>
      <c r="C359" s="12" t="s">
        <v>98</v>
      </c>
      <c r="D359" s="12" t="s">
        <v>78</v>
      </c>
      <c r="E359" s="12"/>
      <c r="F359" s="12" t="s">
        <v>91</v>
      </c>
      <c r="G359" s="21" t="s">
        <v>577</v>
      </c>
      <c r="H359" s="12" t="s">
        <v>576</v>
      </c>
    </row>
    <row r="360" spans="1:8" x14ac:dyDescent="0.3">
      <c r="A360" s="12" t="str">
        <f>INDEX('ei names mapping'!$B$4:$R$33,MATCH(B331,'ei names mapping'!$A$4:$A$33,0),MATCH(G360,'ei names mapping'!$B$3:$R$3,0))</f>
        <v>maintenance, tram</v>
      </c>
      <c r="B360" s="15">
        <f>INDEX('vehicles specifications'!$B$3:$CK$86,MATCH(B334,'vehicles specifications'!$A$3:$A$86,0),MATCH(G360,'vehicles specifications'!$B$2:$CK$2,0))*INDEX('ei names mapping'!$B$137:$BK$220,MATCH(B334,'ei names mapping'!$A$137:$A$220,0),MATCH(G360,'ei names mapping'!$B$136:$BK$136,0))</f>
        <v>1.2531328320802004E-8</v>
      </c>
      <c r="C360" s="12" t="str">
        <f>INDEX('ei names mapping'!$B$38:$BK$67,MATCH(B331,'ei names mapping'!$A$4:$A$33,0),MATCH(G360,'ei names mapping'!$B$3:$BK$3,0))</f>
        <v>CH</v>
      </c>
      <c r="D360" s="12" t="str">
        <f>INDEX('ei names mapping'!$B$104:$BK$133,MATCH(B331,'ei names mapping'!$A$4:$A$33,0),MATCH(G360,'ei names mapping'!$B$3:$BK$3,0))</f>
        <v>unit</v>
      </c>
      <c r="E360" s="12"/>
      <c r="F360" s="12" t="s">
        <v>91</v>
      </c>
      <c r="G360" t="s">
        <v>123</v>
      </c>
      <c r="H360" s="12" t="str">
        <f>INDEX('ei names mapping'!$B$71:$BK$100,MATCH(B331,'ei names mapping'!$A$4:$A$33,0),MATCH(G360,'ei names mapping'!$B$3:$BK$3,0))</f>
        <v>maintenance, tram</v>
      </c>
    </row>
    <row r="361" spans="1:8" s="21" customFormat="1" x14ac:dyDescent="0.3">
      <c r="A361" s="21" t="s">
        <v>578</v>
      </c>
      <c r="B361" s="15">
        <f>B359</f>
        <v>2.5552631578947371E-7</v>
      </c>
      <c r="C361" s="12"/>
      <c r="D361" s="12" t="s">
        <v>78</v>
      </c>
      <c r="E361" s="12" t="s">
        <v>171</v>
      </c>
      <c r="F361" s="12" t="s">
        <v>173</v>
      </c>
      <c r="G361" s="12" t="s">
        <v>579</v>
      </c>
      <c r="H361" s="12"/>
    </row>
    <row r="362" spans="1:8" s="21" customFormat="1" x14ac:dyDescent="0.3">
      <c r="A362" s="21" t="s">
        <v>464</v>
      </c>
      <c r="B362" s="15">
        <f>0.00000016/B340</f>
        <v>4.2105263157894742E-9</v>
      </c>
      <c r="C362" s="12"/>
      <c r="D362" s="12" t="s">
        <v>78</v>
      </c>
      <c r="E362" s="12" t="s">
        <v>171</v>
      </c>
      <c r="F362" s="12" t="s">
        <v>173</v>
      </c>
      <c r="G362" s="12" t="s">
        <v>584</v>
      </c>
      <c r="H362" s="12"/>
    </row>
    <row r="363" spans="1:8" s="21" customFormat="1" x14ac:dyDescent="0.3">
      <c r="A363" s="21" t="s">
        <v>580</v>
      </c>
      <c r="B363" s="15">
        <f>0.00000032/B340</f>
        <v>8.4210526315789483E-9</v>
      </c>
      <c r="C363" s="12"/>
      <c r="D363" s="12" t="s">
        <v>78</v>
      </c>
      <c r="E363" s="12" t="s">
        <v>171</v>
      </c>
      <c r="F363" s="12" t="s">
        <v>173</v>
      </c>
      <c r="G363" s="12" t="s">
        <v>584</v>
      </c>
      <c r="H363" s="12"/>
    </row>
    <row r="364" spans="1:8" s="21" customFormat="1" x14ac:dyDescent="0.3">
      <c r="A364" s="21" t="s">
        <v>581</v>
      </c>
      <c r="B364" s="15">
        <f>0.00000033/B340</f>
        <v>8.6842105263157895E-9</v>
      </c>
      <c r="C364" s="12"/>
      <c r="D364" s="12" t="s">
        <v>78</v>
      </c>
      <c r="E364" s="12" t="s">
        <v>171</v>
      </c>
      <c r="F364" s="12" t="s">
        <v>173</v>
      </c>
      <c r="G364" s="12" t="s">
        <v>584</v>
      </c>
      <c r="H364" s="12"/>
    </row>
    <row r="365" spans="1:8" s="21" customFormat="1" x14ac:dyDescent="0.3">
      <c r="A365" s="21" t="s">
        <v>464</v>
      </c>
      <c r="B365" s="15">
        <f>0.000009/B340</f>
        <v>2.368421052631579E-7</v>
      </c>
      <c r="C365" s="12"/>
      <c r="D365" s="12" t="s">
        <v>78</v>
      </c>
      <c r="E365" s="12" t="s">
        <v>171</v>
      </c>
      <c r="F365" s="12" t="s">
        <v>173</v>
      </c>
      <c r="G365" s="12" t="s">
        <v>585</v>
      </c>
      <c r="H365" s="12"/>
    </row>
    <row r="366" spans="1:8" s="21" customFormat="1" x14ac:dyDescent="0.3">
      <c r="A366" s="21" t="s">
        <v>580</v>
      </c>
      <c r="B366" s="15">
        <f>0.000018/B340</f>
        <v>4.736842105263158E-7</v>
      </c>
      <c r="C366" s="12"/>
      <c r="D366" s="12" t="s">
        <v>78</v>
      </c>
      <c r="E366" s="12" t="s">
        <v>171</v>
      </c>
      <c r="F366" s="12" t="s">
        <v>173</v>
      </c>
      <c r="G366" s="12" t="s">
        <v>585</v>
      </c>
      <c r="H366" s="12"/>
    </row>
    <row r="367" spans="1:8" s="21" customFormat="1" x14ac:dyDescent="0.3">
      <c r="A367" s="21" t="s">
        <v>464</v>
      </c>
      <c r="B367" s="15">
        <f>0.000004/B340</f>
        <v>1.0526315789473683E-7</v>
      </c>
      <c r="C367" s="12"/>
      <c r="D367" s="12" t="s">
        <v>78</v>
      </c>
      <c r="E367" s="12" t="s">
        <v>171</v>
      </c>
      <c r="F367" s="12" t="s">
        <v>173</v>
      </c>
      <c r="G367" s="12" t="s">
        <v>586</v>
      </c>
      <c r="H367" s="12"/>
    </row>
    <row r="368" spans="1:8" s="21" customFormat="1" x14ac:dyDescent="0.3">
      <c r="A368" s="21" t="s">
        <v>580</v>
      </c>
      <c r="B368" s="15">
        <f>0.000008/B340</f>
        <v>2.1052631578947366E-7</v>
      </c>
      <c r="C368" s="12"/>
      <c r="D368" s="12" t="s">
        <v>78</v>
      </c>
      <c r="E368" s="12" t="s">
        <v>171</v>
      </c>
      <c r="F368" s="12" t="s">
        <v>173</v>
      </c>
      <c r="G368" s="12" t="s">
        <v>586</v>
      </c>
      <c r="H368" s="12"/>
    </row>
    <row r="369" spans="1:8" s="21" customFormat="1" x14ac:dyDescent="0.3">
      <c r="A369" s="21" t="s">
        <v>582</v>
      </c>
      <c r="B369" s="15">
        <f>0.00000008/B340</f>
        <v>2.1052631578947371E-9</v>
      </c>
      <c r="C369" s="12"/>
      <c r="D369" s="12" t="s">
        <v>78</v>
      </c>
      <c r="E369" s="12" t="s">
        <v>171</v>
      </c>
      <c r="F369" s="12" t="s">
        <v>173</v>
      </c>
      <c r="G369" s="12" t="s">
        <v>586</v>
      </c>
      <c r="H369" s="12"/>
    </row>
    <row r="370" spans="1:8" s="21" customFormat="1" x14ac:dyDescent="0.3">
      <c r="A370" s="21" t="s">
        <v>583</v>
      </c>
      <c r="B370" s="15">
        <f>0.00000016/B340</f>
        <v>4.2105263157894742E-9</v>
      </c>
      <c r="C370" s="12"/>
      <c r="D370" s="12" t="s">
        <v>78</v>
      </c>
      <c r="E370" s="12" t="s">
        <v>171</v>
      </c>
      <c r="F370" s="12" t="s">
        <v>173</v>
      </c>
      <c r="G370" s="12" t="s">
        <v>586</v>
      </c>
      <c r="H370" s="12"/>
    </row>
    <row r="372" spans="1:8" ht="15.6" x14ac:dyDescent="0.3">
      <c r="A372" s="11" t="s">
        <v>72</v>
      </c>
      <c r="B372" s="9" t="str">
        <f>"transport, "&amp;B374&amp;", "&amp;B376&amp;", label-certified electricity"</f>
        <v>transport, Tram, electric, 2030, label-certified electricity</v>
      </c>
    </row>
    <row r="373" spans="1:8" x14ac:dyDescent="0.3">
      <c r="A373" t="s">
        <v>73</v>
      </c>
      <c r="B373" t="s">
        <v>37</v>
      </c>
    </row>
    <row r="374" spans="1:8" x14ac:dyDescent="0.3">
      <c r="A374" t="s">
        <v>87</v>
      </c>
      <c r="B374" s="21" t="s">
        <v>519</v>
      </c>
    </row>
    <row r="375" spans="1:8" x14ac:dyDescent="0.3">
      <c r="A375" t="s">
        <v>88</v>
      </c>
      <c r="B375" s="12"/>
    </row>
    <row r="376" spans="1:8" x14ac:dyDescent="0.3">
      <c r="A376" t="s">
        <v>89</v>
      </c>
      <c r="B376" s="12">
        <v>2030</v>
      </c>
    </row>
    <row r="377" spans="1:8" x14ac:dyDescent="0.3">
      <c r="A377" t="s">
        <v>131</v>
      </c>
      <c r="B377" s="12" t="str">
        <f>B374&amp;" - "&amp;B376&amp;" - "&amp;B373</f>
        <v>Tram, electric - 2030 - CH</v>
      </c>
    </row>
    <row r="378" spans="1:8" x14ac:dyDescent="0.3">
      <c r="A378" t="s">
        <v>74</v>
      </c>
      <c r="B378" s="12" t="str">
        <f>"transport, "&amp;B374</f>
        <v>transport, Tram, electric</v>
      </c>
    </row>
    <row r="379" spans="1:8" x14ac:dyDescent="0.3">
      <c r="A379" t="s">
        <v>75</v>
      </c>
      <c r="B379" t="s">
        <v>76</v>
      </c>
    </row>
    <row r="380" spans="1:8" x14ac:dyDescent="0.3">
      <c r="A380" t="s">
        <v>77</v>
      </c>
      <c r="B380" t="s">
        <v>175</v>
      </c>
    </row>
    <row r="381" spans="1:8" x14ac:dyDescent="0.3">
      <c r="A381" t="s">
        <v>79</v>
      </c>
      <c r="B381" t="s">
        <v>90</v>
      </c>
    </row>
    <row r="382" spans="1:8" x14ac:dyDescent="0.3">
      <c r="A382" t="s">
        <v>132</v>
      </c>
      <c r="B382">
        <f>INDEX('vehicles specifications'!$B$3:$CK$86,MATCH(B377,'vehicles specifications'!$A$3:$A$86,0),MATCH("Lifetime [km]",'vehicles specifications'!$B$2:$CK$2,0))</f>
        <v>2800000</v>
      </c>
    </row>
    <row r="383" spans="1:8" x14ac:dyDescent="0.3">
      <c r="A383" t="s">
        <v>133</v>
      </c>
      <c r="B383">
        <f>INDEX('vehicles specifications'!$B$3:$CK$86,MATCH(B377,'vehicles specifications'!$A$3:$A$86,0),MATCH("Passengers [unit]",'vehicles specifications'!$B$2:$CK$2,0))</f>
        <v>38</v>
      </c>
    </row>
    <row r="384" spans="1:8" x14ac:dyDescent="0.3">
      <c r="A384" t="s">
        <v>134</v>
      </c>
      <c r="B384">
        <f>INDEX('vehicles specifications'!$B$3:$CK$86,MATCH(B377,'vehicles specifications'!$A$3:$A$86,0),MATCH("Servicing [unit]",'vehicles specifications'!$B$2:$CK$2,0))</f>
        <v>1.3333333333333333</v>
      </c>
    </row>
    <row r="385" spans="1:8" x14ac:dyDescent="0.3">
      <c r="A385" t="s">
        <v>135</v>
      </c>
      <c r="B385">
        <f>INDEX('vehicles specifications'!$B$3:$CK$86,MATCH(B377,'vehicles specifications'!$A$3:$A$86,0),MATCH("Energy battery replacement [unit]",'vehicles specifications'!$B$2:$CK$2,0))</f>
        <v>0</v>
      </c>
    </row>
    <row r="386" spans="1:8" x14ac:dyDescent="0.3">
      <c r="A386" t="s">
        <v>136</v>
      </c>
      <c r="B386">
        <f>INDEX('vehicles specifications'!$B$3:$CK$86,MATCH(B377,'vehicles specifications'!$A$3:$A$86,0),MATCH("Annual kilometers [km]",'vehicles specifications'!$B$2:$CK$2,0))</f>
        <v>70000</v>
      </c>
    </row>
    <row r="387" spans="1:8" x14ac:dyDescent="0.3">
      <c r="A387" t="s">
        <v>137</v>
      </c>
      <c r="B387">
        <f>INDEX('vehicles specifications'!$B$3:$CK$86,MATCH(B377,'vehicles specifications'!$A$3:$A$86,0),MATCH("Curb mass [kg]",'vehicles specifications'!$B$2:$CK$2,0))</f>
        <v>52380</v>
      </c>
    </row>
    <row r="388" spans="1:8" x14ac:dyDescent="0.3">
      <c r="A388" t="s">
        <v>138</v>
      </c>
      <c r="B388">
        <f>INDEX('vehicles specifications'!$B$3:$CK$86,MATCH(B377,'vehicles specifications'!$A$3:$A$86,0),MATCH("Power [kW]",'vehicles specifications'!$B$2:$CK$2,0))</f>
        <v>660</v>
      </c>
    </row>
    <row r="389" spans="1:8" x14ac:dyDescent="0.3">
      <c r="A389" t="s">
        <v>139</v>
      </c>
      <c r="B389">
        <f>INDEX('vehicles specifications'!$B$3:$CK$86,MATCH(B377,'vehicles specifications'!$A$3:$A$86,0),MATCH("Energy battery mass [kg]",'vehicles specifications'!$B$2:$CK$2,0))</f>
        <v>0</v>
      </c>
    </row>
    <row r="390" spans="1:8" x14ac:dyDescent="0.3">
      <c r="A390" t="s">
        <v>140</v>
      </c>
      <c r="B390">
        <f>INDEX('vehicles specifications'!$B$3:$CK$86,MATCH(B377,'vehicles specifications'!$A$3:$A$86,0),MATCH("Electric energy available [kWh]",'vehicles specifications'!$B$2:$CK$2,0))</f>
        <v>0</v>
      </c>
    </row>
    <row r="391" spans="1:8" x14ac:dyDescent="0.3">
      <c r="A391" t="s">
        <v>143</v>
      </c>
      <c r="B391">
        <f>INDEX('vehicles specifications'!$B$3:$CK$86,MATCH(B377,'vehicles specifications'!$A$3:$A$86,0),MATCH("Oxydation energy stored [kWh]",'vehicles specifications'!$B$2:$CK$2,0))</f>
        <v>0</v>
      </c>
    </row>
    <row r="392" spans="1:8" x14ac:dyDescent="0.3">
      <c r="A392" t="s">
        <v>145</v>
      </c>
      <c r="B392">
        <f>INDEX('vehicles specifications'!$B$3:$CK$86,MATCH(B377,'vehicles specifications'!$A$3:$A$86,0),MATCH("Fuel mass [kg]",'vehicles specifications'!$B$2:$CK$2,0))</f>
        <v>0</v>
      </c>
    </row>
    <row r="393" spans="1:8" x14ac:dyDescent="0.3">
      <c r="A393" t="s">
        <v>141</v>
      </c>
      <c r="B393">
        <f>INDEX('vehicles specifications'!$B$3:$CK$86,MATCH(B377,'vehicles specifications'!$A$3:$A$86,0),MATCH("Range [km]",'vehicles specifications'!$B$2:$CK$2,0))</f>
        <v>0</v>
      </c>
    </row>
    <row r="394" spans="1:8" x14ac:dyDescent="0.3">
      <c r="A394" t="s">
        <v>142</v>
      </c>
      <c r="B394" t="str">
        <f>INDEX('vehicles specifications'!$B$3:$CK$86,MATCH(B377,'vehicles specifications'!$A$3:$A$86,0),MATCH("Emission standard",'vehicles specifications'!$B$2:$CK$2,0))</f>
        <v>None</v>
      </c>
    </row>
    <row r="395" spans="1:8" x14ac:dyDescent="0.3">
      <c r="A395" t="s">
        <v>144</v>
      </c>
      <c r="B395" s="6">
        <f>INDEX('vehicles specifications'!$B$3:$CK$86,MATCH(B377,'vehicles specifications'!$A$3:$A$86,0),MATCH("Lightweighting rate [%]",'vehicles specifications'!$B$2:$CK$2,0))</f>
        <v>0.03</v>
      </c>
    </row>
    <row r="396" spans="1:8" x14ac:dyDescent="0.3">
      <c r="A396" t="s">
        <v>84</v>
      </c>
      <c r="B396" s="21" t="str">
        <f>"Power: "&amp;B388&amp;" kW. Lifetime: "&amp;B382&amp;" km. Annual kilometers: "&amp;B386&amp;" km. Number of passengers: "&amp;B383&amp;". Curb mass: "&amp;ROUND(B387,1)&amp;" kg. Lightweighting of glider: "&amp;ROUND(B395*100,0)&amp;"%. Emission standard: "&amp;B394&amp;". Service visits throughout lifetime: every year for "&amp;B382/B386&amp;" years. Range: "&amp;ROUND(B393,0)&amp;" km. Battery capacity: "&amp;ROUND(B390,1)&amp;" kWh. Battery mass: "&amp;ROUND(B389,1)&amp; " kg. Battery replacement throughout lifetime: "&amp;ROUND(B385,1)&amp;". Fuel tank capacity: "&amp;ROUND(B391,1)&amp;" kWh. Fuel mass: "&amp;ROUND(B392,1)&amp;" kg. Documentation: "&amp;Readmefirst!$B$2&amp;", "&amp;Readmefirst!$B$3&amp;". "&amp;B381</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97" spans="1:8" ht="15.6" x14ac:dyDescent="0.3">
      <c r="A397" s="11" t="s">
        <v>80</v>
      </c>
    </row>
    <row r="398" spans="1:8" x14ac:dyDescent="0.3">
      <c r="A398" t="s">
        <v>81</v>
      </c>
      <c r="B398" t="s">
        <v>82</v>
      </c>
      <c r="C398" t="s">
        <v>73</v>
      </c>
      <c r="D398" t="s">
        <v>77</v>
      </c>
      <c r="E398" t="s">
        <v>83</v>
      </c>
      <c r="F398" t="s">
        <v>75</v>
      </c>
      <c r="G398" t="s">
        <v>84</v>
      </c>
      <c r="H398" t="s">
        <v>74</v>
      </c>
    </row>
    <row r="399" spans="1:8" x14ac:dyDescent="0.3">
      <c r="A399" s="12" t="str">
        <f>B372</f>
        <v>transport, Tram, electric, 2030, label-certified electricity</v>
      </c>
      <c r="B399" s="12">
        <v>1</v>
      </c>
      <c r="C399" s="12" t="str">
        <f>B373</f>
        <v>CH</v>
      </c>
      <c r="D399" s="12" t="str">
        <f>B380</f>
        <v>person-kilometer</v>
      </c>
      <c r="E399" s="12"/>
      <c r="F399" s="12" t="s">
        <v>85</v>
      </c>
      <c r="G399" s="12" t="s">
        <v>86</v>
      </c>
      <c r="H399" s="12" t="str">
        <f>B378</f>
        <v>transport, Tram, electric</v>
      </c>
    </row>
    <row r="400" spans="1:8" x14ac:dyDescent="0.3">
      <c r="A400" s="12" t="str">
        <f>B374&amp;", "&amp;B376</f>
        <v>Tram, electric, 2030</v>
      </c>
      <c r="B400" s="12">
        <f>1/B382/B383</f>
        <v>9.3984962406015038E-9</v>
      </c>
      <c r="C400" s="12" t="str">
        <f>B373</f>
        <v>CH</v>
      </c>
      <c r="D400" s="12" t="s">
        <v>77</v>
      </c>
      <c r="E400" s="12"/>
      <c r="F400" s="12" t="s">
        <v>91</v>
      </c>
      <c r="G400" s="12"/>
      <c r="H400" s="12" t="str">
        <f>RIGHT(H399,LEN(H399)-11)</f>
        <v>Tram, electric</v>
      </c>
    </row>
    <row r="401" spans="1:8" x14ac:dyDescent="0.3">
      <c r="A401" s="12" t="s">
        <v>114</v>
      </c>
      <c r="B401" s="14">
        <f>INDEX('vehicles specifications'!$B$3:$CK$86,MATCH(B377,'vehicles specifications'!$A$3:$A$86,0),MATCH(G401,'vehicles specifications'!$B$2:$CK$2,0))*INDEX('ei names mapping'!$B$137:$BK$220,MATCH(B377,'ei names mapping'!$A$137:$A$220,0),MATCH(G401,'ei names mapping'!$B$136:$BK$136,0))</f>
        <v>9.7222222222222224E-2</v>
      </c>
      <c r="C401" s="12" t="str">
        <f>INDEX('ei names mapping'!$B$38:$BK$67,MATCH(B374,'ei names mapping'!$A$4:$A$33,0),MATCH(G401,'ei names mapping'!$B$3:$BK$3,0))</f>
        <v>CH</v>
      </c>
      <c r="D401" s="12" t="str">
        <f>INDEX('ei names mapping'!$B$104:$BK$133,MATCH(B374,'ei names mapping'!$A$4:$A$33,0),MATCH(G401,'ei names mapping'!$B$3:$BK$3,0))</f>
        <v>kilowatt hour</v>
      </c>
      <c r="E401" s="12"/>
      <c r="F401" s="12" t="s">
        <v>91</v>
      </c>
      <c r="G401" t="s">
        <v>28</v>
      </c>
      <c r="H401" s="12" t="s">
        <v>116</v>
      </c>
    </row>
    <row r="402" spans="1:8" s="21" customFormat="1" x14ac:dyDescent="0.3">
      <c r="A402" s="12" t="s">
        <v>575</v>
      </c>
      <c r="B402" s="15">
        <f>0.00000971/B383</f>
        <v>2.5552631578947371E-7</v>
      </c>
      <c r="C402" s="12" t="s">
        <v>98</v>
      </c>
      <c r="D402" s="12" t="s">
        <v>78</v>
      </c>
      <c r="E402" s="12"/>
      <c r="F402" s="12" t="s">
        <v>91</v>
      </c>
      <c r="G402" s="21" t="s">
        <v>577</v>
      </c>
      <c r="H402" s="12" t="s">
        <v>576</v>
      </c>
    </row>
    <row r="403" spans="1:8" x14ac:dyDescent="0.3">
      <c r="A403" s="12" t="str">
        <f>INDEX('ei names mapping'!$B$4:$R$33,MATCH(B374,'ei names mapping'!$A$4:$A$33,0),MATCH(G403,'ei names mapping'!$B$3:$R$3,0))</f>
        <v>maintenance, tram</v>
      </c>
      <c r="B403" s="15">
        <f>INDEX('vehicles specifications'!$B$3:$CK$86,MATCH(B377,'vehicles specifications'!$A$3:$A$86,0),MATCH(G403,'vehicles specifications'!$B$2:$CK$2,0))*INDEX('ei names mapping'!$B$137:$BK$220,MATCH(B377,'ei names mapping'!$A$137:$A$220,0),MATCH(G403,'ei names mapping'!$B$136:$BK$136,0))</f>
        <v>1.2531328320802004E-8</v>
      </c>
      <c r="C403" s="12" t="str">
        <f>INDEX('ei names mapping'!$B$38:$BK$67,MATCH(B374,'ei names mapping'!$A$4:$A$33,0),MATCH(G403,'ei names mapping'!$B$3:$BK$3,0))</f>
        <v>CH</v>
      </c>
      <c r="D403" s="12" t="str">
        <f>INDEX('ei names mapping'!$B$104:$BK$133,MATCH(B374,'ei names mapping'!$A$4:$A$33,0),MATCH(G403,'ei names mapping'!$B$3:$BK$3,0))</f>
        <v>unit</v>
      </c>
      <c r="E403" s="12"/>
      <c r="F403" s="12" t="s">
        <v>91</v>
      </c>
      <c r="G403" t="s">
        <v>123</v>
      </c>
      <c r="H403" s="12" t="str">
        <f>INDEX('ei names mapping'!$B$71:$BK$100,MATCH(B374,'ei names mapping'!$A$4:$A$33,0),MATCH(G403,'ei names mapping'!$B$3:$BK$3,0))</f>
        <v>maintenance, tram</v>
      </c>
    </row>
    <row r="404" spans="1:8" s="21" customFormat="1" x14ac:dyDescent="0.3">
      <c r="A404" s="21" t="s">
        <v>578</v>
      </c>
      <c r="B404" s="15">
        <f>B402</f>
        <v>2.5552631578947371E-7</v>
      </c>
      <c r="C404" s="12"/>
      <c r="D404" s="12" t="s">
        <v>78</v>
      </c>
      <c r="E404" s="12" t="s">
        <v>171</v>
      </c>
      <c r="F404" s="12" t="s">
        <v>173</v>
      </c>
      <c r="G404" s="12" t="s">
        <v>579</v>
      </c>
      <c r="H404" s="12"/>
    </row>
    <row r="405" spans="1:8" s="21" customFormat="1" x14ac:dyDescent="0.3">
      <c r="A405" s="21" t="s">
        <v>464</v>
      </c>
      <c r="B405" s="15">
        <f>0.00000016/B383</f>
        <v>4.2105263157894742E-9</v>
      </c>
      <c r="C405" s="12"/>
      <c r="D405" s="12" t="s">
        <v>78</v>
      </c>
      <c r="E405" s="12" t="s">
        <v>171</v>
      </c>
      <c r="F405" s="12" t="s">
        <v>173</v>
      </c>
      <c r="G405" s="12" t="s">
        <v>584</v>
      </c>
      <c r="H405" s="12"/>
    </row>
    <row r="406" spans="1:8" s="21" customFormat="1" x14ac:dyDescent="0.3">
      <c r="A406" s="21" t="s">
        <v>580</v>
      </c>
      <c r="B406" s="15">
        <f>0.00000032/B383</f>
        <v>8.4210526315789483E-9</v>
      </c>
      <c r="C406" s="12"/>
      <c r="D406" s="12" t="s">
        <v>78</v>
      </c>
      <c r="E406" s="12" t="s">
        <v>171</v>
      </c>
      <c r="F406" s="12" t="s">
        <v>173</v>
      </c>
      <c r="G406" s="12" t="s">
        <v>584</v>
      </c>
      <c r="H406" s="12"/>
    </row>
    <row r="407" spans="1:8" s="21" customFormat="1" x14ac:dyDescent="0.3">
      <c r="A407" s="21" t="s">
        <v>581</v>
      </c>
      <c r="B407" s="15">
        <f>0.00000033/B383</f>
        <v>8.6842105263157895E-9</v>
      </c>
      <c r="C407" s="12"/>
      <c r="D407" s="12" t="s">
        <v>78</v>
      </c>
      <c r="E407" s="12" t="s">
        <v>171</v>
      </c>
      <c r="F407" s="12" t="s">
        <v>173</v>
      </c>
      <c r="G407" s="12" t="s">
        <v>584</v>
      </c>
      <c r="H407" s="12"/>
    </row>
    <row r="408" spans="1:8" s="21" customFormat="1" x14ac:dyDescent="0.3">
      <c r="A408" s="21" t="s">
        <v>464</v>
      </c>
      <c r="B408" s="15">
        <f>0.000009/B383</f>
        <v>2.368421052631579E-7</v>
      </c>
      <c r="C408" s="12"/>
      <c r="D408" s="12" t="s">
        <v>78</v>
      </c>
      <c r="E408" s="12" t="s">
        <v>171</v>
      </c>
      <c r="F408" s="12" t="s">
        <v>173</v>
      </c>
      <c r="G408" s="12" t="s">
        <v>585</v>
      </c>
      <c r="H408" s="12"/>
    </row>
    <row r="409" spans="1:8" s="21" customFormat="1" x14ac:dyDescent="0.3">
      <c r="A409" s="21" t="s">
        <v>580</v>
      </c>
      <c r="B409" s="15">
        <f>0.000018/B383</f>
        <v>4.736842105263158E-7</v>
      </c>
      <c r="C409" s="12"/>
      <c r="D409" s="12" t="s">
        <v>78</v>
      </c>
      <c r="E409" s="12" t="s">
        <v>171</v>
      </c>
      <c r="F409" s="12" t="s">
        <v>173</v>
      </c>
      <c r="G409" s="12" t="s">
        <v>585</v>
      </c>
      <c r="H409" s="12"/>
    </row>
    <row r="410" spans="1:8" s="21" customFormat="1" x14ac:dyDescent="0.3">
      <c r="A410" s="21" t="s">
        <v>464</v>
      </c>
      <c r="B410" s="15">
        <f>0.000004/B383</f>
        <v>1.0526315789473683E-7</v>
      </c>
      <c r="C410" s="12"/>
      <c r="D410" s="12" t="s">
        <v>78</v>
      </c>
      <c r="E410" s="12" t="s">
        <v>171</v>
      </c>
      <c r="F410" s="12" t="s">
        <v>173</v>
      </c>
      <c r="G410" s="12" t="s">
        <v>586</v>
      </c>
      <c r="H410" s="12"/>
    </row>
    <row r="411" spans="1:8" s="21" customFormat="1" x14ac:dyDescent="0.3">
      <c r="A411" s="21" t="s">
        <v>580</v>
      </c>
      <c r="B411" s="15">
        <f>0.000008/B383</f>
        <v>2.1052631578947366E-7</v>
      </c>
      <c r="C411" s="12"/>
      <c r="D411" s="12" t="s">
        <v>78</v>
      </c>
      <c r="E411" s="12" t="s">
        <v>171</v>
      </c>
      <c r="F411" s="12" t="s">
        <v>173</v>
      </c>
      <c r="G411" s="12" t="s">
        <v>586</v>
      </c>
      <c r="H411" s="12"/>
    </row>
    <row r="412" spans="1:8" s="21" customFormat="1" x14ac:dyDescent="0.3">
      <c r="A412" s="21" t="s">
        <v>582</v>
      </c>
      <c r="B412" s="15">
        <f>0.00000008/B383</f>
        <v>2.1052631578947371E-9</v>
      </c>
      <c r="C412" s="12"/>
      <c r="D412" s="12" t="s">
        <v>78</v>
      </c>
      <c r="E412" s="12" t="s">
        <v>171</v>
      </c>
      <c r="F412" s="12" t="s">
        <v>173</v>
      </c>
      <c r="G412" s="12" t="s">
        <v>586</v>
      </c>
      <c r="H412" s="12"/>
    </row>
    <row r="413" spans="1:8" s="21" customFormat="1" x14ac:dyDescent="0.3">
      <c r="A413" s="21" t="s">
        <v>583</v>
      </c>
      <c r="B413" s="15">
        <f>0.00000016/B383</f>
        <v>4.2105263157894742E-9</v>
      </c>
      <c r="C413" s="12"/>
      <c r="D413" s="12" t="s">
        <v>78</v>
      </c>
      <c r="E413" s="12" t="s">
        <v>171</v>
      </c>
      <c r="F413" s="12" t="s">
        <v>173</v>
      </c>
      <c r="G413" s="12" t="s">
        <v>586</v>
      </c>
      <c r="H413" s="12"/>
    </row>
    <row r="415" spans="1:8" ht="15.6" x14ac:dyDescent="0.3">
      <c r="A415" s="11" t="s">
        <v>72</v>
      </c>
      <c r="B415" s="9" t="str">
        <f>"transport, "&amp;B417&amp;", "&amp;B419&amp;", label-certified electricity"</f>
        <v>transport, Tram, electric, 2040, label-certified electricity</v>
      </c>
    </row>
    <row r="416" spans="1:8" x14ac:dyDescent="0.3">
      <c r="A416" t="s">
        <v>73</v>
      </c>
      <c r="B416" t="s">
        <v>37</v>
      </c>
    </row>
    <row r="417" spans="1:2" x14ac:dyDescent="0.3">
      <c r="A417" t="s">
        <v>87</v>
      </c>
      <c r="B417" s="21" t="s">
        <v>519</v>
      </c>
    </row>
    <row r="418" spans="1:2" x14ac:dyDescent="0.3">
      <c r="A418" t="s">
        <v>88</v>
      </c>
      <c r="B418" s="12"/>
    </row>
    <row r="419" spans="1:2" x14ac:dyDescent="0.3">
      <c r="A419" t="s">
        <v>89</v>
      </c>
      <c r="B419" s="12">
        <v>2040</v>
      </c>
    </row>
    <row r="420" spans="1:2" x14ac:dyDescent="0.3">
      <c r="A420" t="s">
        <v>131</v>
      </c>
      <c r="B420" s="12" t="str">
        <f>B417&amp;" - "&amp;B419&amp;" - "&amp;B416</f>
        <v>Tram, electric - 2040 - CH</v>
      </c>
    </row>
    <row r="421" spans="1:2" x14ac:dyDescent="0.3">
      <c r="A421" t="s">
        <v>74</v>
      </c>
      <c r="B421" s="12" t="str">
        <f>"transport, "&amp;B417</f>
        <v>transport, Tram, electric</v>
      </c>
    </row>
    <row r="422" spans="1:2" x14ac:dyDescent="0.3">
      <c r="A422" t="s">
        <v>75</v>
      </c>
      <c r="B422" t="s">
        <v>76</v>
      </c>
    </row>
    <row r="423" spans="1:2" x14ac:dyDescent="0.3">
      <c r="A423" t="s">
        <v>77</v>
      </c>
      <c r="B423" t="s">
        <v>175</v>
      </c>
    </row>
    <row r="424" spans="1:2" x14ac:dyDescent="0.3">
      <c r="A424" t="s">
        <v>79</v>
      </c>
      <c r="B424" t="s">
        <v>90</v>
      </c>
    </row>
    <row r="425" spans="1:2" x14ac:dyDescent="0.3">
      <c r="A425" t="s">
        <v>132</v>
      </c>
      <c r="B425">
        <f>INDEX('vehicles specifications'!$B$3:$CK$86,MATCH(B420,'vehicles specifications'!$A$3:$A$86,0),MATCH("Lifetime [km]",'vehicles specifications'!$B$2:$CK$2,0))</f>
        <v>2800000</v>
      </c>
    </row>
    <row r="426" spans="1:2" x14ac:dyDescent="0.3">
      <c r="A426" t="s">
        <v>133</v>
      </c>
      <c r="B426">
        <f>INDEX('vehicles specifications'!$B$3:$CK$86,MATCH(B420,'vehicles specifications'!$A$3:$A$86,0),MATCH("Passengers [unit]",'vehicles specifications'!$B$2:$CK$2,0))</f>
        <v>38</v>
      </c>
    </row>
    <row r="427" spans="1:2" x14ac:dyDescent="0.3">
      <c r="A427" t="s">
        <v>134</v>
      </c>
      <c r="B427">
        <f>INDEX('vehicles specifications'!$B$3:$CK$86,MATCH(B420,'vehicles specifications'!$A$3:$A$86,0),MATCH("Servicing [unit]",'vehicles specifications'!$B$2:$CK$2,0))</f>
        <v>1.3333333333333333</v>
      </c>
    </row>
    <row r="428" spans="1:2" x14ac:dyDescent="0.3">
      <c r="A428" t="s">
        <v>135</v>
      </c>
      <c r="B428">
        <f>INDEX('vehicles specifications'!$B$3:$CK$86,MATCH(B420,'vehicles specifications'!$A$3:$A$86,0),MATCH("Energy battery replacement [unit]",'vehicles specifications'!$B$2:$CK$2,0))</f>
        <v>0</v>
      </c>
    </row>
    <row r="429" spans="1:2" x14ac:dyDescent="0.3">
      <c r="A429" t="s">
        <v>136</v>
      </c>
      <c r="B429">
        <f>INDEX('vehicles specifications'!$B$3:$CK$86,MATCH(B420,'vehicles specifications'!$A$3:$A$86,0),MATCH("Annual kilometers [km]",'vehicles specifications'!$B$2:$CK$2,0))</f>
        <v>70000</v>
      </c>
    </row>
    <row r="430" spans="1:2" x14ac:dyDescent="0.3">
      <c r="A430" t="s">
        <v>137</v>
      </c>
      <c r="B430">
        <f>INDEX('vehicles specifications'!$B$3:$CK$86,MATCH(B420,'vehicles specifications'!$A$3:$A$86,0),MATCH("Curb mass [kg]",'vehicles specifications'!$B$2:$CK$2,0))</f>
        <v>51202</v>
      </c>
    </row>
    <row r="431" spans="1:2" x14ac:dyDescent="0.3">
      <c r="A431" t="s">
        <v>138</v>
      </c>
      <c r="B431">
        <f>INDEX('vehicles specifications'!$B$3:$CK$86,MATCH(B420,'vehicles specifications'!$A$3:$A$86,0),MATCH("Power [kW]",'vehicles specifications'!$B$2:$CK$2,0))</f>
        <v>660</v>
      </c>
    </row>
    <row r="432" spans="1:2" x14ac:dyDescent="0.3">
      <c r="A432" t="s">
        <v>139</v>
      </c>
      <c r="B432">
        <f>INDEX('vehicles specifications'!$B$3:$CK$86,MATCH(B420,'vehicles specifications'!$A$3:$A$86,0),MATCH("Energy battery mass [kg]",'vehicles specifications'!$B$2:$CK$2,0))</f>
        <v>0</v>
      </c>
    </row>
    <row r="433" spans="1:8" x14ac:dyDescent="0.3">
      <c r="A433" t="s">
        <v>140</v>
      </c>
      <c r="B433">
        <f>INDEX('vehicles specifications'!$B$3:$CK$86,MATCH(B420,'vehicles specifications'!$A$3:$A$86,0),MATCH("Electric energy available [kWh]",'vehicles specifications'!$B$2:$CK$2,0))</f>
        <v>0</v>
      </c>
    </row>
    <row r="434" spans="1:8" x14ac:dyDescent="0.3">
      <c r="A434" t="s">
        <v>143</v>
      </c>
      <c r="B434">
        <f>INDEX('vehicles specifications'!$B$3:$CK$86,MATCH(B420,'vehicles specifications'!$A$3:$A$86,0),MATCH("Oxydation energy stored [kWh]",'vehicles specifications'!$B$2:$CK$2,0))</f>
        <v>0</v>
      </c>
    </row>
    <row r="435" spans="1:8" x14ac:dyDescent="0.3">
      <c r="A435" t="s">
        <v>145</v>
      </c>
      <c r="B435">
        <f>INDEX('vehicles specifications'!$B$3:$CK$86,MATCH(B420,'vehicles specifications'!$A$3:$A$86,0),MATCH("Fuel mass [kg]",'vehicles specifications'!$B$2:$CK$2,0))</f>
        <v>0</v>
      </c>
    </row>
    <row r="436" spans="1:8" x14ac:dyDescent="0.3">
      <c r="A436" t="s">
        <v>141</v>
      </c>
      <c r="B436">
        <f>INDEX('vehicles specifications'!$B$3:$CK$86,MATCH(B420,'vehicles specifications'!$A$3:$A$86,0),MATCH("Range [km]",'vehicles specifications'!$B$2:$CK$2,0))</f>
        <v>0</v>
      </c>
    </row>
    <row r="437" spans="1:8" x14ac:dyDescent="0.3">
      <c r="A437" t="s">
        <v>142</v>
      </c>
      <c r="B437" t="str">
        <f>INDEX('vehicles specifications'!$B$3:$CK$86,MATCH(B420,'vehicles specifications'!$A$3:$A$86,0),MATCH("Emission standard",'vehicles specifications'!$B$2:$CK$2,0))</f>
        <v>None</v>
      </c>
    </row>
    <row r="438" spans="1:8" x14ac:dyDescent="0.3">
      <c r="A438" t="s">
        <v>144</v>
      </c>
      <c r="B438" s="6">
        <f>INDEX('vehicles specifications'!$B$3:$CK$86,MATCH(B420,'vehicles specifications'!$A$3:$A$86,0),MATCH("Lightweighting rate [%]",'vehicles specifications'!$B$2:$CK$2,0))</f>
        <v>0.05</v>
      </c>
    </row>
    <row r="439" spans="1:8" x14ac:dyDescent="0.3">
      <c r="A439" t="s">
        <v>84</v>
      </c>
      <c r="B439" s="21" t="str">
        <f>"Power: "&amp;B431&amp;" kW. Lifetime: "&amp;B425&amp;" km. Annual kilometers: "&amp;B429&amp;" km. Number of passengers: "&amp;B426&amp;". Curb mass: "&amp;ROUND(B430,1)&amp;" kg. Lightweighting of glider: "&amp;ROUND(B438*100,0)&amp;"%. Emission standard: "&amp;B437&amp;". Service visits throughout lifetime: every year for "&amp;B425/B429&amp;" years. Range: "&amp;ROUND(B436,0)&amp;" km. Battery capacity: "&amp;ROUND(B433,1)&amp;" kWh. Battery mass: "&amp;ROUND(B432,1)&amp; " kg. Battery replacement throughout lifetime: "&amp;ROUND(B428,1)&amp;". Fuel tank capacity: "&amp;ROUND(B434,1)&amp;" kWh. Fuel mass: "&amp;ROUND(B435,1)&amp;" kg. Documentation: "&amp;Readmefirst!$B$2&amp;", "&amp;Readmefirst!$B$3&amp;". "&amp;B424</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40" spans="1:8" ht="15.6" x14ac:dyDescent="0.3">
      <c r="A440" s="11" t="s">
        <v>80</v>
      </c>
    </row>
    <row r="441" spans="1:8" x14ac:dyDescent="0.3">
      <c r="A441" t="s">
        <v>81</v>
      </c>
      <c r="B441" t="s">
        <v>82</v>
      </c>
      <c r="C441" t="s">
        <v>73</v>
      </c>
      <c r="D441" t="s">
        <v>77</v>
      </c>
      <c r="E441" t="s">
        <v>83</v>
      </c>
      <c r="F441" t="s">
        <v>75</v>
      </c>
      <c r="G441" t="s">
        <v>84</v>
      </c>
      <c r="H441" t="s">
        <v>74</v>
      </c>
    </row>
    <row r="442" spans="1:8" x14ac:dyDescent="0.3">
      <c r="A442" s="12" t="str">
        <f>B415</f>
        <v>transport, Tram, electric, 2040, label-certified electricity</v>
      </c>
      <c r="B442" s="12">
        <v>1</v>
      </c>
      <c r="C442" s="12" t="str">
        <f>B416</f>
        <v>CH</v>
      </c>
      <c r="D442" s="12" t="str">
        <f>B423</f>
        <v>person-kilometer</v>
      </c>
      <c r="E442" s="12"/>
      <c r="F442" s="12" t="s">
        <v>85</v>
      </c>
      <c r="G442" s="12" t="s">
        <v>86</v>
      </c>
      <c r="H442" s="12" t="str">
        <f>B421</f>
        <v>transport, Tram, electric</v>
      </c>
    </row>
    <row r="443" spans="1:8" x14ac:dyDescent="0.3">
      <c r="A443" s="12" t="str">
        <f>B417&amp;", "&amp;B419</f>
        <v>Tram, electric, 2040</v>
      </c>
      <c r="B443" s="12">
        <f>1/B425/B426</f>
        <v>9.3984962406015038E-9</v>
      </c>
      <c r="C443" s="12" t="str">
        <f>B416</f>
        <v>CH</v>
      </c>
      <c r="D443" s="12" t="s">
        <v>77</v>
      </c>
      <c r="E443" s="12"/>
      <c r="F443" s="12" t="s">
        <v>91</v>
      </c>
      <c r="G443" s="12"/>
      <c r="H443" s="12" t="str">
        <f>RIGHT(H442,LEN(H442)-11)</f>
        <v>Tram, electric</v>
      </c>
    </row>
    <row r="444" spans="1:8" x14ac:dyDescent="0.3">
      <c r="A444" s="12" t="s">
        <v>114</v>
      </c>
      <c r="B444" s="14">
        <f>INDEX('vehicles specifications'!$B$3:$CK$86,MATCH(B420,'vehicles specifications'!$A$3:$A$86,0),MATCH(G444,'vehicles specifications'!$B$2:$CK$2,0))*INDEX('ei names mapping'!$B$137:$BK$220,MATCH(B420,'ei names mapping'!$A$137:$A$220,0),MATCH(G444,'ei names mapping'!$B$136:$BK$136,0))</f>
        <v>9.7222222222222224E-2</v>
      </c>
      <c r="C444" s="12" t="str">
        <f>INDEX('ei names mapping'!$B$38:$BK$67,MATCH(B417,'ei names mapping'!$A$4:$A$33,0),MATCH(G444,'ei names mapping'!$B$3:$BK$3,0))</f>
        <v>CH</v>
      </c>
      <c r="D444" s="12" t="str">
        <f>INDEX('ei names mapping'!$B$104:$BK$133,MATCH(B417,'ei names mapping'!$A$4:$A$33,0),MATCH(G444,'ei names mapping'!$B$3:$BK$3,0))</f>
        <v>kilowatt hour</v>
      </c>
      <c r="E444" s="12"/>
      <c r="F444" s="12" t="s">
        <v>91</v>
      </c>
      <c r="G444" t="s">
        <v>28</v>
      </c>
      <c r="H444" s="12" t="s">
        <v>116</v>
      </c>
    </row>
    <row r="445" spans="1:8" s="21" customFormat="1" x14ac:dyDescent="0.3">
      <c r="A445" s="12" t="s">
        <v>575</v>
      </c>
      <c r="B445" s="15">
        <f>0.00000971/B426</f>
        <v>2.5552631578947371E-7</v>
      </c>
      <c r="C445" s="12" t="s">
        <v>98</v>
      </c>
      <c r="D445" s="12" t="s">
        <v>78</v>
      </c>
      <c r="E445" s="12"/>
      <c r="F445" s="12" t="s">
        <v>91</v>
      </c>
      <c r="G445" s="21" t="s">
        <v>577</v>
      </c>
      <c r="H445" s="12" t="s">
        <v>576</v>
      </c>
    </row>
    <row r="446" spans="1:8" x14ac:dyDescent="0.3">
      <c r="A446" s="12" t="str">
        <f>INDEX('ei names mapping'!$B$4:$R$33,MATCH(B417,'ei names mapping'!$A$4:$A$33,0),MATCH(G446,'ei names mapping'!$B$3:$R$3,0))</f>
        <v>maintenance, tram</v>
      </c>
      <c r="B446" s="15">
        <f>INDEX('vehicles specifications'!$B$3:$CK$86,MATCH(B420,'vehicles specifications'!$A$3:$A$86,0),MATCH(G446,'vehicles specifications'!$B$2:$CK$2,0))*INDEX('ei names mapping'!$B$137:$BK$220,MATCH(B420,'ei names mapping'!$A$137:$A$220,0),MATCH(G446,'ei names mapping'!$B$136:$BK$136,0))</f>
        <v>1.2531328320802004E-8</v>
      </c>
      <c r="C446" s="12" t="str">
        <f>INDEX('ei names mapping'!$B$38:$BK$67,MATCH(B417,'ei names mapping'!$A$4:$A$33,0),MATCH(G446,'ei names mapping'!$B$3:$BK$3,0))</f>
        <v>CH</v>
      </c>
      <c r="D446" s="12" t="str">
        <f>INDEX('ei names mapping'!$B$104:$BK$133,MATCH(B417,'ei names mapping'!$A$4:$A$33,0),MATCH(G446,'ei names mapping'!$B$3:$BK$3,0))</f>
        <v>unit</v>
      </c>
      <c r="E446" s="12"/>
      <c r="F446" s="12" t="s">
        <v>91</v>
      </c>
      <c r="G446" t="s">
        <v>123</v>
      </c>
      <c r="H446" s="12" t="str">
        <f>INDEX('ei names mapping'!$B$71:$BK$100,MATCH(B417,'ei names mapping'!$A$4:$A$33,0),MATCH(G446,'ei names mapping'!$B$3:$BK$3,0))</f>
        <v>maintenance, tram</v>
      </c>
    </row>
    <row r="447" spans="1:8" s="21" customFormat="1" x14ac:dyDescent="0.3">
      <c r="A447" s="21" t="s">
        <v>578</v>
      </c>
      <c r="B447" s="15">
        <f>B445</f>
        <v>2.5552631578947371E-7</v>
      </c>
      <c r="C447" s="12"/>
      <c r="D447" s="12" t="s">
        <v>78</v>
      </c>
      <c r="E447" s="12" t="s">
        <v>171</v>
      </c>
      <c r="F447" s="12" t="s">
        <v>173</v>
      </c>
      <c r="G447" s="12" t="s">
        <v>579</v>
      </c>
      <c r="H447" s="12"/>
    </row>
    <row r="448" spans="1:8" s="21" customFormat="1" x14ac:dyDescent="0.3">
      <c r="A448" s="21" t="s">
        <v>464</v>
      </c>
      <c r="B448" s="15">
        <f>0.00000016/B426</f>
        <v>4.2105263157894742E-9</v>
      </c>
      <c r="C448" s="12"/>
      <c r="D448" s="12" t="s">
        <v>78</v>
      </c>
      <c r="E448" s="12" t="s">
        <v>171</v>
      </c>
      <c r="F448" s="12" t="s">
        <v>173</v>
      </c>
      <c r="G448" s="12" t="s">
        <v>584</v>
      </c>
      <c r="H448" s="12"/>
    </row>
    <row r="449" spans="1:8" s="21" customFormat="1" x14ac:dyDescent="0.3">
      <c r="A449" s="21" t="s">
        <v>580</v>
      </c>
      <c r="B449" s="15">
        <f>0.00000032/B426</f>
        <v>8.4210526315789483E-9</v>
      </c>
      <c r="C449" s="12"/>
      <c r="D449" s="12" t="s">
        <v>78</v>
      </c>
      <c r="E449" s="12" t="s">
        <v>171</v>
      </c>
      <c r="F449" s="12" t="s">
        <v>173</v>
      </c>
      <c r="G449" s="12" t="s">
        <v>584</v>
      </c>
      <c r="H449" s="12"/>
    </row>
    <row r="450" spans="1:8" s="21" customFormat="1" x14ac:dyDescent="0.3">
      <c r="A450" s="21" t="s">
        <v>581</v>
      </c>
      <c r="B450" s="15">
        <f>0.00000033/B426</f>
        <v>8.6842105263157895E-9</v>
      </c>
      <c r="C450" s="12"/>
      <c r="D450" s="12" t="s">
        <v>78</v>
      </c>
      <c r="E450" s="12" t="s">
        <v>171</v>
      </c>
      <c r="F450" s="12" t="s">
        <v>173</v>
      </c>
      <c r="G450" s="12" t="s">
        <v>584</v>
      </c>
      <c r="H450" s="12"/>
    </row>
    <row r="451" spans="1:8" s="21" customFormat="1" x14ac:dyDescent="0.3">
      <c r="A451" s="21" t="s">
        <v>464</v>
      </c>
      <c r="B451" s="15">
        <f>0.000009/B426</f>
        <v>2.368421052631579E-7</v>
      </c>
      <c r="C451" s="12"/>
      <c r="D451" s="12" t="s">
        <v>78</v>
      </c>
      <c r="E451" s="12" t="s">
        <v>171</v>
      </c>
      <c r="F451" s="12" t="s">
        <v>173</v>
      </c>
      <c r="G451" s="12" t="s">
        <v>585</v>
      </c>
      <c r="H451" s="12"/>
    </row>
    <row r="452" spans="1:8" s="21" customFormat="1" x14ac:dyDescent="0.3">
      <c r="A452" s="21" t="s">
        <v>580</v>
      </c>
      <c r="B452" s="15">
        <f>0.000018/B426</f>
        <v>4.736842105263158E-7</v>
      </c>
      <c r="C452" s="12"/>
      <c r="D452" s="12" t="s">
        <v>78</v>
      </c>
      <c r="E452" s="12" t="s">
        <v>171</v>
      </c>
      <c r="F452" s="12" t="s">
        <v>173</v>
      </c>
      <c r="G452" s="12" t="s">
        <v>585</v>
      </c>
      <c r="H452" s="12"/>
    </row>
    <row r="453" spans="1:8" s="21" customFormat="1" x14ac:dyDescent="0.3">
      <c r="A453" s="21" t="s">
        <v>464</v>
      </c>
      <c r="B453" s="15">
        <f>0.000004/B426</f>
        <v>1.0526315789473683E-7</v>
      </c>
      <c r="C453" s="12"/>
      <c r="D453" s="12" t="s">
        <v>78</v>
      </c>
      <c r="E453" s="12" t="s">
        <v>171</v>
      </c>
      <c r="F453" s="12" t="s">
        <v>173</v>
      </c>
      <c r="G453" s="12" t="s">
        <v>586</v>
      </c>
      <c r="H453" s="12"/>
    </row>
    <row r="454" spans="1:8" s="21" customFormat="1" x14ac:dyDescent="0.3">
      <c r="A454" s="21" t="s">
        <v>580</v>
      </c>
      <c r="B454" s="15">
        <f>0.000008/B426</f>
        <v>2.1052631578947366E-7</v>
      </c>
      <c r="C454" s="12"/>
      <c r="D454" s="12" t="s">
        <v>78</v>
      </c>
      <c r="E454" s="12" t="s">
        <v>171</v>
      </c>
      <c r="F454" s="12" t="s">
        <v>173</v>
      </c>
      <c r="G454" s="12" t="s">
        <v>586</v>
      </c>
      <c r="H454" s="12"/>
    </row>
    <row r="455" spans="1:8" s="21" customFormat="1" x14ac:dyDescent="0.3">
      <c r="A455" s="21" t="s">
        <v>582</v>
      </c>
      <c r="B455" s="15">
        <f>0.00000008/B426</f>
        <v>2.1052631578947371E-9</v>
      </c>
      <c r="C455" s="12"/>
      <c r="D455" s="12" t="s">
        <v>78</v>
      </c>
      <c r="E455" s="12" t="s">
        <v>171</v>
      </c>
      <c r="F455" s="12" t="s">
        <v>173</v>
      </c>
      <c r="G455" s="12" t="s">
        <v>586</v>
      </c>
      <c r="H455" s="12"/>
    </row>
    <row r="456" spans="1:8" s="21" customFormat="1" x14ac:dyDescent="0.3">
      <c r="A456" s="21" t="s">
        <v>583</v>
      </c>
      <c r="B456" s="15">
        <f>0.00000016/B426</f>
        <v>4.2105263157894742E-9</v>
      </c>
      <c r="C456" s="12"/>
      <c r="D456" s="12" t="s">
        <v>78</v>
      </c>
      <c r="E456" s="12" t="s">
        <v>171</v>
      </c>
      <c r="F456" s="12" t="s">
        <v>173</v>
      </c>
      <c r="G456" s="12" t="s">
        <v>586</v>
      </c>
      <c r="H456" s="12"/>
    </row>
    <row r="458" spans="1:8" ht="15.6" x14ac:dyDescent="0.3">
      <c r="A458" s="11" t="s">
        <v>72</v>
      </c>
      <c r="B458" s="9" t="str">
        <f>"transport, "&amp;B460&amp;", "&amp;B462&amp;", label-certified electricity"</f>
        <v>transport, Tram, electric, 2050, label-certified electricity</v>
      </c>
    </row>
    <row r="459" spans="1:8" x14ac:dyDescent="0.3">
      <c r="A459" t="s">
        <v>73</v>
      </c>
      <c r="B459" t="s">
        <v>37</v>
      </c>
    </row>
    <row r="460" spans="1:8" x14ac:dyDescent="0.3">
      <c r="A460" t="s">
        <v>87</v>
      </c>
      <c r="B460" s="21" t="s">
        <v>519</v>
      </c>
    </row>
    <row r="461" spans="1:8" x14ac:dyDescent="0.3">
      <c r="A461" t="s">
        <v>88</v>
      </c>
      <c r="B461" s="12"/>
    </row>
    <row r="462" spans="1:8" x14ac:dyDescent="0.3">
      <c r="A462" t="s">
        <v>89</v>
      </c>
      <c r="B462" s="12">
        <v>2050</v>
      </c>
    </row>
    <row r="463" spans="1:8" x14ac:dyDescent="0.3">
      <c r="A463" t="s">
        <v>131</v>
      </c>
      <c r="B463" s="12" t="str">
        <f>B460&amp;" - "&amp;B462&amp;" - "&amp;B459</f>
        <v>Tram, electric - 2050 - CH</v>
      </c>
    </row>
    <row r="464" spans="1:8" x14ac:dyDescent="0.3">
      <c r="A464" t="s">
        <v>74</v>
      </c>
      <c r="B464" s="12" t="str">
        <f>"transport, "&amp;B460</f>
        <v>transport, Tram, electric</v>
      </c>
    </row>
    <row r="465" spans="1:2" x14ac:dyDescent="0.3">
      <c r="A465" t="s">
        <v>75</v>
      </c>
      <c r="B465" t="s">
        <v>76</v>
      </c>
    </row>
    <row r="466" spans="1:2" x14ac:dyDescent="0.3">
      <c r="A466" t="s">
        <v>77</v>
      </c>
      <c r="B466" t="s">
        <v>175</v>
      </c>
    </row>
    <row r="467" spans="1:2" x14ac:dyDescent="0.3">
      <c r="A467" t="s">
        <v>79</v>
      </c>
      <c r="B467" t="s">
        <v>90</v>
      </c>
    </row>
    <row r="468" spans="1:2" x14ac:dyDescent="0.3">
      <c r="A468" t="s">
        <v>132</v>
      </c>
      <c r="B468">
        <f>INDEX('vehicles specifications'!$B$3:$CK$86,MATCH(B463,'vehicles specifications'!$A$3:$A$86,0),MATCH("Lifetime [km]",'vehicles specifications'!$B$2:$CK$2,0))</f>
        <v>2800000</v>
      </c>
    </row>
    <row r="469" spans="1:2" x14ac:dyDescent="0.3">
      <c r="A469" t="s">
        <v>133</v>
      </c>
      <c r="B469">
        <f>INDEX('vehicles specifications'!$B$3:$CK$86,MATCH(B463,'vehicles specifications'!$A$3:$A$86,0),MATCH("Passengers [unit]",'vehicles specifications'!$B$2:$CK$2,0))</f>
        <v>38</v>
      </c>
    </row>
    <row r="470" spans="1:2" x14ac:dyDescent="0.3">
      <c r="A470" t="s">
        <v>134</v>
      </c>
      <c r="B470">
        <f>INDEX('vehicles specifications'!$B$3:$CK$86,MATCH(B463,'vehicles specifications'!$A$3:$A$86,0),MATCH("Servicing [unit]",'vehicles specifications'!$B$2:$CK$2,0))</f>
        <v>1.3333333333333333</v>
      </c>
    </row>
    <row r="471" spans="1:2" x14ac:dyDescent="0.3">
      <c r="A471" t="s">
        <v>135</v>
      </c>
      <c r="B471">
        <f>INDEX('vehicles specifications'!$B$3:$CK$86,MATCH(B463,'vehicles specifications'!$A$3:$A$86,0),MATCH("Energy battery replacement [unit]",'vehicles specifications'!$B$2:$CK$2,0))</f>
        <v>0</v>
      </c>
    </row>
    <row r="472" spans="1:2" x14ac:dyDescent="0.3">
      <c r="A472" t="s">
        <v>136</v>
      </c>
      <c r="B472">
        <f>INDEX('vehicles specifications'!$B$3:$CK$86,MATCH(B463,'vehicles specifications'!$A$3:$A$86,0),MATCH("Annual kilometers [km]",'vehicles specifications'!$B$2:$CK$2,0))</f>
        <v>70000</v>
      </c>
    </row>
    <row r="473" spans="1:2" x14ac:dyDescent="0.3">
      <c r="A473" t="s">
        <v>137</v>
      </c>
      <c r="B473">
        <f>INDEX('vehicles specifications'!$B$3:$CK$86,MATCH(B463,'vehicles specifications'!$A$3:$A$86,0),MATCH("Curb mass [kg]",'vehicles specifications'!$B$2:$CK$2,0))</f>
        <v>50033</v>
      </c>
    </row>
    <row r="474" spans="1:2" x14ac:dyDescent="0.3">
      <c r="A474" t="s">
        <v>138</v>
      </c>
      <c r="B474">
        <f>INDEX('vehicles specifications'!$B$3:$CK$86,MATCH(B463,'vehicles specifications'!$A$3:$A$86,0),MATCH("Power [kW]",'vehicles specifications'!$B$2:$CK$2,0))</f>
        <v>660</v>
      </c>
    </row>
    <row r="475" spans="1:2" x14ac:dyDescent="0.3">
      <c r="A475" t="s">
        <v>139</v>
      </c>
      <c r="B475">
        <f>INDEX('vehicles specifications'!$B$3:$CK$86,MATCH(B463,'vehicles specifications'!$A$3:$A$86,0),MATCH("Energy battery mass [kg]",'vehicles specifications'!$B$2:$CK$2,0))</f>
        <v>0</v>
      </c>
    </row>
    <row r="476" spans="1:2" x14ac:dyDescent="0.3">
      <c r="A476" t="s">
        <v>140</v>
      </c>
      <c r="B476">
        <f>INDEX('vehicles specifications'!$B$3:$CK$86,MATCH(B463,'vehicles specifications'!$A$3:$A$86,0),MATCH("Electric energy available [kWh]",'vehicles specifications'!$B$2:$CK$2,0))</f>
        <v>0</v>
      </c>
    </row>
    <row r="477" spans="1:2" x14ac:dyDescent="0.3">
      <c r="A477" t="s">
        <v>143</v>
      </c>
      <c r="B477">
        <f>INDEX('vehicles specifications'!$B$3:$CK$86,MATCH(B463,'vehicles specifications'!$A$3:$A$86,0),MATCH("Oxydation energy stored [kWh]",'vehicles specifications'!$B$2:$CK$2,0))</f>
        <v>0</v>
      </c>
    </row>
    <row r="478" spans="1:2" x14ac:dyDescent="0.3">
      <c r="A478" t="s">
        <v>145</v>
      </c>
      <c r="B478">
        <f>INDEX('vehicles specifications'!$B$3:$CK$86,MATCH(B463,'vehicles specifications'!$A$3:$A$86,0),MATCH("Fuel mass [kg]",'vehicles specifications'!$B$2:$CK$2,0))</f>
        <v>0</v>
      </c>
    </row>
    <row r="479" spans="1:2" x14ac:dyDescent="0.3">
      <c r="A479" t="s">
        <v>141</v>
      </c>
      <c r="B479">
        <f>INDEX('vehicles specifications'!$B$3:$CK$86,MATCH(B463,'vehicles specifications'!$A$3:$A$86,0),MATCH("Range [km]",'vehicles specifications'!$B$2:$CK$2,0))</f>
        <v>0</v>
      </c>
    </row>
    <row r="480" spans="1:2" x14ac:dyDescent="0.3">
      <c r="A480" t="s">
        <v>142</v>
      </c>
      <c r="B480" t="str">
        <f>INDEX('vehicles specifications'!$B$3:$CK$86,MATCH(B463,'vehicles specifications'!$A$3:$A$86,0),MATCH("Emission standard",'vehicles specifications'!$B$2:$CK$2,0))</f>
        <v>None</v>
      </c>
    </row>
    <row r="481" spans="1:8" x14ac:dyDescent="0.3">
      <c r="A481" t="s">
        <v>144</v>
      </c>
      <c r="B481" s="6">
        <f>INDEX('vehicles specifications'!$B$3:$CK$86,MATCH(B463,'vehicles specifications'!$A$3:$A$86,0),MATCH("Lightweighting rate [%]",'vehicles specifications'!$B$2:$CK$2,0))</f>
        <v>7.0000000000000007E-2</v>
      </c>
    </row>
    <row r="482" spans="1:8" x14ac:dyDescent="0.3">
      <c r="A482" t="s">
        <v>84</v>
      </c>
      <c r="B482" s="21" t="str">
        <f>"Power: "&amp;B474&amp;" kW. Lifetime: "&amp;B468&amp;" km. Annual kilometers: "&amp;B472&amp;" km. Number of passengers: "&amp;B469&amp;". Curb mass: "&amp;ROUND(B473,1)&amp;" kg. Lightweighting of glider: "&amp;ROUND(B481*100,0)&amp;"%. Emission standard: "&amp;B480&amp;". Service visits throughout lifetime: every year for "&amp;B468/B472&amp;" years. Range: "&amp;ROUND(B479,0)&amp;" km. Battery capacity: "&amp;ROUND(B476,1)&amp;" kWh. Battery mass: "&amp;ROUND(B475,1)&amp; " kg. Battery replacement throughout lifetime: "&amp;ROUND(B471,1)&amp;". Fuel tank capacity: "&amp;ROUND(B477,1)&amp;" kWh. Fuel mass: "&amp;ROUND(B478,1)&amp;" kg. Documentation: "&amp;Readmefirst!$B$2&amp;", "&amp;Readmefirst!$B$3&amp;". "&amp;B467</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483" spans="1:8" ht="15.6" x14ac:dyDescent="0.3">
      <c r="A483" s="11" t="s">
        <v>80</v>
      </c>
    </row>
    <row r="484" spans="1:8" x14ac:dyDescent="0.3">
      <c r="A484" t="s">
        <v>81</v>
      </c>
      <c r="B484" t="s">
        <v>82</v>
      </c>
      <c r="C484" t="s">
        <v>73</v>
      </c>
      <c r="D484" t="s">
        <v>77</v>
      </c>
      <c r="E484" t="s">
        <v>83</v>
      </c>
      <c r="F484" t="s">
        <v>75</v>
      </c>
      <c r="G484" t="s">
        <v>84</v>
      </c>
      <c r="H484" t="s">
        <v>74</v>
      </c>
    </row>
    <row r="485" spans="1:8" x14ac:dyDescent="0.3">
      <c r="A485" s="12" t="str">
        <f>B458</f>
        <v>transport, Tram, electric, 2050, label-certified electricity</v>
      </c>
      <c r="B485" s="12">
        <v>1</v>
      </c>
      <c r="C485" s="12" t="str">
        <f>B459</f>
        <v>CH</v>
      </c>
      <c r="D485" s="12" t="str">
        <f>B466</f>
        <v>person-kilometer</v>
      </c>
      <c r="E485" s="12"/>
      <c r="F485" s="12" t="s">
        <v>85</v>
      </c>
      <c r="G485" s="12" t="s">
        <v>86</v>
      </c>
      <c r="H485" s="12" t="str">
        <f>B464</f>
        <v>transport, Tram, electric</v>
      </c>
    </row>
    <row r="486" spans="1:8" x14ac:dyDescent="0.3">
      <c r="A486" s="12" t="str">
        <f>B460&amp;", "&amp;B462</f>
        <v>Tram, electric, 2050</v>
      </c>
      <c r="B486" s="12">
        <f>1/B468/B469</f>
        <v>9.3984962406015038E-9</v>
      </c>
      <c r="C486" s="12" t="str">
        <f>B459</f>
        <v>CH</v>
      </c>
      <c r="D486" s="12" t="s">
        <v>77</v>
      </c>
      <c r="E486" s="12"/>
      <c r="F486" s="12" t="s">
        <v>91</v>
      </c>
      <c r="G486" s="12"/>
      <c r="H486" s="12" t="str">
        <f>RIGHT(H485,LEN(H485)-11)</f>
        <v>Tram, electric</v>
      </c>
    </row>
    <row r="487" spans="1:8" x14ac:dyDescent="0.3">
      <c r="A487" s="12" t="s">
        <v>114</v>
      </c>
      <c r="B487" s="14">
        <f>INDEX('vehicles specifications'!$B$3:$CK$86,MATCH(B463,'vehicles specifications'!$A$3:$A$86,0),MATCH(G487,'vehicles specifications'!$B$2:$CK$2,0))*INDEX('ei names mapping'!$B$137:$BK$220,MATCH(B463,'ei names mapping'!$A$137:$A$220,0),MATCH(G487,'ei names mapping'!$B$136:$BK$136,0))</f>
        <v>9.7222222222222224E-2</v>
      </c>
      <c r="C487" s="12" t="str">
        <f>INDEX('ei names mapping'!$B$38:$BK$67,MATCH(B460,'ei names mapping'!$A$4:$A$33,0),MATCH(G487,'ei names mapping'!$B$3:$BK$3,0))</f>
        <v>CH</v>
      </c>
      <c r="D487" s="12" t="str">
        <f>INDEX('ei names mapping'!$B$104:$BK$133,MATCH(B460,'ei names mapping'!$A$4:$A$33,0),MATCH(G487,'ei names mapping'!$B$3:$BK$3,0))</f>
        <v>kilowatt hour</v>
      </c>
      <c r="E487" s="12"/>
      <c r="F487" s="12" t="s">
        <v>91</v>
      </c>
      <c r="G487" t="s">
        <v>28</v>
      </c>
      <c r="H487" s="12" t="s">
        <v>116</v>
      </c>
    </row>
    <row r="488" spans="1:8" s="21" customFormat="1" x14ac:dyDescent="0.3">
      <c r="A488" s="12" t="s">
        <v>575</v>
      </c>
      <c r="B488" s="15">
        <f>0.00000971/B469</f>
        <v>2.5552631578947371E-7</v>
      </c>
      <c r="C488" s="12" t="s">
        <v>98</v>
      </c>
      <c r="D488" s="12" t="s">
        <v>78</v>
      </c>
      <c r="E488" s="12"/>
      <c r="F488" s="12" t="s">
        <v>91</v>
      </c>
      <c r="G488" s="21" t="s">
        <v>577</v>
      </c>
      <c r="H488" s="12" t="s">
        <v>576</v>
      </c>
    </row>
    <row r="489" spans="1:8" x14ac:dyDescent="0.3">
      <c r="A489" s="12" t="str">
        <f>INDEX('ei names mapping'!$B$4:$R$33,MATCH(B460,'ei names mapping'!$A$4:$A$33,0),MATCH(G489,'ei names mapping'!$B$3:$R$3,0))</f>
        <v>maintenance, tram</v>
      </c>
      <c r="B489" s="15">
        <f>INDEX('vehicles specifications'!$B$3:$CK$86,MATCH(B463,'vehicles specifications'!$A$3:$A$86,0),MATCH(G489,'vehicles specifications'!$B$2:$CK$2,0))*INDEX('ei names mapping'!$B$137:$BK$220,MATCH(B463,'ei names mapping'!$A$137:$A$220,0),MATCH(G489,'ei names mapping'!$B$136:$BK$136,0))</f>
        <v>1.2531328320802004E-8</v>
      </c>
      <c r="C489" s="12" t="str">
        <f>INDEX('ei names mapping'!$B$38:$BK$67,MATCH(B460,'ei names mapping'!$A$4:$A$33,0),MATCH(G489,'ei names mapping'!$B$3:$BK$3,0))</f>
        <v>CH</v>
      </c>
      <c r="D489" s="12" t="str">
        <f>INDEX('ei names mapping'!$B$104:$BK$133,MATCH(B460,'ei names mapping'!$A$4:$A$33,0),MATCH(G489,'ei names mapping'!$B$3:$BK$3,0))</f>
        <v>unit</v>
      </c>
      <c r="E489" s="12"/>
      <c r="F489" s="12" t="s">
        <v>91</v>
      </c>
      <c r="G489" t="s">
        <v>123</v>
      </c>
      <c r="H489" s="12" t="str">
        <f>INDEX('ei names mapping'!$B$71:$BK$100,MATCH(B460,'ei names mapping'!$A$4:$A$33,0),MATCH(G489,'ei names mapping'!$B$3:$BK$3,0))</f>
        <v>maintenance, tram</v>
      </c>
    </row>
    <row r="490" spans="1:8" s="21" customFormat="1" x14ac:dyDescent="0.3">
      <c r="A490" s="21" t="s">
        <v>578</v>
      </c>
      <c r="B490" s="15">
        <f>B488</f>
        <v>2.5552631578947371E-7</v>
      </c>
      <c r="C490" s="12"/>
      <c r="D490" s="12" t="s">
        <v>78</v>
      </c>
      <c r="E490" s="12" t="s">
        <v>171</v>
      </c>
      <c r="F490" s="12" t="s">
        <v>173</v>
      </c>
      <c r="G490" s="12" t="s">
        <v>579</v>
      </c>
      <c r="H490" s="12"/>
    </row>
    <row r="491" spans="1:8" s="21" customFormat="1" x14ac:dyDescent="0.3">
      <c r="A491" s="21" t="s">
        <v>464</v>
      </c>
      <c r="B491" s="15">
        <f>0.00000016/B469</f>
        <v>4.2105263157894742E-9</v>
      </c>
      <c r="C491" s="12"/>
      <c r="D491" s="12" t="s">
        <v>78</v>
      </c>
      <c r="E491" s="12" t="s">
        <v>171</v>
      </c>
      <c r="F491" s="12" t="s">
        <v>173</v>
      </c>
      <c r="G491" s="12" t="s">
        <v>584</v>
      </c>
      <c r="H491" s="12"/>
    </row>
    <row r="492" spans="1:8" s="21" customFormat="1" x14ac:dyDescent="0.3">
      <c r="A492" s="21" t="s">
        <v>580</v>
      </c>
      <c r="B492" s="15">
        <f>0.00000032/B469</f>
        <v>8.4210526315789483E-9</v>
      </c>
      <c r="C492" s="12"/>
      <c r="D492" s="12" t="s">
        <v>78</v>
      </c>
      <c r="E492" s="12" t="s">
        <v>171</v>
      </c>
      <c r="F492" s="12" t="s">
        <v>173</v>
      </c>
      <c r="G492" s="12" t="s">
        <v>584</v>
      </c>
      <c r="H492" s="12"/>
    </row>
    <row r="493" spans="1:8" s="21" customFormat="1" x14ac:dyDescent="0.3">
      <c r="A493" s="21" t="s">
        <v>581</v>
      </c>
      <c r="B493" s="15">
        <f>0.00000033/B469</f>
        <v>8.6842105263157895E-9</v>
      </c>
      <c r="C493" s="12"/>
      <c r="D493" s="12" t="s">
        <v>78</v>
      </c>
      <c r="E493" s="12" t="s">
        <v>171</v>
      </c>
      <c r="F493" s="12" t="s">
        <v>173</v>
      </c>
      <c r="G493" s="12" t="s">
        <v>584</v>
      </c>
      <c r="H493" s="12"/>
    </row>
    <row r="494" spans="1:8" s="21" customFormat="1" x14ac:dyDescent="0.3">
      <c r="A494" s="21" t="s">
        <v>464</v>
      </c>
      <c r="B494" s="15">
        <f>0.000009/B469</f>
        <v>2.368421052631579E-7</v>
      </c>
      <c r="C494" s="12"/>
      <c r="D494" s="12" t="s">
        <v>78</v>
      </c>
      <c r="E494" s="12" t="s">
        <v>171</v>
      </c>
      <c r="F494" s="12" t="s">
        <v>173</v>
      </c>
      <c r="G494" s="12" t="s">
        <v>585</v>
      </c>
      <c r="H494" s="12"/>
    </row>
    <row r="495" spans="1:8" s="21" customFormat="1" x14ac:dyDescent="0.3">
      <c r="A495" s="21" t="s">
        <v>580</v>
      </c>
      <c r="B495" s="15">
        <f>0.000018/B469</f>
        <v>4.736842105263158E-7</v>
      </c>
      <c r="C495" s="12"/>
      <c r="D495" s="12" t="s">
        <v>78</v>
      </c>
      <c r="E495" s="12" t="s">
        <v>171</v>
      </c>
      <c r="F495" s="12" t="s">
        <v>173</v>
      </c>
      <c r="G495" s="12" t="s">
        <v>585</v>
      </c>
      <c r="H495" s="12"/>
    </row>
    <row r="496" spans="1:8" s="21" customFormat="1" x14ac:dyDescent="0.3">
      <c r="A496" s="21" t="s">
        <v>464</v>
      </c>
      <c r="B496" s="15">
        <f>0.000004/B469</f>
        <v>1.0526315789473683E-7</v>
      </c>
      <c r="C496" s="12"/>
      <c r="D496" s="12" t="s">
        <v>78</v>
      </c>
      <c r="E496" s="12" t="s">
        <v>171</v>
      </c>
      <c r="F496" s="12" t="s">
        <v>173</v>
      </c>
      <c r="G496" s="12" t="s">
        <v>586</v>
      </c>
      <c r="H496" s="12"/>
    </row>
    <row r="497" spans="1:8" s="21" customFormat="1" x14ac:dyDescent="0.3">
      <c r="A497" s="21" t="s">
        <v>580</v>
      </c>
      <c r="B497" s="15">
        <f>0.000008/B469</f>
        <v>2.1052631578947366E-7</v>
      </c>
      <c r="C497" s="12"/>
      <c r="D497" s="12" t="s">
        <v>78</v>
      </c>
      <c r="E497" s="12" t="s">
        <v>171</v>
      </c>
      <c r="F497" s="12" t="s">
        <v>173</v>
      </c>
      <c r="G497" s="12" t="s">
        <v>586</v>
      </c>
      <c r="H497" s="12"/>
    </row>
    <row r="498" spans="1:8" s="21" customFormat="1" x14ac:dyDescent="0.3">
      <c r="A498" s="21" t="s">
        <v>582</v>
      </c>
      <c r="B498" s="15">
        <f>0.00000008/B469</f>
        <v>2.1052631578947371E-9</v>
      </c>
      <c r="C498" s="12"/>
      <c r="D498" s="12" t="s">
        <v>78</v>
      </c>
      <c r="E498" s="12" t="s">
        <v>171</v>
      </c>
      <c r="F498" s="12" t="s">
        <v>173</v>
      </c>
      <c r="G498" s="12" t="s">
        <v>586</v>
      </c>
      <c r="H498" s="12"/>
    </row>
    <row r="499" spans="1:8" s="21" customFormat="1" x14ac:dyDescent="0.3">
      <c r="A499" s="21" t="s">
        <v>583</v>
      </c>
      <c r="B499" s="15">
        <f>0.00000016/B469</f>
        <v>4.2105263157894742E-9</v>
      </c>
      <c r="C499" s="12"/>
      <c r="D499" s="12" t="s">
        <v>78</v>
      </c>
      <c r="E499" s="12" t="s">
        <v>171</v>
      </c>
      <c r="F499" s="12" t="s">
        <v>173</v>
      </c>
      <c r="G499" s="12" t="s">
        <v>586</v>
      </c>
      <c r="H499" s="1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2"/>
  <sheetViews>
    <sheetView workbookViewId="0">
      <selection activeCell="C27" sqref="C27"/>
    </sheetView>
  </sheetViews>
  <sheetFormatPr defaultRowHeight="14.4" x14ac:dyDescent="0.3"/>
  <cols>
    <col min="1" max="1" width="48.21875" bestFit="1" customWidth="1"/>
    <col min="2" max="2" width="15.6640625" bestFit="1" customWidth="1"/>
    <col min="7" max="7" width="32" bestFit="1" customWidth="1"/>
  </cols>
  <sheetData>
    <row r="1" spans="1:8" s="21" customFormat="1" ht="15.6" x14ac:dyDescent="0.3">
      <c r="A1" s="11" t="s">
        <v>72</v>
      </c>
      <c r="B1" s="9" t="s">
        <v>657</v>
      </c>
    </row>
    <row r="2" spans="1:8" s="21" customFormat="1" x14ac:dyDescent="0.3">
      <c r="A2" s="21" t="s">
        <v>73</v>
      </c>
      <c r="B2" s="21" t="s">
        <v>98</v>
      </c>
    </row>
    <row r="3" spans="1:8" s="21" customFormat="1" x14ac:dyDescent="0.3">
      <c r="A3" s="21" t="s">
        <v>74</v>
      </c>
      <c r="B3" s="21" t="str">
        <f>B1</f>
        <v>charging station, 100W</v>
      </c>
    </row>
    <row r="4" spans="1:8" s="21" customFormat="1" x14ac:dyDescent="0.3">
      <c r="A4" s="21" t="s">
        <v>75</v>
      </c>
      <c r="B4" s="21" t="s">
        <v>76</v>
      </c>
    </row>
    <row r="5" spans="1:8" s="21" customFormat="1" x14ac:dyDescent="0.3">
      <c r="A5" s="21" t="s">
        <v>77</v>
      </c>
      <c r="B5" s="21" t="s">
        <v>77</v>
      </c>
    </row>
    <row r="6" spans="1:8" s="21" customFormat="1" x14ac:dyDescent="0.3">
      <c r="A6" s="21" t="s">
        <v>79</v>
      </c>
      <c r="B6" s="21" t="s">
        <v>90</v>
      </c>
    </row>
    <row r="7" spans="1:8" s="21" customFormat="1" x14ac:dyDescent="0.3">
      <c r="A7" s="21" t="s">
        <v>84</v>
      </c>
      <c r="B7" s="21" t="s">
        <v>658</v>
      </c>
    </row>
    <row r="8" spans="1:8" s="21" customFormat="1" ht="15.6" x14ac:dyDescent="0.3">
      <c r="A8" s="11" t="s">
        <v>80</v>
      </c>
    </row>
    <row r="9" spans="1:8" s="21" customFormat="1" x14ac:dyDescent="0.3">
      <c r="A9" s="21" t="s">
        <v>81</v>
      </c>
      <c r="B9" s="21" t="s">
        <v>82</v>
      </c>
      <c r="C9" s="21" t="s">
        <v>73</v>
      </c>
      <c r="D9" s="21" t="s">
        <v>77</v>
      </c>
      <c r="E9" s="21" t="s">
        <v>83</v>
      </c>
      <c r="F9" s="21" t="s">
        <v>75</v>
      </c>
      <c r="G9" s="21" t="s">
        <v>84</v>
      </c>
      <c r="H9" s="21" t="s">
        <v>74</v>
      </c>
    </row>
    <row r="10" spans="1:8" s="21" customFormat="1" x14ac:dyDescent="0.3">
      <c r="A10" s="12" t="str">
        <f>B1</f>
        <v>charging station, 100W</v>
      </c>
      <c r="B10" s="12">
        <v>1</v>
      </c>
      <c r="C10" s="12" t="str">
        <f>B2</f>
        <v>GLO</v>
      </c>
      <c r="D10" s="12" t="str">
        <f>B5</f>
        <v>unit</v>
      </c>
      <c r="E10" s="12"/>
      <c r="F10" s="12" t="s">
        <v>85</v>
      </c>
      <c r="G10" s="12" t="s">
        <v>86</v>
      </c>
      <c r="H10" s="12" t="str">
        <f>B3</f>
        <v>charging station, 100W</v>
      </c>
    </row>
    <row r="11" spans="1:8" s="21" customFormat="1" x14ac:dyDescent="0.3">
      <c r="A11" s="22" t="s">
        <v>182</v>
      </c>
      <c r="B11" s="20">
        <f>0.5/3</f>
        <v>0.16666666666666666</v>
      </c>
      <c r="C11" s="12" t="s">
        <v>98</v>
      </c>
      <c r="D11" s="12" t="s">
        <v>78</v>
      </c>
      <c r="E11" s="12"/>
      <c r="F11" s="12" t="s">
        <v>91</v>
      </c>
      <c r="G11" s="12"/>
      <c r="H11" s="12" t="s">
        <v>183</v>
      </c>
    </row>
    <row r="12" spans="1:8" s="21" customFormat="1" x14ac:dyDescent="0.3">
      <c r="A12" s="22" t="s">
        <v>467</v>
      </c>
      <c r="B12" s="20">
        <f>15900*(B11/1000)</f>
        <v>2.65</v>
      </c>
      <c r="C12" s="12" t="s">
        <v>98</v>
      </c>
      <c r="D12" s="12" t="s">
        <v>243</v>
      </c>
      <c r="E12" s="12"/>
      <c r="F12" s="12" t="s">
        <v>91</v>
      </c>
      <c r="G12" s="12"/>
      <c r="H12" s="12" t="s">
        <v>467</v>
      </c>
    </row>
    <row r="13" spans="1:8" s="21" customFormat="1" x14ac:dyDescent="0.3">
      <c r="A13" s="22" t="s">
        <v>468</v>
      </c>
      <c r="B13" s="20">
        <f>1000*(B11/1000)</f>
        <v>0.16666666666666666</v>
      </c>
      <c r="C13" s="12" t="s">
        <v>94</v>
      </c>
      <c r="D13" s="12" t="s">
        <v>243</v>
      </c>
      <c r="E13" s="12"/>
      <c r="F13" s="12" t="s">
        <v>91</v>
      </c>
      <c r="G13" s="12"/>
      <c r="H13" s="12" t="s">
        <v>469</v>
      </c>
    </row>
    <row r="14" spans="1:8" s="21" customFormat="1" x14ac:dyDescent="0.3">
      <c r="A14" s="12" t="s">
        <v>184</v>
      </c>
      <c r="B14" s="20">
        <f>-1*B11</f>
        <v>-0.16666666666666666</v>
      </c>
      <c r="C14" s="12" t="s">
        <v>98</v>
      </c>
      <c r="D14" s="12" t="s">
        <v>78</v>
      </c>
      <c r="E14" s="12"/>
      <c r="F14" s="12" t="s">
        <v>91</v>
      </c>
      <c r="H14" s="12" t="s">
        <v>185</v>
      </c>
    </row>
    <row r="15" spans="1:8" s="21" customFormat="1" x14ac:dyDescent="0.3">
      <c r="A15" s="12"/>
      <c r="B15" s="16"/>
      <c r="C15" s="12"/>
      <c r="D15" s="12"/>
      <c r="E15" s="12"/>
      <c r="F15" s="12"/>
      <c r="H15" s="12"/>
    </row>
    <row r="16" spans="1:8" ht="15.6" x14ac:dyDescent="0.3">
      <c r="A16" s="11" t="s">
        <v>72</v>
      </c>
      <c r="B16" s="9" t="s">
        <v>196</v>
      </c>
    </row>
    <row r="17" spans="1:8" x14ac:dyDescent="0.3">
      <c r="A17" t="s">
        <v>73</v>
      </c>
      <c r="B17" s="21" t="s">
        <v>98</v>
      </c>
    </row>
    <row r="18" spans="1:8" x14ac:dyDescent="0.3">
      <c r="A18" t="s">
        <v>74</v>
      </c>
      <c r="B18" t="str">
        <f>B16</f>
        <v>charging station, 500W</v>
      </c>
    </row>
    <row r="19" spans="1:8" x14ac:dyDescent="0.3">
      <c r="A19" t="s">
        <v>75</v>
      </c>
      <c r="B19" t="s">
        <v>76</v>
      </c>
    </row>
    <row r="20" spans="1:8" x14ac:dyDescent="0.3">
      <c r="A20" t="s">
        <v>77</v>
      </c>
      <c r="B20" t="s">
        <v>77</v>
      </c>
    </row>
    <row r="21" spans="1:8" x14ac:dyDescent="0.3">
      <c r="A21" t="s">
        <v>79</v>
      </c>
      <c r="B21" t="s">
        <v>90</v>
      </c>
    </row>
    <row r="22" spans="1:8" x14ac:dyDescent="0.3">
      <c r="A22" t="s">
        <v>84</v>
      </c>
      <c r="B22" t="s">
        <v>466</v>
      </c>
    </row>
    <row r="23" spans="1:8" ht="15.6" x14ac:dyDescent="0.3">
      <c r="A23" s="11" t="s">
        <v>80</v>
      </c>
    </row>
    <row r="24" spans="1:8" x14ac:dyDescent="0.3">
      <c r="A24" t="s">
        <v>81</v>
      </c>
      <c r="B24" t="s">
        <v>82</v>
      </c>
      <c r="C24" t="s">
        <v>73</v>
      </c>
      <c r="D24" t="s">
        <v>77</v>
      </c>
      <c r="E24" t="s">
        <v>83</v>
      </c>
      <c r="F24" t="s">
        <v>75</v>
      </c>
      <c r="G24" t="s">
        <v>84</v>
      </c>
      <c r="H24" t="s">
        <v>74</v>
      </c>
    </row>
    <row r="25" spans="1:8" x14ac:dyDescent="0.3">
      <c r="A25" s="12" t="str">
        <f>B16</f>
        <v>charging station, 500W</v>
      </c>
      <c r="B25" s="12">
        <v>1</v>
      </c>
      <c r="C25" s="12" t="str">
        <f>B17</f>
        <v>GLO</v>
      </c>
      <c r="D25" s="12" t="str">
        <f>B20</f>
        <v>unit</v>
      </c>
      <c r="E25" s="12"/>
      <c r="F25" s="12" t="s">
        <v>85</v>
      </c>
      <c r="G25" s="12" t="s">
        <v>86</v>
      </c>
      <c r="H25" s="12" t="str">
        <f>B18</f>
        <v>charging station, 500W</v>
      </c>
    </row>
    <row r="26" spans="1:8" x14ac:dyDescent="0.3">
      <c r="A26" s="19" t="s">
        <v>182</v>
      </c>
      <c r="B26" s="20">
        <v>0.5</v>
      </c>
      <c r="C26" s="12" t="s">
        <v>98</v>
      </c>
      <c r="D26" s="12" t="s">
        <v>78</v>
      </c>
      <c r="E26" s="12"/>
      <c r="F26" s="12" t="s">
        <v>91</v>
      </c>
      <c r="G26" s="12"/>
      <c r="H26" s="12" t="s">
        <v>183</v>
      </c>
    </row>
    <row r="27" spans="1:8" s="21" customFormat="1" x14ac:dyDescent="0.3">
      <c r="A27" s="22" t="s">
        <v>467</v>
      </c>
      <c r="B27" s="20">
        <f>15900*(B26/1000)</f>
        <v>7.95</v>
      </c>
      <c r="C27" s="12" t="s">
        <v>98</v>
      </c>
      <c r="D27" s="12" t="s">
        <v>243</v>
      </c>
      <c r="E27" s="12"/>
      <c r="F27" s="12" t="s">
        <v>91</v>
      </c>
      <c r="G27" s="12"/>
      <c r="H27" s="12" t="s">
        <v>467</v>
      </c>
    </row>
    <row r="28" spans="1:8" s="21" customFormat="1" x14ac:dyDescent="0.3">
      <c r="A28" s="22" t="s">
        <v>468</v>
      </c>
      <c r="B28" s="20">
        <f>1000*(B26/1000)</f>
        <v>0.5</v>
      </c>
      <c r="C28" s="12" t="s">
        <v>94</v>
      </c>
      <c r="D28" s="12" t="s">
        <v>243</v>
      </c>
      <c r="E28" s="12"/>
      <c r="F28" s="12" t="s">
        <v>91</v>
      </c>
      <c r="G28" s="12"/>
      <c r="H28" s="12" t="s">
        <v>469</v>
      </c>
    </row>
    <row r="29" spans="1:8" x14ac:dyDescent="0.3">
      <c r="A29" s="12" t="s">
        <v>184</v>
      </c>
      <c r="B29" s="20">
        <f>-1*B26</f>
        <v>-0.5</v>
      </c>
      <c r="C29" s="12" t="s">
        <v>98</v>
      </c>
      <c r="D29" s="12" t="s">
        <v>78</v>
      </c>
      <c r="E29" s="12"/>
      <c r="F29" s="12" t="s">
        <v>91</v>
      </c>
      <c r="H29" s="12" t="s">
        <v>185</v>
      </c>
    </row>
    <row r="30" spans="1:8" x14ac:dyDescent="0.3">
      <c r="A30" s="12"/>
      <c r="B30" s="16"/>
      <c r="C30" s="12"/>
      <c r="D30" s="12"/>
      <c r="E30" s="12"/>
      <c r="F30" s="12"/>
      <c r="H30" s="12"/>
    </row>
    <row r="31" spans="1:8" s="21" customFormat="1" ht="15.6" x14ac:dyDescent="0.3">
      <c r="A31" s="11" t="s">
        <v>72</v>
      </c>
      <c r="B31" s="9" t="s">
        <v>197</v>
      </c>
    </row>
    <row r="32" spans="1:8" s="21" customFormat="1" x14ac:dyDescent="0.3">
      <c r="A32" s="21" t="s">
        <v>73</v>
      </c>
      <c r="B32" s="21" t="s">
        <v>98</v>
      </c>
    </row>
    <row r="33" spans="1:8" s="21" customFormat="1" x14ac:dyDescent="0.3">
      <c r="A33" s="21" t="s">
        <v>74</v>
      </c>
      <c r="B33" s="21" t="str">
        <f>B31</f>
        <v>charging station, 3kW</v>
      </c>
    </row>
    <row r="34" spans="1:8" s="21" customFormat="1" x14ac:dyDescent="0.3">
      <c r="A34" s="21" t="s">
        <v>75</v>
      </c>
      <c r="B34" s="21" t="s">
        <v>76</v>
      </c>
    </row>
    <row r="35" spans="1:8" s="21" customFormat="1" x14ac:dyDescent="0.3">
      <c r="A35" s="21" t="s">
        <v>77</v>
      </c>
      <c r="B35" s="21" t="s">
        <v>77</v>
      </c>
    </row>
    <row r="36" spans="1:8" s="21" customFormat="1" x14ac:dyDescent="0.3">
      <c r="A36" s="21" t="s">
        <v>79</v>
      </c>
      <c r="B36" s="21" t="s">
        <v>90</v>
      </c>
    </row>
    <row r="37" spans="1:8" s="21" customFormat="1" x14ac:dyDescent="0.3">
      <c r="A37" s="21" t="s">
        <v>84</v>
      </c>
      <c r="B37" s="21" t="s">
        <v>181</v>
      </c>
    </row>
    <row r="38" spans="1:8" s="21" customFormat="1" ht="15.6" x14ac:dyDescent="0.3">
      <c r="A38" s="11" t="s">
        <v>80</v>
      </c>
    </row>
    <row r="39" spans="1:8" s="21" customFormat="1" x14ac:dyDescent="0.3">
      <c r="A39" s="21" t="s">
        <v>81</v>
      </c>
      <c r="B39" s="21" t="s">
        <v>82</v>
      </c>
      <c r="C39" s="21" t="s">
        <v>73</v>
      </c>
      <c r="D39" s="21" t="s">
        <v>77</v>
      </c>
      <c r="E39" s="21" t="s">
        <v>83</v>
      </c>
      <c r="F39" s="21" t="s">
        <v>75</v>
      </c>
      <c r="G39" s="21" t="s">
        <v>84</v>
      </c>
      <c r="H39" s="21" t="s">
        <v>74</v>
      </c>
    </row>
    <row r="40" spans="1:8" s="21" customFormat="1" x14ac:dyDescent="0.3">
      <c r="A40" s="12" t="str">
        <f>B31</f>
        <v>charging station, 3kW</v>
      </c>
      <c r="B40" s="12">
        <v>1</v>
      </c>
      <c r="C40" s="12" t="str">
        <f>B32</f>
        <v>GLO</v>
      </c>
      <c r="D40" s="12" t="str">
        <f>B35</f>
        <v>unit</v>
      </c>
      <c r="E40" s="12"/>
      <c r="F40" s="12" t="s">
        <v>85</v>
      </c>
      <c r="G40" s="12" t="s">
        <v>86</v>
      </c>
      <c r="H40" s="12" t="str">
        <f>B33</f>
        <v>charging station, 3kW</v>
      </c>
    </row>
    <row r="41" spans="1:8" s="21" customFormat="1" x14ac:dyDescent="0.3">
      <c r="A41" s="22" t="s">
        <v>182</v>
      </c>
      <c r="B41" s="20">
        <v>3</v>
      </c>
      <c r="C41" s="12" t="s">
        <v>98</v>
      </c>
      <c r="D41" s="12" t="s">
        <v>78</v>
      </c>
      <c r="E41" s="12"/>
      <c r="F41" s="12" t="s">
        <v>91</v>
      </c>
      <c r="G41" s="12"/>
      <c r="H41" s="12" t="s">
        <v>183</v>
      </c>
    </row>
    <row r="42" spans="1:8" s="21" customFormat="1" x14ac:dyDescent="0.3">
      <c r="A42" s="22" t="s">
        <v>467</v>
      </c>
      <c r="B42" s="20">
        <f>15900*(B41/1000)</f>
        <v>47.7</v>
      </c>
      <c r="C42" s="12" t="s">
        <v>98</v>
      </c>
      <c r="D42" s="12" t="s">
        <v>243</v>
      </c>
      <c r="E42" s="12"/>
      <c r="F42" s="12" t="s">
        <v>91</v>
      </c>
      <c r="G42" s="12"/>
      <c r="H42" s="12" t="s">
        <v>467</v>
      </c>
    </row>
    <row r="43" spans="1:8" s="21" customFormat="1" x14ac:dyDescent="0.3">
      <c r="A43" s="22" t="s">
        <v>468</v>
      </c>
      <c r="B43" s="20">
        <f>1000*(B41/1000)</f>
        <v>3</v>
      </c>
      <c r="C43" s="12" t="s">
        <v>94</v>
      </c>
      <c r="D43" s="12" t="s">
        <v>243</v>
      </c>
      <c r="E43" s="12"/>
      <c r="F43" s="12" t="s">
        <v>91</v>
      </c>
      <c r="G43" s="12"/>
      <c r="H43" s="12" t="s">
        <v>469</v>
      </c>
    </row>
    <row r="44" spans="1:8" s="21" customFormat="1" x14ac:dyDescent="0.3">
      <c r="A44" s="12" t="s">
        <v>184</v>
      </c>
      <c r="B44" s="20">
        <f>-1*B41</f>
        <v>-3</v>
      </c>
      <c r="C44" s="12" t="s">
        <v>98</v>
      </c>
      <c r="D44" s="12" t="s">
        <v>78</v>
      </c>
      <c r="E44" s="12"/>
      <c r="F44" s="12" t="s">
        <v>91</v>
      </c>
      <c r="H44" s="12" t="s">
        <v>185</v>
      </c>
    </row>
    <row r="46" spans="1:8" s="21" customFormat="1" ht="15.6" x14ac:dyDescent="0.3">
      <c r="A46" s="11" t="s">
        <v>72</v>
      </c>
      <c r="B46" s="11" t="s">
        <v>144</v>
      </c>
    </row>
    <row r="47" spans="1:8" s="21" customFormat="1" x14ac:dyDescent="0.3">
      <c r="A47" s="21" t="s">
        <v>84</v>
      </c>
      <c r="B47" s="21" t="s">
        <v>195</v>
      </c>
    </row>
    <row r="48" spans="1:8" s="21" customFormat="1" x14ac:dyDescent="0.3">
      <c r="A48" s="21" t="s">
        <v>73</v>
      </c>
      <c r="B48" s="21" t="s">
        <v>98</v>
      </c>
    </row>
    <row r="49" spans="1:10" s="21" customFormat="1" x14ac:dyDescent="0.3">
      <c r="A49" s="21" t="s">
        <v>186</v>
      </c>
      <c r="B49" s="21">
        <v>1</v>
      </c>
    </row>
    <row r="50" spans="1:10" s="21" customFormat="1" x14ac:dyDescent="0.3">
      <c r="A50" s="21" t="s">
        <v>74</v>
      </c>
      <c r="B50" s="21" t="s">
        <v>144</v>
      </c>
    </row>
    <row r="51" spans="1:10" s="21" customFormat="1" x14ac:dyDescent="0.3">
      <c r="A51" s="21" t="s">
        <v>77</v>
      </c>
      <c r="B51" s="21" t="s">
        <v>78</v>
      </c>
    </row>
    <row r="52" spans="1:10" s="21" customFormat="1" ht="15.6" x14ac:dyDescent="0.3">
      <c r="A52" s="11" t="s">
        <v>80</v>
      </c>
    </row>
    <row r="53" spans="1:10" s="21" customFormat="1" x14ac:dyDescent="0.3">
      <c r="A53" s="21" t="s">
        <v>81</v>
      </c>
      <c r="B53" s="21" t="s">
        <v>82</v>
      </c>
      <c r="C53" s="21" t="s">
        <v>188</v>
      </c>
      <c r="D53" s="21" t="s">
        <v>73</v>
      </c>
      <c r="E53" s="21" t="s">
        <v>77</v>
      </c>
      <c r="F53" s="21" t="s">
        <v>75</v>
      </c>
      <c r="G53" s="21" t="s">
        <v>74</v>
      </c>
    </row>
    <row r="54" spans="1:10" s="21" customFormat="1" x14ac:dyDescent="0.3">
      <c r="A54" s="21" t="s">
        <v>144</v>
      </c>
      <c r="B54" s="21">
        <v>1</v>
      </c>
      <c r="C54" s="21" t="s">
        <v>187</v>
      </c>
      <c r="D54" s="21" t="s">
        <v>98</v>
      </c>
      <c r="E54" s="21" t="s">
        <v>78</v>
      </c>
      <c r="F54" s="21" t="s">
        <v>85</v>
      </c>
      <c r="G54" s="21" t="s">
        <v>144</v>
      </c>
    </row>
    <row r="55" spans="1:10" s="21" customFormat="1" x14ac:dyDescent="0.3">
      <c r="A55" s="21" t="s">
        <v>189</v>
      </c>
      <c r="B55" s="21">
        <v>3</v>
      </c>
      <c r="C55" s="21" t="s">
        <v>190</v>
      </c>
      <c r="D55" s="21" t="s">
        <v>98</v>
      </c>
      <c r="E55" s="21" t="s">
        <v>78</v>
      </c>
      <c r="F55" s="21" t="s">
        <v>91</v>
      </c>
      <c r="G55" s="21" t="s">
        <v>191</v>
      </c>
    </row>
    <row r="56" spans="1:10" s="21" customFormat="1" x14ac:dyDescent="0.3">
      <c r="A56" s="21" t="s">
        <v>192</v>
      </c>
      <c r="B56" s="21">
        <v>-4</v>
      </c>
      <c r="C56" s="21" t="s">
        <v>193</v>
      </c>
      <c r="D56" s="21" t="s">
        <v>98</v>
      </c>
      <c r="E56" s="21" t="s">
        <v>78</v>
      </c>
      <c r="F56" s="21" t="s">
        <v>91</v>
      </c>
      <c r="G56" s="21" t="s">
        <v>194</v>
      </c>
    </row>
    <row r="58" spans="1:10" ht="15.6" x14ac:dyDescent="0.3">
      <c r="A58" s="11" t="s">
        <v>72</v>
      </c>
      <c r="B58" s="11" t="s">
        <v>201</v>
      </c>
      <c r="C58" s="21"/>
      <c r="D58" s="21"/>
      <c r="E58" s="21"/>
      <c r="F58" s="21"/>
      <c r="G58" s="21"/>
      <c r="H58" s="21"/>
      <c r="I58" s="21"/>
      <c r="J58" s="21"/>
    </row>
    <row r="59" spans="1:10" x14ac:dyDescent="0.3">
      <c r="A59" s="21" t="s">
        <v>84</v>
      </c>
      <c r="B59" s="21" t="s">
        <v>203</v>
      </c>
      <c r="C59" s="21"/>
      <c r="D59" s="21"/>
      <c r="E59" s="21"/>
      <c r="F59" s="21"/>
      <c r="G59" s="21"/>
      <c r="H59" s="21"/>
      <c r="I59" s="21"/>
      <c r="J59" s="21"/>
    </row>
    <row r="60" spans="1:10" x14ac:dyDescent="0.3">
      <c r="A60" s="21" t="s">
        <v>73</v>
      </c>
      <c r="B60" s="21" t="s">
        <v>98</v>
      </c>
      <c r="C60" s="21"/>
      <c r="D60" s="21"/>
      <c r="E60" s="21"/>
      <c r="F60" s="21"/>
      <c r="G60" s="21"/>
      <c r="H60" s="21"/>
      <c r="I60" s="21"/>
      <c r="J60" s="21"/>
    </row>
    <row r="61" spans="1:10" x14ac:dyDescent="0.3">
      <c r="A61" s="21" t="s">
        <v>186</v>
      </c>
      <c r="B61" s="21">
        <v>1</v>
      </c>
      <c r="C61" s="21"/>
      <c r="D61" s="21"/>
      <c r="E61" s="21"/>
      <c r="F61" s="21"/>
      <c r="G61" s="21"/>
      <c r="H61" s="21"/>
      <c r="I61" s="21"/>
      <c r="J61" s="21"/>
    </row>
    <row r="62" spans="1:10" x14ac:dyDescent="0.3">
      <c r="A62" s="21" t="s">
        <v>74</v>
      </c>
      <c r="B62" s="21" t="s">
        <v>201</v>
      </c>
      <c r="C62" s="21"/>
      <c r="D62" s="21"/>
      <c r="E62" s="21"/>
      <c r="F62" s="21"/>
      <c r="G62" s="21"/>
      <c r="H62" s="21"/>
      <c r="I62" s="21"/>
      <c r="J62" s="21"/>
    </row>
    <row r="63" spans="1:10" x14ac:dyDescent="0.3">
      <c r="A63" s="21" t="s">
        <v>77</v>
      </c>
      <c r="B63" s="21" t="s">
        <v>78</v>
      </c>
      <c r="C63" s="21"/>
      <c r="D63" s="21"/>
      <c r="E63" s="21"/>
      <c r="F63" s="21"/>
      <c r="G63" s="21"/>
      <c r="H63" s="21"/>
      <c r="I63" s="21"/>
      <c r="J63" s="21"/>
    </row>
    <row r="64" spans="1:10" x14ac:dyDescent="0.3">
      <c r="A64" s="21" t="s">
        <v>204</v>
      </c>
      <c r="B64" s="21" t="s">
        <v>187</v>
      </c>
      <c r="C64" s="21"/>
      <c r="D64" s="21"/>
      <c r="E64" s="21"/>
      <c r="F64" s="21"/>
      <c r="G64" s="21"/>
      <c r="H64" s="21"/>
      <c r="I64" s="21"/>
      <c r="J64" s="21"/>
    </row>
    <row r="65" spans="1:10" ht="15.6" x14ac:dyDescent="0.3">
      <c r="A65" s="11" t="s">
        <v>80</v>
      </c>
      <c r="B65" s="21"/>
      <c r="C65" s="21"/>
      <c r="D65" s="21"/>
      <c r="E65" s="21"/>
      <c r="F65" s="21"/>
      <c r="G65" s="21"/>
      <c r="H65" s="21"/>
      <c r="I65" s="21"/>
      <c r="J65" s="21"/>
    </row>
    <row r="66" spans="1:10" x14ac:dyDescent="0.3">
      <c r="A66" s="21" t="s">
        <v>81</v>
      </c>
      <c r="B66" s="21" t="s">
        <v>82</v>
      </c>
      <c r="C66" s="21" t="s">
        <v>188</v>
      </c>
      <c r="D66" s="21" t="s">
        <v>73</v>
      </c>
      <c r="E66" s="21" t="s">
        <v>77</v>
      </c>
      <c r="F66" s="21" t="s">
        <v>83</v>
      </c>
      <c r="G66" s="21" t="s">
        <v>75</v>
      </c>
      <c r="H66" s="21" t="s">
        <v>74</v>
      </c>
      <c r="I66" s="21"/>
      <c r="J66" s="21"/>
    </row>
    <row r="67" spans="1:10" x14ac:dyDescent="0.3">
      <c r="A67" s="21" t="s">
        <v>205</v>
      </c>
      <c r="B67" s="21">
        <v>5.5</v>
      </c>
      <c r="C67" s="21" t="s">
        <v>187</v>
      </c>
      <c r="D67" s="21"/>
      <c r="E67" s="21" t="s">
        <v>206</v>
      </c>
      <c r="F67" s="21" t="s">
        <v>171</v>
      </c>
      <c r="G67" s="21" t="s">
        <v>173</v>
      </c>
      <c r="H67" s="21"/>
      <c r="I67" s="21"/>
      <c r="J67" s="21"/>
    </row>
    <row r="68" spans="1:10" x14ac:dyDescent="0.3">
      <c r="A68" s="21" t="s">
        <v>201</v>
      </c>
      <c r="B68" s="21">
        <v>1</v>
      </c>
      <c r="C68" s="21" t="s">
        <v>187</v>
      </c>
      <c r="D68" s="21" t="s">
        <v>98</v>
      </c>
      <c r="E68" s="21" t="s">
        <v>78</v>
      </c>
      <c r="F68" s="21"/>
      <c r="G68" s="21" t="s">
        <v>85</v>
      </c>
      <c r="H68" s="21"/>
      <c r="I68" s="21"/>
      <c r="J68" s="21"/>
    </row>
    <row r="69" spans="1:10" x14ac:dyDescent="0.3">
      <c r="A69" s="21" t="s">
        <v>207</v>
      </c>
      <c r="B69" s="21">
        <v>0.95</v>
      </c>
      <c r="C69" s="21" t="s">
        <v>187</v>
      </c>
      <c r="D69" s="21" t="s">
        <v>98</v>
      </c>
      <c r="E69" s="21" t="s">
        <v>78</v>
      </c>
      <c r="F69" s="21"/>
      <c r="G69" s="21" t="s">
        <v>91</v>
      </c>
      <c r="H69" s="21"/>
      <c r="I69" s="21"/>
      <c r="J69" s="21"/>
    </row>
    <row r="70" spans="1:10" x14ac:dyDescent="0.3">
      <c r="A70" s="21" t="s">
        <v>208</v>
      </c>
      <c r="B70" s="21">
        <v>4.6000000000000001E-10</v>
      </c>
      <c r="C70" s="21" t="s">
        <v>193</v>
      </c>
      <c r="D70" s="21" t="s">
        <v>98</v>
      </c>
      <c r="E70" s="21" t="s">
        <v>77</v>
      </c>
      <c r="F70" s="21"/>
      <c r="G70" s="21" t="s">
        <v>91</v>
      </c>
      <c r="H70" s="21" t="s">
        <v>209</v>
      </c>
      <c r="I70" s="21"/>
      <c r="J70" s="21"/>
    </row>
    <row r="71" spans="1:10" x14ac:dyDescent="0.3">
      <c r="A71" s="21" t="s">
        <v>210</v>
      </c>
      <c r="B71" s="21">
        <v>0.55000000000000004</v>
      </c>
      <c r="C71" s="21" t="s">
        <v>193</v>
      </c>
      <c r="D71" s="21" t="s">
        <v>98</v>
      </c>
      <c r="E71" s="21" t="s">
        <v>206</v>
      </c>
      <c r="F71" s="21"/>
      <c r="G71" s="21" t="s">
        <v>91</v>
      </c>
      <c r="H71" s="21" t="s">
        <v>211</v>
      </c>
      <c r="I71" s="21"/>
      <c r="J71" s="21"/>
    </row>
    <row r="72" spans="1:10" x14ac:dyDescent="0.3">
      <c r="A72" s="21" t="s">
        <v>212</v>
      </c>
      <c r="B72" s="21">
        <v>0.25</v>
      </c>
      <c r="C72" s="21" t="s">
        <v>193</v>
      </c>
      <c r="D72" s="21" t="s">
        <v>98</v>
      </c>
      <c r="E72" s="21" t="s">
        <v>78</v>
      </c>
      <c r="F72" s="21"/>
      <c r="G72" s="21" t="s">
        <v>91</v>
      </c>
      <c r="H72" s="21" t="s">
        <v>213</v>
      </c>
      <c r="I72" s="21"/>
      <c r="J72" s="21"/>
    </row>
    <row r="73" spans="1:10" x14ac:dyDescent="0.3">
      <c r="A73" s="21"/>
      <c r="B73" s="21"/>
      <c r="C73" s="21"/>
      <c r="D73" s="21"/>
      <c r="E73" s="21"/>
      <c r="F73" s="21"/>
      <c r="G73" s="21"/>
      <c r="H73" s="21"/>
      <c r="I73" s="21"/>
      <c r="J73" s="21"/>
    </row>
    <row r="74" spans="1:10" ht="15.6" x14ac:dyDescent="0.3">
      <c r="A74" s="11" t="s">
        <v>72</v>
      </c>
      <c r="B74" s="11" t="s">
        <v>214</v>
      </c>
      <c r="C74" s="21"/>
      <c r="D74" s="21"/>
      <c r="E74" s="21"/>
      <c r="F74" s="21"/>
      <c r="G74" s="21"/>
      <c r="H74" s="21"/>
      <c r="I74" s="21"/>
      <c r="J74" s="21"/>
    </row>
    <row r="75" spans="1:10" x14ac:dyDescent="0.3">
      <c r="A75" s="21" t="s">
        <v>202</v>
      </c>
      <c r="B75" s="21" t="s">
        <v>215</v>
      </c>
      <c r="C75" s="21"/>
      <c r="D75" s="21"/>
      <c r="E75" s="21"/>
      <c r="F75" s="21"/>
      <c r="G75" s="21"/>
      <c r="H75" s="21"/>
      <c r="I75" s="21"/>
      <c r="J75" s="21"/>
    </row>
    <row r="76" spans="1:10" x14ac:dyDescent="0.3">
      <c r="A76" s="21" t="s">
        <v>84</v>
      </c>
      <c r="B76" s="21" t="s">
        <v>86</v>
      </c>
      <c r="C76" s="21"/>
      <c r="D76" s="21"/>
      <c r="E76" s="21"/>
      <c r="F76" s="21"/>
      <c r="G76" s="21"/>
      <c r="H76" s="21"/>
      <c r="I76" s="21"/>
      <c r="J76" s="21"/>
    </row>
    <row r="77" spans="1:10" x14ac:dyDescent="0.3">
      <c r="A77" s="21" t="s">
        <v>73</v>
      </c>
      <c r="B77" s="21" t="s">
        <v>98</v>
      </c>
      <c r="C77" s="21"/>
      <c r="D77" s="21"/>
      <c r="E77" s="21"/>
      <c r="F77" s="21"/>
      <c r="G77" s="21"/>
      <c r="H77" s="21"/>
      <c r="I77" s="21"/>
      <c r="J77" s="21"/>
    </row>
    <row r="78" spans="1:10" x14ac:dyDescent="0.3">
      <c r="A78" s="21" t="s">
        <v>186</v>
      </c>
      <c r="B78" s="21">
        <v>1</v>
      </c>
      <c r="C78" s="21"/>
      <c r="D78" s="21"/>
      <c r="E78" s="21"/>
      <c r="F78" s="21"/>
      <c r="G78" s="21"/>
      <c r="H78" s="21"/>
      <c r="I78" s="21"/>
      <c r="J78" s="21"/>
    </row>
    <row r="79" spans="1:10" x14ac:dyDescent="0.3">
      <c r="A79" s="21" t="s">
        <v>74</v>
      </c>
      <c r="B79" s="21" t="s">
        <v>214</v>
      </c>
      <c r="C79" s="21"/>
      <c r="D79" s="21"/>
      <c r="E79" s="21"/>
      <c r="F79" s="21"/>
      <c r="G79" s="21"/>
      <c r="H79" s="21"/>
      <c r="I79" s="21"/>
      <c r="J79" s="21"/>
    </row>
    <row r="80" spans="1:10" x14ac:dyDescent="0.3">
      <c r="A80" s="21" t="s">
        <v>77</v>
      </c>
      <c r="B80" s="21" t="s">
        <v>78</v>
      </c>
      <c r="C80" s="21"/>
      <c r="D80" s="21"/>
      <c r="E80" s="21"/>
      <c r="F80" s="21"/>
      <c r="G80" s="21"/>
      <c r="H80" s="21"/>
      <c r="I80" s="21"/>
      <c r="J80" s="21"/>
    </row>
    <row r="81" spans="1:10" x14ac:dyDescent="0.3">
      <c r="A81" s="21" t="s">
        <v>204</v>
      </c>
      <c r="B81" s="21" t="s">
        <v>187</v>
      </c>
      <c r="C81" s="21"/>
      <c r="D81" s="21"/>
      <c r="E81" s="21"/>
      <c r="F81" s="21"/>
      <c r="G81" s="21"/>
      <c r="H81" s="21"/>
      <c r="I81" s="21"/>
      <c r="J81" s="21"/>
    </row>
    <row r="82" spans="1:10" ht="15.6" x14ac:dyDescent="0.3">
      <c r="A82" s="11" t="s">
        <v>80</v>
      </c>
      <c r="B82" s="21"/>
      <c r="C82" s="21"/>
      <c r="D82" s="21"/>
      <c r="E82" s="21"/>
      <c r="F82" s="21"/>
      <c r="G82" s="21"/>
      <c r="H82" s="21"/>
      <c r="I82" s="21"/>
      <c r="J82" s="21"/>
    </row>
    <row r="83" spans="1:10" x14ac:dyDescent="0.3">
      <c r="A83" s="21" t="s">
        <v>81</v>
      </c>
      <c r="B83" s="21" t="s">
        <v>82</v>
      </c>
      <c r="C83" s="21" t="s">
        <v>188</v>
      </c>
      <c r="D83" s="21" t="s">
        <v>73</v>
      </c>
      <c r="E83" s="21" t="s">
        <v>77</v>
      </c>
      <c r="F83" s="21" t="s">
        <v>75</v>
      </c>
      <c r="G83" s="21" t="s">
        <v>74</v>
      </c>
      <c r="H83" s="21"/>
      <c r="I83" s="21"/>
      <c r="J83" s="21"/>
    </row>
    <row r="84" spans="1:10" x14ac:dyDescent="0.3">
      <c r="A84" s="21" t="s">
        <v>214</v>
      </c>
      <c r="B84" s="21">
        <v>1</v>
      </c>
      <c r="C84" s="21" t="s">
        <v>187</v>
      </c>
      <c r="D84" s="21" t="s">
        <v>98</v>
      </c>
      <c r="E84" s="21" t="s">
        <v>78</v>
      </c>
      <c r="F84" s="21" t="s">
        <v>85</v>
      </c>
      <c r="G84" s="21"/>
      <c r="H84" s="21"/>
      <c r="I84" s="21"/>
      <c r="J84" s="21"/>
    </row>
    <row r="85" spans="1:10" x14ac:dyDescent="0.3">
      <c r="A85" s="21" t="s">
        <v>216</v>
      </c>
      <c r="B85" s="21">
        <v>1</v>
      </c>
      <c r="C85" s="21" t="s">
        <v>193</v>
      </c>
      <c r="D85" s="21" t="s">
        <v>98</v>
      </c>
      <c r="E85" s="21" t="s">
        <v>78</v>
      </c>
      <c r="F85" s="21" t="s">
        <v>91</v>
      </c>
      <c r="G85" s="21" t="s">
        <v>217</v>
      </c>
      <c r="H85" s="21"/>
      <c r="I85" s="21"/>
      <c r="J85" s="21"/>
    </row>
    <row r="86" spans="1:10" x14ac:dyDescent="0.3">
      <c r="A86" s="21" t="s">
        <v>218</v>
      </c>
      <c r="B86" s="21">
        <v>1.5E-10</v>
      </c>
      <c r="C86" s="21" t="s">
        <v>193</v>
      </c>
      <c r="D86" s="21" t="s">
        <v>98</v>
      </c>
      <c r="E86" s="21" t="s">
        <v>77</v>
      </c>
      <c r="F86" s="21" t="s">
        <v>91</v>
      </c>
      <c r="G86" s="21" t="s">
        <v>219</v>
      </c>
      <c r="H86" s="21"/>
      <c r="I86" s="21"/>
      <c r="J86" s="21"/>
    </row>
    <row r="87" spans="1:10" x14ac:dyDescent="0.3">
      <c r="A87" s="21" t="s">
        <v>220</v>
      </c>
      <c r="B87" s="21">
        <v>1</v>
      </c>
      <c r="C87" s="21" t="s">
        <v>193</v>
      </c>
      <c r="D87" s="21" t="s">
        <v>98</v>
      </c>
      <c r="E87" s="21" t="s">
        <v>78</v>
      </c>
      <c r="F87" s="21" t="s">
        <v>91</v>
      </c>
      <c r="G87" s="21" t="s">
        <v>221</v>
      </c>
      <c r="H87" s="21"/>
      <c r="I87" s="21"/>
      <c r="J87" s="21"/>
    </row>
    <row r="88" spans="1:10" x14ac:dyDescent="0.3">
      <c r="A88" s="21"/>
      <c r="B88" s="21"/>
      <c r="C88" s="21"/>
      <c r="D88" s="21"/>
      <c r="E88" s="21"/>
      <c r="F88" s="21"/>
      <c r="G88" s="21"/>
      <c r="H88" s="21"/>
      <c r="I88" s="21"/>
      <c r="J88" s="21"/>
    </row>
    <row r="89" spans="1:10" ht="15.6" x14ac:dyDescent="0.3">
      <c r="A89" s="11" t="s">
        <v>72</v>
      </c>
      <c r="B89" s="11" t="s">
        <v>222</v>
      </c>
      <c r="C89" s="21"/>
      <c r="D89" s="21"/>
      <c r="E89" s="21"/>
      <c r="F89" s="21"/>
      <c r="G89" s="21"/>
      <c r="H89" s="21"/>
      <c r="I89" s="21"/>
      <c r="J89" s="21"/>
    </row>
    <row r="90" spans="1:10" x14ac:dyDescent="0.3">
      <c r="A90" s="21" t="s">
        <v>202</v>
      </c>
      <c r="B90" s="21" t="s">
        <v>223</v>
      </c>
      <c r="C90" s="21"/>
      <c r="D90" s="21"/>
      <c r="E90" s="21"/>
      <c r="F90" s="21"/>
      <c r="G90" s="21"/>
      <c r="H90" s="21"/>
      <c r="I90" s="21"/>
      <c r="J90" s="21"/>
    </row>
    <row r="91" spans="1:10" x14ac:dyDescent="0.3">
      <c r="A91" s="21" t="s">
        <v>84</v>
      </c>
      <c r="B91" s="21" t="s">
        <v>86</v>
      </c>
      <c r="C91" s="21"/>
      <c r="D91" s="21"/>
      <c r="E91" s="21"/>
      <c r="F91" s="21"/>
      <c r="G91" s="21"/>
      <c r="H91" s="21"/>
      <c r="I91" s="21"/>
      <c r="J91" s="21"/>
    </row>
    <row r="92" spans="1:10" x14ac:dyDescent="0.3">
      <c r="A92" s="21" t="s">
        <v>73</v>
      </c>
      <c r="B92" s="21" t="s">
        <v>98</v>
      </c>
      <c r="C92" s="21"/>
      <c r="D92" s="21"/>
      <c r="E92" s="21"/>
      <c r="F92" s="21"/>
      <c r="G92" s="21"/>
      <c r="H92" s="21"/>
      <c r="I92" s="21"/>
      <c r="J92" s="21"/>
    </row>
    <row r="93" spans="1:10" x14ac:dyDescent="0.3">
      <c r="A93" s="21" t="s">
        <v>186</v>
      </c>
      <c r="B93" s="21">
        <v>1</v>
      </c>
      <c r="C93" s="21"/>
      <c r="D93" s="21"/>
      <c r="E93" s="21"/>
      <c r="F93" s="21"/>
      <c r="G93" s="21"/>
      <c r="H93" s="21"/>
      <c r="I93" s="21"/>
      <c r="J93" s="21"/>
    </row>
    <row r="94" spans="1:10" x14ac:dyDescent="0.3">
      <c r="A94" s="21" t="s">
        <v>74</v>
      </c>
      <c r="B94" s="21" t="s">
        <v>222</v>
      </c>
      <c r="C94" s="21"/>
      <c r="D94" s="21"/>
      <c r="E94" s="21"/>
      <c r="F94" s="21"/>
      <c r="G94" s="21"/>
      <c r="H94" s="21"/>
      <c r="I94" s="21"/>
      <c r="J94" s="21"/>
    </row>
    <row r="95" spans="1:10" x14ac:dyDescent="0.3">
      <c r="A95" s="21" t="s">
        <v>77</v>
      </c>
      <c r="B95" s="21" t="s">
        <v>78</v>
      </c>
      <c r="C95" s="21"/>
      <c r="D95" s="21"/>
      <c r="E95" s="21"/>
      <c r="F95" s="21"/>
      <c r="G95" s="21"/>
      <c r="H95" s="21"/>
      <c r="I95" s="21"/>
      <c r="J95" s="21"/>
    </row>
    <row r="96" spans="1:10" x14ac:dyDescent="0.3">
      <c r="A96" s="21" t="s">
        <v>204</v>
      </c>
      <c r="B96" s="21" t="s">
        <v>187</v>
      </c>
      <c r="C96" s="21"/>
      <c r="D96" s="21"/>
      <c r="E96" s="21"/>
      <c r="F96" s="21"/>
      <c r="G96" s="21"/>
      <c r="H96" s="21"/>
      <c r="I96" s="21"/>
      <c r="J96" s="21"/>
    </row>
    <row r="97" spans="1:10" ht="15.6" x14ac:dyDescent="0.3">
      <c r="A97" s="11" t="s">
        <v>80</v>
      </c>
      <c r="B97" s="21"/>
      <c r="C97" s="21"/>
      <c r="D97" s="21"/>
      <c r="E97" s="21"/>
      <c r="F97" s="21"/>
      <c r="G97" s="21"/>
      <c r="H97" s="21"/>
      <c r="I97" s="21"/>
      <c r="J97" s="21"/>
    </row>
    <row r="98" spans="1:10" x14ac:dyDescent="0.3">
      <c r="A98" s="21" t="s">
        <v>81</v>
      </c>
      <c r="B98" s="21" t="s">
        <v>82</v>
      </c>
      <c r="C98" s="21" t="s">
        <v>188</v>
      </c>
      <c r="D98" s="21" t="s">
        <v>73</v>
      </c>
      <c r="E98" s="21" t="s">
        <v>77</v>
      </c>
      <c r="F98" s="21" t="s">
        <v>75</v>
      </c>
      <c r="G98" s="21" t="s">
        <v>74</v>
      </c>
      <c r="H98" s="21"/>
      <c r="I98" s="21"/>
      <c r="J98" s="21"/>
    </row>
    <row r="99" spans="1:10" x14ac:dyDescent="0.3">
      <c r="A99" s="21" t="s">
        <v>222</v>
      </c>
      <c r="B99" s="21">
        <v>1</v>
      </c>
      <c r="C99" s="21" t="s">
        <v>187</v>
      </c>
      <c r="D99" s="21" t="s">
        <v>98</v>
      </c>
      <c r="E99" s="21" t="s">
        <v>78</v>
      </c>
      <c r="F99" s="21" t="s">
        <v>85</v>
      </c>
      <c r="G99" s="21"/>
      <c r="H99" s="21"/>
      <c r="I99" s="21"/>
      <c r="J99" s="21"/>
    </row>
    <row r="100" spans="1:10" x14ac:dyDescent="0.3">
      <c r="A100" s="21" t="s">
        <v>201</v>
      </c>
      <c r="B100" s="21">
        <v>0.94</v>
      </c>
      <c r="C100" s="21" t="s">
        <v>187</v>
      </c>
      <c r="D100" s="21" t="s">
        <v>98</v>
      </c>
      <c r="E100" s="21" t="s">
        <v>78</v>
      </c>
      <c r="F100" s="21" t="s">
        <v>91</v>
      </c>
      <c r="G100" s="21"/>
      <c r="H100" s="21"/>
      <c r="I100" s="21"/>
      <c r="J100" s="21"/>
    </row>
    <row r="101" spans="1:10" x14ac:dyDescent="0.3">
      <c r="A101" s="21" t="s">
        <v>224</v>
      </c>
      <c r="B101" s="21">
        <v>0.41</v>
      </c>
      <c r="C101" s="21" t="s">
        <v>193</v>
      </c>
      <c r="D101" s="21" t="s">
        <v>98</v>
      </c>
      <c r="E101" s="21" t="s">
        <v>78</v>
      </c>
      <c r="F101" s="21" t="s">
        <v>91</v>
      </c>
      <c r="G101" s="21" t="s">
        <v>225</v>
      </c>
      <c r="H101" s="21"/>
      <c r="I101" s="21"/>
      <c r="J101" s="21"/>
    </row>
    <row r="102" spans="1:10" x14ac:dyDescent="0.3">
      <c r="A102" s="21" t="s">
        <v>226</v>
      </c>
      <c r="B102" s="21">
        <v>0.02</v>
      </c>
      <c r="C102" s="21" t="s">
        <v>193</v>
      </c>
      <c r="D102" s="21" t="s">
        <v>98</v>
      </c>
      <c r="E102" s="21" t="s">
        <v>78</v>
      </c>
      <c r="F102" s="21" t="s">
        <v>91</v>
      </c>
      <c r="G102" s="21" t="s">
        <v>227</v>
      </c>
      <c r="H102" s="21"/>
      <c r="I102" s="21"/>
      <c r="J102" s="21"/>
    </row>
    <row r="103" spans="1:10" x14ac:dyDescent="0.3">
      <c r="A103" s="21" t="s">
        <v>208</v>
      </c>
      <c r="B103" s="21">
        <v>4.0000000000000001E-10</v>
      </c>
      <c r="C103" s="21" t="s">
        <v>193</v>
      </c>
      <c r="D103" s="21" t="s">
        <v>98</v>
      </c>
      <c r="E103" s="21" t="s">
        <v>77</v>
      </c>
      <c r="F103" s="21" t="s">
        <v>91</v>
      </c>
      <c r="G103" s="21" t="s">
        <v>209</v>
      </c>
      <c r="H103" s="21"/>
      <c r="I103" s="21"/>
      <c r="J103" s="21"/>
    </row>
    <row r="104" spans="1:10" x14ac:dyDescent="0.3">
      <c r="A104" s="21" t="s">
        <v>228</v>
      </c>
      <c r="B104" s="21">
        <v>0.04</v>
      </c>
      <c r="C104" s="21" t="s">
        <v>193</v>
      </c>
      <c r="D104" s="21" t="s">
        <v>98</v>
      </c>
      <c r="E104" s="21" t="s">
        <v>78</v>
      </c>
      <c r="F104" s="21" t="s">
        <v>91</v>
      </c>
      <c r="G104" s="21" t="s">
        <v>229</v>
      </c>
      <c r="H104" s="21"/>
      <c r="I104" s="21"/>
      <c r="J104" s="21"/>
    </row>
    <row r="105" spans="1:10" x14ac:dyDescent="0.3">
      <c r="A105" s="21"/>
      <c r="B105" s="21"/>
      <c r="C105" s="21"/>
      <c r="D105" s="21"/>
      <c r="E105" s="21"/>
      <c r="F105" s="21"/>
      <c r="G105" s="21"/>
      <c r="H105" s="21"/>
      <c r="I105" s="21"/>
      <c r="J105" s="21"/>
    </row>
    <row r="106" spans="1:10" ht="15.6" x14ac:dyDescent="0.3">
      <c r="A106" s="11" t="s">
        <v>72</v>
      </c>
      <c r="B106" s="11" t="s">
        <v>230</v>
      </c>
      <c r="C106" s="21"/>
      <c r="D106" s="21"/>
      <c r="E106" s="21"/>
      <c r="F106" s="21"/>
      <c r="G106" s="21"/>
      <c r="H106" s="21"/>
      <c r="I106" s="21"/>
      <c r="J106" s="21"/>
    </row>
    <row r="107" spans="1:10" x14ac:dyDescent="0.3">
      <c r="A107" s="21" t="s">
        <v>202</v>
      </c>
      <c r="B107" s="21" t="s">
        <v>231</v>
      </c>
      <c r="C107" s="21"/>
      <c r="D107" s="21"/>
      <c r="E107" s="21"/>
      <c r="F107" s="21"/>
      <c r="G107" s="21"/>
      <c r="H107" s="21"/>
      <c r="I107" s="21"/>
      <c r="J107" s="21"/>
    </row>
    <row r="108" spans="1:10" x14ac:dyDescent="0.3">
      <c r="A108" s="21" t="s">
        <v>84</v>
      </c>
      <c r="B108" s="21" t="s">
        <v>86</v>
      </c>
      <c r="C108" s="21"/>
      <c r="D108" s="21"/>
      <c r="E108" s="21"/>
      <c r="F108" s="21"/>
      <c r="G108" s="21"/>
      <c r="H108" s="21"/>
      <c r="I108" s="21"/>
      <c r="J108" s="21"/>
    </row>
    <row r="109" spans="1:10" x14ac:dyDescent="0.3">
      <c r="A109" s="21" t="s">
        <v>73</v>
      </c>
      <c r="B109" s="21" t="s">
        <v>98</v>
      </c>
      <c r="C109" s="21"/>
      <c r="D109" s="21"/>
      <c r="E109" s="21"/>
      <c r="F109" s="21"/>
      <c r="G109" s="21"/>
      <c r="H109" s="21"/>
      <c r="I109" s="21"/>
      <c r="J109" s="21"/>
    </row>
    <row r="110" spans="1:10" x14ac:dyDescent="0.3">
      <c r="A110" s="21" t="s">
        <v>186</v>
      </c>
      <c r="B110" s="21">
        <v>1</v>
      </c>
      <c r="C110" s="21"/>
      <c r="D110" s="21"/>
      <c r="E110" s="21"/>
      <c r="F110" s="21"/>
      <c r="G110" s="21"/>
      <c r="H110" s="21"/>
      <c r="I110" s="21"/>
      <c r="J110" s="21"/>
    </row>
    <row r="111" spans="1:10" x14ac:dyDescent="0.3">
      <c r="A111" s="21" t="s">
        <v>74</v>
      </c>
      <c r="B111" s="21" t="s">
        <v>230</v>
      </c>
      <c r="C111" s="21"/>
      <c r="D111" s="21"/>
      <c r="E111" s="21"/>
      <c r="F111" s="21"/>
      <c r="G111" s="21"/>
      <c r="H111" s="21"/>
      <c r="I111" s="21"/>
      <c r="J111" s="21"/>
    </row>
    <row r="112" spans="1:10" x14ac:dyDescent="0.3">
      <c r="A112" s="21" t="s">
        <v>77</v>
      </c>
      <c r="B112" s="21" t="s">
        <v>78</v>
      </c>
      <c r="C112" s="21"/>
      <c r="D112" s="21"/>
      <c r="E112" s="21"/>
      <c r="F112" s="21"/>
      <c r="G112" s="21"/>
      <c r="H112" s="21"/>
      <c r="I112" s="21"/>
      <c r="J112" s="21"/>
    </row>
    <row r="113" spans="1:10" x14ac:dyDescent="0.3">
      <c r="A113" s="21" t="s">
        <v>204</v>
      </c>
      <c r="B113" s="21" t="s">
        <v>187</v>
      </c>
      <c r="C113" s="21"/>
      <c r="D113" s="21"/>
      <c r="E113" s="21"/>
      <c r="F113" s="21"/>
      <c r="G113" s="21"/>
      <c r="H113" s="21"/>
      <c r="I113" s="21"/>
      <c r="J113" s="21"/>
    </row>
    <row r="114" spans="1:10" ht="15.6" x14ac:dyDescent="0.3">
      <c r="A114" s="11" t="s">
        <v>80</v>
      </c>
      <c r="B114" s="21"/>
      <c r="C114" s="21"/>
      <c r="D114" s="21"/>
      <c r="E114" s="21"/>
      <c r="F114" s="21"/>
      <c r="G114" s="21"/>
      <c r="H114" s="21"/>
      <c r="I114" s="21"/>
      <c r="J114" s="21"/>
    </row>
    <row r="115" spans="1:10" x14ac:dyDescent="0.3">
      <c r="A115" s="21" t="s">
        <v>81</v>
      </c>
      <c r="B115" s="21" t="s">
        <v>82</v>
      </c>
      <c r="C115" s="21" t="s">
        <v>188</v>
      </c>
      <c r="D115" s="21" t="s">
        <v>73</v>
      </c>
      <c r="E115" s="21" t="s">
        <v>77</v>
      </c>
      <c r="F115" s="21" t="s">
        <v>75</v>
      </c>
      <c r="G115" s="21"/>
      <c r="H115" s="21"/>
      <c r="I115" s="21"/>
      <c r="J115" s="21"/>
    </row>
    <row r="116" spans="1:10" x14ac:dyDescent="0.3">
      <c r="A116" s="21" t="s">
        <v>230</v>
      </c>
      <c r="B116" s="21">
        <v>1</v>
      </c>
      <c r="C116" s="21" t="s">
        <v>187</v>
      </c>
      <c r="D116" s="21" t="s">
        <v>98</v>
      </c>
      <c r="E116" s="21" t="s">
        <v>78</v>
      </c>
      <c r="F116" s="21" t="s">
        <v>85</v>
      </c>
      <c r="G116" s="21"/>
      <c r="H116" s="21"/>
      <c r="I116" s="21"/>
      <c r="J116" s="21"/>
    </row>
    <row r="117" spans="1:10" x14ac:dyDescent="0.3">
      <c r="A117" s="21" t="s">
        <v>232</v>
      </c>
      <c r="B117" s="21">
        <v>0.56999999999999995</v>
      </c>
      <c r="C117" s="21" t="s">
        <v>187</v>
      </c>
      <c r="D117" s="21" t="s">
        <v>98</v>
      </c>
      <c r="E117" s="21" t="s">
        <v>78</v>
      </c>
      <c r="F117" s="21" t="s">
        <v>91</v>
      </c>
      <c r="G117" s="21"/>
      <c r="H117" s="21"/>
      <c r="I117" s="21"/>
      <c r="J117" s="21"/>
    </row>
    <row r="118" spans="1:10" x14ac:dyDescent="0.3">
      <c r="A118" s="21" t="s">
        <v>233</v>
      </c>
      <c r="B118" s="21">
        <v>0.43</v>
      </c>
      <c r="C118" s="21" t="s">
        <v>187</v>
      </c>
      <c r="D118" s="21" t="s">
        <v>98</v>
      </c>
      <c r="E118" s="21" t="s">
        <v>78</v>
      </c>
      <c r="F118" s="21" t="s">
        <v>91</v>
      </c>
      <c r="G118" s="21"/>
      <c r="H118" s="21"/>
      <c r="I118" s="21"/>
      <c r="J118" s="21"/>
    </row>
    <row r="119" spans="1:10" x14ac:dyDescent="0.3">
      <c r="A119" s="21"/>
      <c r="B119" s="21"/>
      <c r="C119" s="21"/>
      <c r="D119" s="21"/>
      <c r="E119" s="21"/>
      <c r="F119" s="21"/>
      <c r="G119" s="21"/>
      <c r="H119" s="21"/>
      <c r="I119" s="21"/>
      <c r="J119" s="21"/>
    </row>
    <row r="120" spans="1:10" ht="15.6" x14ac:dyDescent="0.3">
      <c r="A120" s="11" t="s">
        <v>72</v>
      </c>
      <c r="B120" s="11" t="s">
        <v>100</v>
      </c>
      <c r="C120" s="21"/>
      <c r="D120" s="21"/>
      <c r="E120" s="21"/>
      <c r="F120" s="21"/>
      <c r="G120" s="21"/>
      <c r="H120" s="21"/>
      <c r="I120" s="21"/>
      <c r="J120" s="21"/>
    </row>
    <row r="121" spans="1:10" x14ac:dyDescent="0.3">
      <c r="A121" s="21" t="s">
        <v>202</v>
      </c>
      <c r="B121" s="21" t="s">
        <v>234</v>
      </c>
      <c r="C121" s="21"/>
      <c r="D121" s="21"/>
      <c r="E121" s="21"/>
      <c r="F121" s="21"/>
      <c r="G121" s="21"/>
      <c r="H121" s="21"/>
      <c r="I121" s="21"/>
      <c r="J121" s="21"/>
    </row>
    <row r="122" spans="1:10" x14ac:dyDescent="0.3">
      <c r="A122" s="21" t="s">
        <v>84</v>
      </c>
      <c r="B122" s="21" t="s">
        <v>235</v>
      </c>
      <c r="C122" s="21"/>
      <c r="D122" s="21"/>
      <c r="E122" s="21"/>
      <c r="F122" s="21"/>
      <c r="G122" s="21"/>
      <c r="H122" s="21"/>
      <c r="I122" s="21"/>
      <c r="J122" s="21"/>
    </row>
    <row r="123" spans="1:10" x14ac:dyDescent="0.3">
      <c r="A123" s="21" t="s">
        <v>73</v>
      </c>
      <c r="B123" s="21" t="s">
        <v>98</v>
      </c>
      <c r="C123" s="21"/>
      <c r="D123" s="21"/>
      <c r="E123" s="21"/>
      <c r="F123" s="21"/>
      <c r="G123" s="21"/>
      <c r="H123" s="21"/>
      <c r="I123" s="21"/>
      <c r="J123" s="21"/>
    </row>
    <row r="124" spans="1:10" x14ac:dyDescent="0.3">
      <c r="A124" s="21" t="s">
        <v>186</v>
      </c>
      <c r="B124" s="21">
        <v>1</v>
      </c>
      <c r="C124" s="21"/>
      <c r="D124" s="21"/>
      <c r="E124" s="21"/>
      <c r="F124" s="21"/>
      <c r="G124" s="21"/>
      <c r="H124" s="21"/>
      <c r="I124" s="21"/>
      <c r="J124" s="21"/>
    </row>
    <row r="125" spans="1:10" x14ac:dyDescent="0.3">
      <c r="A125" s="21" t="s">
        <v>74</v>
      </c>
      <c r="B125" s="21" t="s">
        <v>100</v>
      </c>
      <c r="C125" s="21"/>
      <c r="D125" s="21"/>
      <c r="E125" s="21"/>
      <c r="F125" s="21"/>
      <c r="G125" s="21"/>
      <c r="H125" s="21"/>
      <c r="I125" s="21"/>
      <c r="J125" s="21"/>
    </row>
    <row r="126" spans="1:10" x14ac:dyDescent="0.3">
      <c r="A126" s="21" t="s">
        <v>77</v>
      </c>
      <c r="B126" s="21" t="s">
        <v>78</v>
      </c>
      <c r="C126" s="21"/>
      <c r="D126" s="21"/>
      <c r="E126" s="21"/>
      <c r="F126" s="21"/>
      <c r="G126" s="21"/>
      <c r="H126" s="21"/>
      <c r="I126" s="21"/>
      <c r="J126" s="21"/>
    </row>
    <row r="127" spans="1:10" x14ac:dyDescent="0.3">
      <c r="A127" s="21" t="s">
        <v>204</v>
      </c>
      <c r="B127" s="21" t="s">
        <v>187</v>
      </c>
      <c r="C127" s="21"/>
      <c r="D127" s="21"/>
      <c r="E127" s="21"/>
      <c r="F127" s="21"/>
      <c r="G127" s="21"/>
      <c r="H127" s="21"/>
      <c r="I127" s="21"/>
      <c r="J127" s="21"/>
    </row>
    <row r="128" spans="1:10" ht="15.6" x14ac:dyDescent="0.3">
      <c r="A128" s="11" t="s">
        <v>80</v>
      </c>
      <c r="B128" s="21"/>
      <c r="C128" s="21"/>
      <c r="D128" s="21"/>
      <c r="E128" s="21"/>
      <c r="F128" s="21"/>
      <c r="G128" s="21"/>
      <c r="H128" s="21"/>
      <c r="I128" s="21"/>
      <c r="J128" s="21"/>
    </row>
    <row r="129" spans="1:10" x14ac:dyDescent="0.3">
      <c r="A129" s="21" t="s">
        <v>81</v>
      </c>
      <c r="B129" s="21" t="s">
        <v>82</v>
      </c>
      <c r="C129" s="21" t="s">
        <v>188</v>
      </c>
      <c r="D129" s="21" t="s">
        <v>73</v>
      </c>
      <c r="E129" s="21" t="s">
        <v>77</v>
      </c>
      <c r="F129" s="21" t="s">
        <v>83</v>
      </c>
      <c r="G129" s="21" t="s">
        <v>75</v>
      </c>
      <c r="H129" s="21" t="s">
        <v>74</v>
      </c>
      <c r="I129" s="21"/>
      <c r="J129" s="21"/>
    </row>
    <row r="130" spans="1:10" x14ac:dyDescent="0.3">
      <c r="A130" s="21" t="s">
        <v>205</v>
      </c>
      <c r="B130" s="21">
        <v>1.4E-3</v>
      </c>
      <c r="C130" s="21" t="s">
        <v>187</v>
      </c>
      <c r="D130" s="21"/>
      <c r="E130" s="21" t="s">
        <v>206</v>
      </c>
      <c r="F130" s="21" t="s">
        <v>171</v>
      </c>
      <c r="G130" s="21" t="s">
        <v>173</v>
      </c>
      <c r="H130" s="21"/>
      <c r="I130" s="21"/>
      <c r="J130" s="21"/>
    </row>
    <row r="131" spans="1:10" x14ac:dyDescent="0.3">
      <c r="A131" s="21" t="s">
        <v>100</v>
      </c>
      <c r="B131" s="21">
        <v>1</v>
      </c>
      <c r="C131" s="21" t="s">
        <v>187</v>
      </c>
      <c r="D131" s="21" t="s">
        <v>98</v>
      </c>
      <c r="E131" s="21" t="s">
        <v>78</v>
      </c>
      <c r="F131" s="21"/>
      <c r="G131" s="21" t="s">
        <v>85</v>
      </c>
      <c r="H131" s="21"/>
      <c r="I131" s="21"/>
      <c r="J131" s="21"/>
    </row>
    <row r="132" spans="1:10" x14ac:dyDescent="0.3">
      <c r="A132" s="21" t="s">
        <v>236</v>
      </c>
      <c r="B132" s="21">
        <v>0.1</v>
      </c>
      <c r="C132" s="21" t="s">
        <v>187</v>
      </c>
      <c r="D132" s="21" t="s">
        <v>98</v>
      </c>
      <c r="E132" s="21" t="s">
        <v>78</v>
      </c>
      <c r="F132" s="21"/>
      <c r="G132" s="21" t="s">
        <v>91</v>
      </c>
      <c r="H132" s="21"/>
      <c r="I132" s="21"/>
      <c r="J132" s="21"/>
    </row>
    <row r="133" spans="1:10" x14ac:dyDescent="0.3">
      <c r="A133" s="21" t="s">
        <v>237</v>
      </c>
      <c r="B133" s="21">
        <v>0.8</v>
      </c>
      <c r="C133" s="21" t="s">
        <v>187</v>
      </c>
      <c r="D133" s="21" t="s">
        <v>98</v>
      </c>
      <c r="E133" s="21" t="s">
        <v>78</v>
      </c>
      <c r="F133" s="21"/>
      <c r="G133" s="21" t="s">
        <v>91</v>
      </c>
      <c r="H133" s="21"/>
      <c r="I133" s="21"/>
      <c r="J133" s="21"/>
    </row>
    <row r="134" spans="1:10" x14ac:dyDescent="0.3">
      <c r="A134" s="21" t="s">
        <v>238</v>
      </c>
      <c r="B134" s="21">
        <v>0.1</v>
      </c>
      <c r="C134" s="21" t="s">
        <v>187</v>
      </c>
      <c r="D134" s="21" t="s">
        <v>98</v>
      </c>
      <c r="E134" s="21" t="s">
        <v>78</v>
      </c>
      <c r="F134" s="21"/>
      <c r="G134" s="21" t="s">
        <v>91</v>
      </c>
      <c r="H134" s="21"/>
      <c r="I134" s="21"/>
      <c r="J134" s="21"/>
    </row>
    <row r="135" spans="1:10" x14ac:dyDescent="0.3">
      <c r="A135" s="21" t="s">
        <v>239</v>
      </c>
      <c r="B135" s="21">
        <v>1.9000000000000001E-8</v>
      </c>
      <c r="C135" s="21" t="s">
        <v>193</v>
      </c>
      <c r="D135" s="21" t="s">
        <v>98</v>
      </c>
      <c r="E135" s="21" t="s">
        <v>77</v>
      </c>
      <c r="F135" s="21"/>
      <c r="G135" s="21" t="s">
        <v>91</v>
      </c>
      <c r="H135" s="21" t="s">
        <v>240</v>
      </c>
      <c r="I135" s="21"/>
      <c r="J135" s="21"/>
    </row>
    <row r="136" spans="1:10" x14ac:dyDescent="0.3">
      <c r="A136" s="22" t="s">
        <v>468</v>
      </c>
      <c r="B136" s="21">
        <v>0.16</v>
      </c>
      <c r="C136" s="21" t="s">
        <v>193</v>
      </c>
      <c r="D136" s="21" t="s">
        <v>94</v>
      </c>
      <c r="E136" s="21" t="s">
        <v>243</v>
      </c>
      <c r="F136" s="21"/>
      <c r="G136" s="21" t="s">
        <v>91</v>
      </c>
      <c r="H136" s="22" t="s">
        <v>469</v>
      </c>
      <c r="I136" s="21"/>
      <c r="J136" s="21"/>
    </row>
    <row r="137" spans="1:10" x14ac:dyDescent="0.3">
      <c r="A137" s="22" t="s">
        <v>467</v>
      </c>
      <c r="B137" s="21">
        <v>4.9000000000000004</v>
      </c>
      <c r="C137" s="21" t="s">
        <v>193</v>
      </c>
      <c r="D137" s="21" t="s">
        <v>98</v>
      </c>
      <c r="E137" s="21" t="s">
        <v>243</v>
      </c>
      <c r="F137" s="21"/>
      <c r="G137" s="21" t="s">
        <v>91</v>
      </c>
      <c r="H137" s="22" t="s">
        <v>467</v>
      </c>
      <c r="I137" s="21"/>
      <c r="J137" s="21"/>
    </row>
    <row r="138" spans="1:10" x14ac:dyDescent="0.3">
      <c r="A138" s="21" t="s">
        <v>247</v>
      </c>
      <c r="B138" s="21">
        <v>4.0000000000000002E-4</v>
      </c>
      <c r="C138" s="21" t="s">
        <v>193</v>
      </c>
      <c r="D138" s="21" t="s">
        <v>98</v>
      </c>
      <c r="E138" s="21" t="s">
        <v>101</v>
      </c>
      <c r="F138" s="21"/>
      <c r="G138" s="21" t="s">
        <v>91</v>
      </c>
      <c r="H138" s="21" t="s">
        <v>129</v>
      </c>
      <c r="I138" s="21"/>
      <c r="J138" s="21"/>
    </row>
    <row r="139" spans="1:10" x14ac:dyDescent="0.3">
      <c r="A139" s="21"/>
      <c r="B139" s="21"/>
      <c r="C139" s="21"/>
      <c r="D139" s="21"/>
      <c r="E139" s="21"/>
      <c r="F139" s="21"/>
      <c r="G139" s="21"/>
      <c r="H139" s="21"/>
      <c r="I139" s="21"/>
      <c r="J139" s="21"/>
    </row>
    <row r="140" spans="1:10" ht="15.6" x14ac:dyDescent="0.3">
      <c r="A140" s="11" t="s">
        <v>72</v>
      </c>
      <c r="B140" s="11" t="s">
        <v>97</v>
      </c>
      <c r="C140" s="21"/>
      <c r="D140" s="21"/>
      <c r="E140" s="21"/>
      <c r="F140" s="21"/>
      <c r="G140" s="21"/>
      <c r="H140" s="21"/>
      <c r="I140" s="21"/>
      <c r="J140" s="21"/>
    </row>
    <row r="141" spans="1:10" x14ac:dyDescent="0.3">
      <c r="A141" s="21" t="s">
        <v>84</v>
      </c>
      <c r="B141" s="21" t="s">
        <v>86</v>
      </c>
      <c r="C141" s="21"/>
      <c r="D141" s="21"/>
      <c r="E141" s="21"/>
      <c r="F141" s="21"/>
      <c r="G141" s="21"/>
      <c r="H141" s="21"/>
      <c r="I141" s="21"/>
      <c r="J141" s="21"/>
    </row>
    <row r="142" spans="1:10" x14ac:dyDescent="0.3">
      <c r="A142" s="21" t="s">
        <v>73</v>
      </c>
      <c r="B142" s="21" t="s">
        <v>98</v>
      </c>
      <c r="C142" s="21"/>
      <c r="D142" s="21"/>
      <c r="E142" s="21"/>
      <c r="F142" s="21"/>
      <c r="G142" s="21"/>
      <c r="H142" s="21"/>
      <c r="I142" s="21"/>
      <c r="J142" s="21"/>
    </row>
    <row r="143" spans="1:10" x14ac:dyDescent="0.3">
      <c r="A143" s="21" t="s">
        <v>186</v>
      </c>
      <c r="B143" s="21">
        <v>1</v>
      </c>
      <c r="C143" s="21"/>
      <c r="D143" s="21"/>
      <c r="E143" s="21"/>
      <c r="F143" s="21"/>
      <c r="G143" s="21"/>
      <c r="H143" s="21"/>
      <c r="I143" s="21"/>
      <c r="J143" s="21"/>
    </row>
    <row r="144" spans="1:10" x14ac:dyDescent="0.3">
      <c r="A144" s="21" t="s">
        <v>74</v>
      </c>
      <c r="B144" s="21" t="s">
        <v>99</v>
      </c>
      <c r="C144" s="21"/>
      <c r="D144" s="21"/>
      <c r="E144" s="21"/>
      <c r="F144" s="21"/>
      <c r="G144" s="21"/>
      <c r="H144" s="21"/>
      <c r="I144" s="21"/>
      <c r="J144" s="21"/>
    </row>
    <row r="145" spans="1:10" x14ac:dyDescent="0.3">
      <c r="A145" s="21" t="s">
        <v>77</v>
      </c>
      <c r="B145" s="21" t="s">
        <v>78</v>
      </c>
      <c r="C145" s="21"/>
      <c r="D145" s="21"/>
      <c r="E145" s="21"/>
      <c r="F145" s="21"/>
      <c r="G145" s="21"/>
      <c r="H145" s="21"/>
      <c r="I145" s="21"/>
      <c r="J145" s="21"/>
    </row>
    <row r="146" spans="1:10" x14ac:dyDescent="0.3">
      <c r="A146" s="21" t="s">
        <v>204</v>
      </c>
      <c r="B146" s="21" t="s">
        <v>187</v>
      </c>
      <c r="C146" s="21"/>
      <c r="D146" s="21"/>
      <c r="E146" s="21"/>
      <c r="F146" s="21"/>
      <c r="G146" s="21"/>
      <c r="H146" s="21"/>
      <c r="I146" s="21"/>
      <c r="J146" s="21"/>
    </row>
    <row r="147" spans="1:10" ht="15.6" x14ac:dyDescent="0.3">
      <c r="A147" s="11" t="s">
        <v>80</v>
      </c>
      <c r="B147" s="21"/>
      <c r="C147" s="21"/>
      <c r="D147" s="21"/>
      <c r="E147" s="21"/>
      <c r="F147" s="21"/>
      <c r="G147" s="21"/>
      <c r="H147" s="21"/>
      <c r="I147" s="21"/>
      <c r="J147" s="21"/>
    </row>
    <row r="148" spans="1:10" x14ac:dyDescent="0.3">
      <c r="A148" s="21" t="s">
        <v>81</v>
      </c>
      <c r="B148" s="21" t="s">
        <v>82</v>
      </c>
      <c r="C148" s="21" t="s">
        <v>188</v>
      </c>
      <c r="D148" s="21" t="s">
        <v>73</v>
      </c>
      <c r="E148" s="21" t="s">
        <v>77</v>
      </c>
      <c r="F148" s="21" t="s">
        <v>83</v>
      </c>
      <c r="G148" s="21" t="s">
        <v>75</v>
      </c>
      <c r="H148" s="21" t="s">
        <v>248</v>
      </c>
      <c r="I148" s="21" t="s">
        <v>74</v>
      </c>
      <c r="J148" s="21"/>
    </row>
    <row r="149" spans="1:10" x14ac:dyDescent="0.3">
      <c r="A149" s="21" t="s">
        <v>205</v>
      </c>
      <c r="B149" s="21">
        <v>100</v>
      </c>
      <c r="C149" s="21" t="s">
        <v>187</v>
      </c>
      <c r="D149" s="21"/>
      <c r="E149" s="21" t="s">
        <v>206</v>
      </c>
      <c r="F149" s="21" t="s">
        <v>171</v>
      </c>
      <c r="G149" s="21" t="s">
        <v>173</v>
      </c>
      <c r="H149" s="21"/>
      <c r="I149" s="21"/>
      <c r="J149" s="21"/>
    </row>
    <row r="150" spans="1:10" x14ac:dyDescent="0.3">
      <c r="A150" s="21" t="s">
        <v>97</v>
      </c>
      <c r="B150" s="21">
        <v>1</v>
      </c>
      <c r="C150" s="21" t="s">
        <v>187</v>
      </c>
      <c r="D150" s="21" t="s">
        <v>98</v>
      </c>
      <c r="E150" s="21" t="s">
        <v>78</v>
      </c>
      <c r="F150" s="21"/>
      <c r="G150" s="21" t="s">
        <v>85</v>
      </c>
      <c r="H150" s="21"/>
      <c r="I150" s="21" t="s">
        <v>99</v>
      </c>
      <c r="J150" s="21"/>
    </row>
    <row r="151" spans="1:10" x14ac:dyDescent="0.3">
      <c r="A151" s="21" t="s">
        <v>230</v>
      </c>
      <c r="B151" s="21">
        <v>0.39</v>
      </c>
      <c r="C151" s="21" t="s">
        <v>187</v>
      </c>
      <c r="D151" s="21" t="s">
        <v>98</v>
      </c>
      <c r="E151" s="21" t="s">
        <v>78</v>
      </c>
      <c r="F151" s="21"/>
      <c r="G151" s="21" t="s">
        <v>91</v>
      </c>
      <c r="H151" s="21"/>
      <c r="I151" s="21"/>
      <c r="J151" s="21"/>
    </row>
    <row r="152" spans="1:10" x14ac:dyDescent="0.3">
      <c r="A152" s="21" t="s">
        <v>249</v>
      </c>
      <c r="B152" s="21">
        <v>0.43</v>
      </c>
      <c r="C152" s="21" t="s">
        <v>187</v>
      </c>
      <c r="D152" s="21" t="s">
        <v>98</v>
      </c>
      <c r="E152" s="21" t="s">
        <v>78</v>
      </c>
      <c r="F152" s="21"/>
      <c r="G152" s="21" t="s">
        <v>91</v>
      </c>
      <c r="H152" s="21"/>
      <c r="I152" s="21"/>
      <c r="J152" s="21"/>
    </row>
    <row r="153" spans="1:10" x14ac:dyDescent="0.3">
      <c r="A153" s="21" t="s">
        <v>250</v>
      </c>
      <c r="B153" s="21">
        <v>6.7000000000000002E-3</v>
      </c>
      <c r="C153" s="21" t="s">
        <v>187</v>
      </c>
      <c r="D153" s="21" t="s">
        <v>98</v>
      </c>
      <c r="E153" s="21" t="s">
        <v>78</v>
      </c>
      <c r="F153" s="21"/>
      <c r="G153" s="21" t="s">
        <v>91</v>
      </c>
      <c r="H153" s="21"/>
      <c r="I153" s="21"/>
      <c r="J153" s="21"/>
    </row>
    <row r="154" spans="1:10" x14ac:dyDescent="0.3">
      <c r="A154" s="21" t="s">
        <v>251</v>
      </c>
      <c r="B154" s="21">
        <v>0.16</v>
      </c>
      <c r="C154" s="21" t="s">
        <v>187</v>
      </c>
      <c r="D154" s="21" t="s">
        <v>98</v>
      </c>
      <c r="E154" s="21" t="s">
        <v>78</v>
      </c>
      <c r="F154" s="21"/>
      <c r="G154" s="21" t="s">
        <v>91</v>
      </c>
      <c r="H154" s="21"/>
      <c r="I154" s="21"/>
      <c r="J154" s="21"/>
    </row>
    <row r="155" spans="1:10" x14ac:dyDescent="0.3">
      <c r="A155" s="21" t="s">
        <v>252</v>
      </c>
      <c r="B155" s="21">
        <v>2.1999999999999999E-2</v>
      </c>
      <c r="C155" s="21" t="s">
        <v>187</v>
      </c>
      <c r="D155" s="21" t="s">
        <v>98</v>
      </c>
      <c r="E155" s="21" t="s">
        <v>78</v>
      </c>
      <c r="F155" s="21"/>
      <c r="G155" s="21" t="s">
        <v>91</v>
      </c>
      <c r="H155" s="21"/>
      <c r="I155" s="21"/>
      <c r="J155" s="21"/>
    </row>
    <row r="156" spans="1:10" x14ac:dyDescent="0.3">
      <c r="A156" s="21" t="s">
        <v>253</v>
      </c>
      <c r="B156" s="21">
        <v>14.4</v>
      </c>
      <c r="C156" s="21" t="s">
        <v>193</v>
      </c>
      <c r="D156" s="21" t="s">
        <v>242</v>
      </c>
      <c r="E156" s="21" t="s">
        <v>206</v>
      </c>
      <c r="F156" s="21"/>
      <c r="G156" s="21" t="s">
        <v>91</v>
      </c>
      <c r="H156" s="21"/>
      <c r="I156" s="21" t="s">
        <v>254</v>
      </c>
      <c r="J156" s="21"/>
    </row>
    <row r="157" spans="1:10" x14ac:dyDescent="0.3">
      <c r="A157" s="21" t="s">
        <v>239</v>
      </c>
      <c r="B157" s="21">
        <v>1.9000000000000001E-8</v>
      </c>
      <c r="C157" s="21" t="s">
        <v>193</v>
      </c>
      <c r="D157" s="21" t="s">
        <v>98</v>
      </c>
      <c r="E157" s="21" t="s">
        <v>77</v>
      </c>
      <c r="F157" s="21"/>
      <c r="G157" s="21" t="s">
        <v>91</v>
      </c>
      <c r="H157" s="21"/>
      <c r="I157" s="21" t="s">
        <v>240</v>
      </c>
      <c r="J157" s="21"/>
    </row>
    <row r="158" spans="1:10" x14ac:dyDescent="0.3">
      <c r="A158" s="21" t="s">
        <v>255</v>
      </c>
      <c r="B158" s="21">
        <v>380</v>
      </c>
      <c r="C158" s="21" t="s">
        <v>193</v>
      </c>
      <c r="D158" s="21" t="s">
        <v>242</v>
      </c>
      <c r="E158" s="21" t="s">
        <v>78</v>
      </c>
      <c r="F158" s="21"/>
      <c r="G158" s="21" t="s">
        <v>91</v>
      </c>
      <c r="H158" s="21"/>
      <c r="I158" s="21" t="s">
        <v>256</v>
      </c>
      <c r="J158" s="21"/>
    </row>
    <row r="159" spans="1:10" s="21" customFormat="1" x14ac:dyDescent="0.3">
      <c r="A159" s="22" t="s">
        <v>468</v>
      </c>
      <c r="B159" s="21">
        <v>0.16</v>
      </c>
      <c r="C159" s="21" t="s">
        <v>193</v>
      </c>
      <c r="D159" s="21" t="s">
        <v>94</v>
      </c>
      <c r="E159" s="21" t="s">
        <v>243</v>
      </c>
      <c r="G159" s="21" t="s">
        <v>91</v>
      </c>
      <c r="I159" s="22" t="s">
        <v>469</v>
      </c>
    </row>
    <row r="160" spans="1:10" s="21" customFormat="1" x14ac:dyDescent="0.3">
      <c r="A160" s="22" t="s">
        <v>467</v>
      </c>
      <c r="B160" s="21">
        <v>4.9000000000000004</v>
      </c>
      <c r="C160" s="21" t="s">
        <v>193</v>
      </c>
      <c r="D160" s="21" t="s">
        <v>98</v>
      </c>
      <c r="E160" s="21" t="s">
        <v>243</v>
      </c>
      <c r="G160" s="21" t="s">
        <v>91</v>
      </c>
      <c r="I160" s="22" t="s">
        <v>467</v>
      </c>
    </row>
    <row r="161" spans="1:10" x14ac:dyDescent="0.3">
      <c r="A161" s="21" t="s">
        <v>247</v>
      </c>
      <c r="B161" s="21">
        <v>4</v>
      </c>
      <c r="C161" s="21" t="s">
        <v>193</v>
      </c>
      <c r="D161" s="21" t="s">
        <v>98</v>
      </c>
      <c r="E161" s="21" t="s">
        <v>101</v>
      </c>
      <c r="F161" s="21"/>
      <c r="G161" s="21" t="s">
        <v>91</v>
      </c>
      <c r="H161" s="21" t="s">
        <v>257</v>
      </c>
      <c r="I161" s="21" t="s">
        <v>129</v>
      </c>
      <c r="J161" s="21"/>
    </row>
    <row r="162" spans="1:10" x14ac:dyDescent="0.3">
      <c r="A162" s="21"/>
      <c r="B162" s="21"/>
      <c r="C162" s="21"/>
      <c r="D162" s="21"/>
      <c r="E162" s="21"/>
      <c r="F162" s="21"/>
      <c r="G162" s="21"/>
      <c r="H162" s="21"/>
      <c r="I162" s="21"/>
      <c r="J162" s="21"/>
    </row>
    <row r="163" spans="1:10" ht="15.6" x14ac:dyDescent="0.3">
      <c r="A163" s="11" t="s">
        <v>72</v>
      </c>
      <c r="B163" s="11" t="s">
        <v>236</v>
      </c>
      <c r="C163" s="21"/>
      <c r="D163" s="21"/>
      <c r="E163" s="21"/>
      <c r="F163" s="21"/>
      <c r="G163" s="21"/>
      <c r="H163" s="21"/>
      <c r="I163" s="21"/>
      <c r="J163" s="21"/>
    </row>
    <row r="164" spans="1:10" x14ac:dyDescent="0.3">
      <c r="A164" s="21" t="s">
        <v>202</v>
      </c>
      <c r="B164" s="21" t="s">
        <v>258</v>
      </c>
      <c r="C164" s="21"/>
      <c r="D164" s="21"/>
      <c r="E164" s="21"/>
      <c r="F164" s="21"/>
      <c r="G164" s="21"/>
      <c r="H164" s="21"/>
      <c r="I164" s="21"/>
      <c r="J164" s="21"/>
    </row>
    <row r="165" spans="1:10" x14ac:dyDescent="0.3">
      <c r="A165" s="21" t="s">
        <v>84</v>
      </c>
      <c r="B165" s="21" t="s">
        <v>259</v>
      </c>
      <c r="C165" s="21"/>
      <c r="D165" s="21"/>
      <c r="E165" s="21"/>
      <c r="F165" s="21"/>
      <c r="G165" s="21"/>
      <c r="H165" s="21"/>
      <c r="I165" s="21"/>
      <c r="J165" s="21"/>
    </row>
    <row r="166" spans="1:10" x14ac:dyDescent="0.3">
      <c r="A166" s="21" t="s">
        <v>73</v>
      </c>
      <c r="B166" s="21" t="s">
        <v>98</v>
      </c>
      <c r="C166" s="21"/>
      <c r="D166" s="21"/>
      <c r="E166" s="21"/>
      <c r="F166" s="21"/>
      <c r="G166" s="21"/>
      <c r="H166" s="21"/>
      <c r="I166" s="21"/>
      <c r="J166" s="21"/>
    </row>
    <row r="167" spans="1:10" x14ac:dyDescent="0.3">
      <c r="A167" s="21" t="s">
        <v>186</v>
      </c>
      <c r="B167" s="21">
        <v>1</v>
      </c>
      <c r="C167" s="21"/>
      <c r="D167" s="21"/>
      <c r="E167" s="21"/>
      <c r="F167" s="21"/>
      <c r="G167" s="21"/>
      <c r="H167" s="21"/>
      <c r="I167" s="21"/>
      <c r="J167" s="21"/>
    </row>
    <row r="168" spans="1:10" x14ac:dyDescent="0.3">
      <c r="A168" s="21" t="s">
        <v>74</v>
      </c>
      <c r="B168" s="21" t="s">
        <v>236</v>
      </c>
      <c r="C168" s="21"/>
      <c r="D168" s="21"/>
      <c r="E168" s="21"/>
      <c r="F168" s="21"/>
      <c r="G168" s="21"/>
      <c r="H168" s="21"/>
      <c r="I168" s="21"/>
      <c r="J168" s="21"/>
    </row>
    <row r="169" spans="1:10" x14ac:dyDescent="0.3">
      <c r="A169" s="21" t="s">
        <v>77</v>
      </c>
      <c r="B169" s="21" t="s">
        <v>78</v>
      </c>
      <c r="C169" s="21"/>
      <c r="D169" s="21"/>
      <c r="E169" s="21"/>
      <c r="F169" s="21"/>
      <c r="G169" s="21"/>
      <c r="H169" s="21"/>
      <c r="I169" s="21"/>
      <c r="J169" s="21"/>
    </row>
    <row r="170" spans="1:10" x14ac:dyDescent="0.3">
      <c r="A170" s="21" t="s">
        <v>204</v>
      </c>
      <c r="B170" s="21" t="s">
        <v>187</v>
      </c>
      <c r="C170" s="21"/>
      <c r="D170" s="21"/>
      <c r="E170" s="21"/>
      <c r="F170" s="21"/>
      <c r="G170" s="21"/>
      <c r="H170" s="21"/>
      <c r="I170" s="21"/>
      <c r="J170" s="21"/>
    </row>
    <row r="171" spans="1:10" ht="15.6" x14ac:dyDescent="0.3">
      <c r="A171" s="11" t="s">
        <v>80</v>
      </c>
      <c r="B171" s="21"/>
      <c r="C171" s="21"/>
      <c r="D171" s="21"/>
      <c r="E171" s="21"/>
      <c r="F171" s="21"/>
      <c r="G171" s="21"/>
      <c r="H171" s="21"/>
      <c r="I171" s="21"/>
      <c r="J171" s="21"/>
    </row>
    <row r="172" spans="1:10" x14ac:dyDescent="0.3">
      <c r="A172" s="21" t="s">
        <v>81</v>
      </c>
      <c r="B172" s="21" t="s">
        <v>82</v>
      </c>
      <c r="C172" s="21" t="s">
        <v>188</v>
      </c>
      <c r="D172" s="21" t="s">
        <v>73</v>
      </c>
      <c r="E172" s="21" t="s">
        <v>77</v>
      </c>
      <c r="F172" s="21" t="s">
        <v>75</v>
      </c>
      <c r="G172" s="21" t="s">
        <v>248</v>
      </c>
      <c r="H172" s="21" t="s">
        <v>74</v>
      </c>
      <c r="I172" s="21"/>
      <c r="J172" s="21"/>
    </row>
    <row r="173" spans="1:10" x14ac:dyDescent="0.3">
      <c r="A173" s="21" t="s">
        <v>236</v>
      </c>
      <c r="B173" s="21">
        <v>1</v>
      </c>
      <c r="C173" s="21" t="s">
        <v>187</v>
      </c>
      <c r="D173" s="21" t="s">
        <v>98</v>
      </c>
      <c r="E173" s="21" t="s">
        <v>78</v>
      </c>
      <c r="F173" s="21" t="s">
        <v>85</v>
      </c>
      <c r="G173" s="21"/>
      <c r="H173" s="21"/>
      <c r="I173" s="21"/>
      <c r="J173" s="21"/>
    </row>
    <row r="174" spans="1:10" x14ac:dyDescent="0.3">
      <c r="A174" s="21" t="s">
        <v>260</v>
      </c>
      <c r="B174" s="21">
        <v>0.3</v>
      </c>
      <c r="C174" s="21" t="s">
        <v>187</v>
      </c>
      <c r="D174" s="21" t="s">
        <v>98</v>
      </c>
      <c r="E174" s="21" t="s">
        <v>78</v>
      </c>
      <c r="F174" s="21" t="s">
        <v>91</v>
      </c>
      <c r="G174" s="21"/>
      <c r="H174" s="21"/>
      <c r="I174" s="21"/>
      <c r="J174" s="21"/>
    </row>
    <row r="175" spans="1:10" x14ac:dyDescent="0.3">
      <c r="A175" s="21" t="s">
        <v>261</v>
      </c>
      <c r="B175" s="21">
        <v>0.48</v>
      </c>
      <c r="C175" s="21" t="s">
        <v>187</v>
      </c>
      <c r="D175" s="21" t="s">
        <v>98</v>
      </c>
      <c r="E175" s="21" t="s">
        <v>78</v>
      </c>
      <c r="F175" s="21" t="s">
        <v>91</v>
      </c>
      <c r="G175" s="21"/>
      <c r="H175" s="21"/>
      <c r="I175" s="21"/>
      <c r="J175" s="21"/>
    </row>
    <row r="176" spans="1:10" x14ac:dyDescent="0.3">
      <c r="A176" s="21" t="s">
        <v>262</v>
      </c>
      <c r="B176" s="21">
        <v>3.0000000000000001E-3</v>
      </c>
      <c r="C176" s="21" t="s">
        <v>187</v>
      </c>
      <c r="D176" s="21" t="s">
        <v>98</v>
      </c>
      <c r="E176" s="21" t="s">
        <v>78</v>
      </c>
      <c r="F176" s="21" t="s">
        <v>91</v>
      </c>
      <c r="G176" s="21"/>
      <c r="H176" s="21"/>
      <c r="I176" s="21"/>
      <c r="J176" s="21"/>
    </row>
    <row r="177" spans="1:10" x14ac:dyDescent="0.3">
      <c r="A177" s="21" t="s">
        <v>263</v>
      </c>
      <c r="B177" s="21">
        <v>0.13</v>
      </c>
      <c r="C177" s="21" t="s">
        <v>187</v>
      </c>
      <c r="D177" s="21" t="s">
        <v>98</v>
      </c>
      <c r="E177" s="21" t="s">
        <v>78</v>
      </c>
      <c r="F177" s="21" t="s">
        <v>91</v>
      </c>
      <c r="G177" s="21"/>
      <c r="H177" s="21"/>
      <c r="I177" s="21"/>
      <c r="J177" s="21"/>
    </row>
    <row r="178" spans="1:10" x14ac:dyDescent="0.3">
      <c r="A178" s="21" t="s">
        <v>264</v>
      </c>
      <c r="B178" s="21">
        <v>8.8999999999999996E-2</v>
      </c>
      <c r="C178" s="21" t="s">
        <v>193</v>
      </c>
      <c r="D178" s="21" t="s">
        <v>98</v>
      </c>
      <c r="E178" s="21" t="s">
        <v>78</v>
      </c>
      <c r="F178" s="21" t="s">
        <v>91</v>
      </c>
      <c r="G178" s="21" t="s">
        <v>265</v>
      </c>
      <c r="H178" s="21" t="s">
        <v>266</v>
      </c>
      <c r="I178" s="21"/>
      <c r="J178" s="21"/>
    </row>
    <row r="179" spans="1:10" x14ac:dyDescent="0.3">
      <c r="A179" s="21" t="s">
        <v>267</v>
      </c>
      <c r="B179" s="21">
        <v>0.2</v>
      </c>
      <c r="C179" s="21" t="s">
        <v>193</v>
      </c>
      <c r="D179" s="21" t="s">
        <v>268</v>
      </c>
      <c r="E179" s="21" t="s">
        <v>243</v>
      </c>
      <c r="F179" s="21" t="s">
        <v>91</v>
      </c>
      <c r="G179" s="21"/>
      <c r="H179" s="21" t="s">
        <v>269</v>
      </c>
      <c r="I179" s="21"/>
      <c r="J179" s="21"/>
    </row>
    <row r="180" spans="1:10" x14ac:dyDescent="0.3">
      <c r="A180" s="21" t="s">
        <v>270</v>
      </c>
      <c r="B180" s="21">
        <v>0.1</v>
      </c>
      <c r="C180" s="21" t="s">
        <v>193</v>
      </c>
      <c r="D180" s="21" t="s">
        <v>242</v>
      </c>
      <c r="E180" s="21" t="s">
        <v>243</v>
      </c>
      <c r="F180" s="21" t="s">
        <v>91</v>
      </c>
      <c r="G180" s="21"/>
      <c r="H180" s="21" t="s">
        <v>271</v>
      </c>
      <c r="I180" s="21"/>
      <c r="J180" s="21"/>
    </row>
    <row r="181" spans="1:10" x14ac:dyDescent="0.3">
      <c r="A181" s="21"/>
      <c r="B181" s="21"/>
      <c r="C181" s="21"/>
      <c r="D181" s="21"/>
      <c r="E181" s="21"/>
      <c r="F181" s="21"/>
      <c r="G181" s="21"/>
      <c r="H181" s="21"/>
      <c r="I181" s="21"/>
      <c r="J181" s="21"/>
    </row>
    <row r="182" spans="1:10" ht="15.6" x14ac:dyDescent="0.3">
      <c r="A182" s="11" t="s">
        <v>72</v>
      </c>
      <c r="B182" s="11" t="s">
        <v>237</v>
      </c>
      <c r="C182" s="21"/>
      <c r="D182" s="21"/>
      <c r="E182" s="21"/>
      <c r="F182" s="21"/>
      <c r="G182" s="21"/>
      <c r="H182" s="21"/>
      <c r="I182" s="21"/>
      <c r="J182" s="21"/>
    </row>
    <row r="183" spans="1:10" x14ac:dyDescent="0.3">
      <c r="A183" s="21" t="s">
        <v>202</v>
      </c>
      <c r="B183" s="21" t="s">
        <v>272</v>
      </c>
      <c r="C183" s="21"/>
      <c r="D183" s="21"/>
      <c r="E183" s="21"/>
      <c r="F183" s="21"/>
      <c r="G183" s="21"/>
      <c r="H183" s="21"/>
      <c r="I183" s="21"/>
      <c r="J183" s="21"/>
    </row>
    <row r="184" spans="1:10" x14ac:dyDescent="0.3">
      <c r="A184" s="21" t="s">
        <v>84</v>
      </c>
      <c r="B184" s="21" t="s">
        <v>86</v>
      </c>
      <c r="C184" s="21"/>
      <c r="D184" s="21"/>
      <c r="E184" s="21"/>
      <c r="F184" s="21"/>
      <c r="G184" s="21"/>
      <c r="H184" s="21"/>
      <c r="I184" s="21"/>
      <c r="J184" s="21"/>
    </row>
    <row r="185" spans="1:10" x14ac:dyDescent="0.3">
      <c r="A185" s="21" t="s">
        <v>73</v>
      </c>
      <c r="B185" s="21" t="s">
        <v>98</v>
      </c>
      <c r="C185" s="21"/>
      <c r="D185" s="21"/>
      <c r="E185" s="21"/>
      <c r="F185" s="21"/>
      <c r="G185" s="21"/>
      <c r="H185" s="21"/>
      <c r="I185" s="21"/>
      <c r="J185" s="21"/>
    </row>
    <row r="186" spans="1:10" x14ac:dyDescent="0.3">
      <c r="A186" s="21" t="s">
        <v>186</v>
      </c>
      <c r="B186" s="21">
        <v>1</v>
      </c>
      <c r="C186" s="21"/>
      <c r="D186" s="21"/>
      <c r="E186" s="21"/>
      <c r="F186" s="21"/>
      <c r="G186" s="21"/>
      <c r="H186" s="21"/>
      <c r="I186" s="21"/>
      <c r="J186" s="21"/>
    </row>
    <row r="187" spans="1:10" x14ac:dyDescent="0.3">
      <c r="A187" s="21" t="s">
        <v>74</v>
      </c>
      <c r="B187" s="21" t="s">
        <v>237</v>
      </c>
      <c r="C187" s="21"/>
      <c r="D187" s="21"/>
      <c r="E187" s="21"/>
      <c r="F187" s="21"/>
      <c r="G187" s="21"/>
      <c r="H187" s="21"/>
      <c r="I187" s="21"/>
      <c r="J187" s="21"/>
    </row>
    <row r="188" spans="1:10" x14ac:dyDescent="0.3">
      <c r="A188" s="21" t="s">
        <v>77</v>
      </c>
      <c r="B188" s="21" t="s">
        <v>78</v>
      </c>
      <c r="C188" s="21"/>
      <c r="D188" s="21"/>
      <c r="E188" s="21"/>
      <c r="F188" s="21"/>
      <c r="G188" s="21"/>
      <c r="H188" s="21"/>
      <c r="I188" s="21"/>
      <c r="J188" s="21"/>
    </row>
    <row r="189" spans="1:10" x14ac:dyDescent="0.3">
      <c r="A189" s="21" t="s">
        <v>204</v>
      </c>
      <c r="B189" s="21" t="s">
        <v>187</v>
      </c>
      <c r="C189" s="21"/>
      <c r="D189" s="21"/>
      <c r="E189" s="21"/>
      <c r="F189" s="21"/>
      <c r="G189" s="21"/>
      <c r="H189" s="21"/>
      <c r="I189" s="21"/>
      <c r="J189" s="21"/>
    </row>
    <row r="190" spans="1:10" ht="15.6" x14ac:dyDescent="0.3">
      <c r="A190" s="11" t="s">
        <v>80</v>
      </c>
      <c r="B190" s="21"/>
      <c r="C190" s="21"/>
      <c r="D190" s="21"/>
      <c r="E190" s="21"/>
      <c r="F190" s="21"/>
      <c r="G190" s="21"/>
      <c r="H190" s="21"/>
      <c r="I190" s="21"/>
      <c r="J190" s="21"/>
    </row>
    <row r="191" spans="1:10" x14ac:dyDescent="0.3">
      <c r="A191" s="21" t="s">
        <v>81</v>
      </c>
      <c r="B191" s="21" t="s">
        <v>82</v>
      </c>
      <c r="C191" s="21" t="s">
        <v>188</v>
      </c>
      <c r="D191" s="21" t="s">
        <v>73</v>
      </c>
      <c r="E191" s="21" t="s">
        <v>77</v>
      </c>
      <c r="F191" s="21" t="s">
        <v>75</v>
      </c>
      <c r="G191" s="21" t="s">
        <v>74</v>
      </c>
      <c r="H191" s="21"/>
      <c r="I191" s="21"/>
      <c r="J191" s="21"/>
    </row>
    <row r="192" spans="1:10" x14ac:dyDescent="0.3">
      <c r="A192" s="21" t="s">
        <v>237</v>
      </c>
      <c r="B192" s="21">
        <v>1</v>
      </c>
      <c r="C192" s="21" t="s">
        <v>187</v>
      </c>
      <c r="D192" s="21" t="s">
        <v>98</v>
      </c>
      <c r="E192" s="21" t="s">
        <v>78</v>
      </c>
      <c r="F192" s="21" t="s">
        <v>85</v>
      </c>
      <c r="G192" s="21"/>
      <c r="H192" s="21"/>
      <c r="I192" s="21"/>
      <c r="J192" s="21"/>
    </row>
    <row r="193" spans="1:10" x14ac:dyDescent="0.3">
      <c r="A193" s="21" t="s">
        <v>273</v>
      </c>
      <c r="B193" s="21">
        <v>0.11</v>
      </c>
      <c r="C193" s="21" t="s">
        <v>187</v>
      </c>
      <c r="D193" s="21" t="s">
        <v>98</v>
      </c>
      <c r="E193" s="21" t="s">
        <v>78</v>
      </c>
      <c r="F193" s="21" t="s">
        <v>91</v>
      </c>
      <c r="G193" s="21"/>
      <c r="H193" s="21"/>
      <c r="I193" s="21"/>
      <c r="J193" s="21"/>
    </row>
    <row r="194" spans="1:10" x14ac:dyDescent="0.3">
      <c r="A194" s="21" t="s">
        <v>274</v>
      </c>
      <c r="B194" s="21">
        <v>0.3</v>
      </c>
      <c r="C194" s="21" t="s">
        <v>187</v>
      </c>
      <c r="D194" s="21" t="s">
        <v>98</v>
      </c>
      <c r="E194" s="21" t="s">
        <v>78</v>
      </c>
      <c r="F194" s="21" t="s">
        <v>91</v>
      </c>
      <c r="G194" s="21"/>
      <c r="H194" s="21"/>
      <c r="I194" s="21"/>
      <c r="J194" s="21"/>
    </row>
    <row r="195" spans="1:10" x14ac:dyDescent="0.3">
      <c r="A195" s="21" t="s">
        <v>275</v>
      </c>
      <c r="B195" s="21">
        <v>0.59</v>
      </c>
      <c r="C195" s="21" t="s">
        <v>187</v>
      </c>
      <c r="D195" s="21" t="s">
        <v>98</v>
      </c>
      <c r="E195" s="21" t="s">
        <v>78</v>
      </c>
      <c r="F195" s="21" t="s">
        <v>91</v>
      </c>
      <c r="G195" s="21"/>
      <c r="H195" s="21"/>
      <c r="I195" s="21"/>
      <c r="J195" s="21"/>
    </row>
    <row r="196" spans="1:10" x14ac:dyDescent="0.3">
      <c r="A196" s="21" t="s">
        <v>241</v>
      </c>
      <c r="B196" s="21">
        <v>0.15</v>
      </c>
      <c r="C196" s="21" t="s">
        <v>193</v>
      </c>
      <c r="D196" s="21" t="s">
        <v>242</v>
      </c>
      <c r="E196" s="21" t="s">
        <v>243</v>
      </c>
      <c r="F196" s="21" t="s">
        <v>91</v>
      </c>
      <c r="G196" s="21" t="s">
        <v>244</v>
      </c>
      <c r="H196" s="21"/>
      <c r="I196" s="21"/>
      <c r="J196" s="21"/>
    </row>
    <row r="197" spans="1:10" x14ac:dyDescent="0.3">
      <c r="A197" s="21" t="s">
        <v>245</v>
      </c>
      <c r="B197" s="21">
        <v>4.8</v>
      </c>
      <c r="C197" s="21" t="s">
        <v>193</v>
      </c>
      <c r="D197" s="21" t="s">
        <v>98</v>
      </c>
      <c r="E197" s="21" t="s">
        <v>243</v>
      </c>
      <c r="F197" s="21" t="s">
        <v>91</v>
      </c>
      <c r="G197" s="21" t="s">
        <v>246</v>
      </c>
      <c r="H197" s="21"/>
      <c r="I197" s="21"/>
      <c r="J197" s="21"/>
    </row>
    <row r="198" spans="1:10" x14ac:dyDescent="0.3">
      <c r="A198" s="21"/>
      <c r="B198" s="21"/>
      <c r="C198" s="21"/>
      <c r="D198" s="21"/>
      <c r="E198" s="21"/>
      <c r="F198" s="21"/>
      <c r="G198" s="21"/>
      <c r="H198" s="21"/>
      <c r="I198" s="21"/>
      <c r="J198" s="21"/>
    </row>
    <row r="199" spans="1:10" ht="15.6" x14ac:dyDescent="0.3">
      <c r="A199" s="11" t="s">
        <v>72</v>
      </c>
      <c r="B199" s="11" t="s">
        <v>273</v>
      </c>
      <c r="C199" s="21"/>
      <c r="D199" s="21"/>
      <c r="E199" s="21"/>
      <c r="F199" s="21"/>
      <c r="G199" s="21"/>
      <c r="H199" s="21"/>
      <c r="I199" s="21"/>
      <c r="J199" s="21"/>
    </row>
    <row r="200" spans="1:10" x14ac:dyDescent="0.3">
      <c r="A200" s="21" t="s">
        <v>202</v>
      </c>
      <c r="B200" s="21" t="s">
        <v>276</v>
      </c>
      <c r="C200" s="21"/>
      <c r="D200" s="21"/>
      <c r="E200" s="21"/>
      <c r="F200" s="21"/>
      <c r="G200" s="21"/>
      <c r="H200" s="21"/>
      <c r="I200" s="21"/>
      <c r="J200" s="21"/>
    </row>
    <row r="201" spans="1:10" x14ac:dyDescent="0.3">
      <c r="A201" s="21" t="s">
        <v>84</v>
      </c>
      <c r="B201" s="21" t="s">
        <v>86</v>
      </c>
      <c r="C201" s="21"/>
      <c r="D201" s="21"/>
      <c r="E201" s="21"/>
      <c r="F201" s="21"/>
      <c r="G201" s="21"/>
      <c r="H201" s="21"/>
      <c r="I201" s="21"/>
      <c r="J201" s="21"/>
    </row>
    <row r="202" spans="1:10" x14ac:dyDescent="0.3">
      <c r="A202" s="21" t="s">
        <v>73</v>
      </c>
      <c r="B202" s="21" t="s">
        <v>98</v>
      </c>
      <c r="C202" s="21"/>
      <c r="D202" s="21"/>
      <c r="E202" s="21"/>
      <c r="F202" s="21"/>
      <c r="G202" s="21"/>
      <c r="H202" s="21"/>
      <c r="I202" s="21"/>
      <c r="J202" s="21"/>
    </row>
    <row r="203" spans="1:10" x14ac:dyDescent="0.3">
      <c r="A203" s="21" t="s">
        <v>186</v>
      </c>
      <c r="B203" s="21">
        <v>1</v>
      </c>
      <c r="C203" s="21"/>
      <c r="D203" s="21"/>
      <c r="E203" s="21"/>
      <c r="F203" s="21"/>
      <c r="G203" s="21"/>
      <c r="H203" s="21"/>
      <c r="I203" s="21"/>
      <c r="J203" s="21"/>
    </row>
    <row r="204" spans="1:10" x14ac:dyDescent="0.3">
      <c r="A204" s="21" t="s">
        <v>74</v>
      </c>
      <c r="B204" s="21" t="s">
        <v>273</v>
      </c>
      <c r="C204" s="21"/>
      <c r="D204" s="21"/>
      <c r="E204" s="21"/>
      <c r="F204" s="21"/>
      <c r="G204" s="21"/>
      <c r="H204" s="21"/>
      <c r="I204" s="21"/>
      <c r="J204" s="21"/>
    </row>
    <row r="205" spans="1:10" x14ac:dyDescent="0.3">
      <c r="A205" s="21" t="s">
        <v>77</v>
      </c>
      <c r="B205" s="21" t="s">
        <v>78</v>
      </c>
      <c r="C205" s="21"/>
      <c r="D205" s="21"/>
      <c r="E205" s="21"/>
      <c r="F205" s="21"/>
      <c r="G205" s="21"/>
      <c r="H205" s="21"/>
      <c r="I205" s="21"/>
      <c r="J205" s="21"/>
    </row>
    <row r="206" spans="1:10" x14ac:dyDescent="0.3">
      <c r="A206" s="21" t="s">
        <v>204</v>
      </c>
      <c r="B206" s="21" t="s">
        <v>187</v>
      </c>
      <c r="C206" s="21"/>
      <c r="D206" s="21"/>
      <c r="E206" s="21"/>
      <c r="F206" s="21"/>
      <c r="G206" s="21"/>
      <c r="H206" s="21"/>
      <c r="I206" s="21"/>
      <c r="J206" s="21"/>
    </row>
    <row r="207" spans="1:10" ht="15.6" x14ac:dyDescent="0.3">
      <c r="A207" s="11" t="s">
        <v>80</v>
      </c>
      <c r="B207" s="21"/>
      <c r="C207" s="21"/>
      <c r="D207" s="21"/>
      <c r="E207" s="21"/>
      <c r="F207" s="21"/>
      <c r="G207" s="21"/>
      <c r="H207" s="21"/>
      <c r="I207" s="21"/>
      <c r="J207" s="21"/>
    </row>
    <row r="208" spans="1:10" x14ac:dyDescent="0.3">
      <c r="A208" s="21" t="s">
        <v>81</v>
      </c>
      <c r="B208" s="21" t="s">
        <v>82</v>
      </c>
      <c r="C208" s="21" t="s">
        <v>188</v>
      </c>
      <c r="D208" s="21" t="s">
        <v>73</v>
      </c>
      <c r="E208" s="21" t="s">
        <v>77</v>
      </c>
      <c r="F208" s="21" t="s">
        <v>75</v>
      </c>
      <c r="G208" s="21" t="s">
        <v>74</v>
      </c>
      <c r="H208" s="21"/>
      <c r="I208" s="21"/>
      <c r="J208" s="21"/>
    </row>
    <row r="209" spans="1:10" x14ac:dyDescent="0.3">
      <c r="A209" s="21" t="s">
        <v>273</v>
      </c>
      <c r="B209" s="21">
        <v>1</v>
      </c>
      <c r="C209" s="21" t="s">
        <v>187</v>
      </c>
      <c r="D209" s="21" t="s">
        <v>98</v>
      </c>
      <c r="E209" s="21" t="s">
        <v>78</v>
      </c>
      <c r="F209" s="21" t="s">
        <v>85</v>
      </c>
      <c r="G209" s="21"/>
      <c r="H209" s="21"/>
      <c r="I209" s="21"/>
      <c r="J209" s="21"/>
    </row>
    <row r="210" spans="1:10" x14ac:dyDescent="0.3">
      <c r="A210" s="21" t="s">
        <v>277</v>
      </c>
      <c r="B210" s="21">
        <v>0.46</v>
      </c>
      <c r="C210" s="21" t="s">
        <v>187</v>
      </c>
      <c r="D210" s="21" t="s">
        <v>98</v>
      </c>
      <c r="E210" s="21" t="s">
        <v>78</v>
      </c>
      <c r="F210" s="21" t="s">
        <v>91</v>
      </c>
      <c r="G210" s="21"/>
      <c r="H210" s="21"/>
      <c r="I210" s="21"/>
      <c r="J210" s="21"/>
    </row>
    <row r="211" spans="1:10" x14ac:dyDescent="0.3">
      <c r="A211" s="21" t="s">
        <v>278</v>
      </c>
      <c r="B211" s="21">
        <v>0.35</v>
      </c>
      <c r="C211" s="21" t="s">
        <v>187</v>
      </c>
      <c r="D211" s="21" t="s">
        <v>98</v>
      </c>
      <c r="E211" s="21" t="s">
        <v>78</v>
      </c>
      <c r="F211" s="21" t="s">
        <v>91</v>
      </c>
      <c r="G211" s="21"/>
      <c r="H211" s="21"/>
      <c r="I211" s="21"/>
      <c r="J211" s="21"/>
    </row>
    <row r="212" spans="1:10" x14ac:dyDescent="0.3">
      <c r="A212" s="21" t="s">
        <v>279</v>
      </c>
      <c r="B212" s="21">
        <v>8.6999999999999994E-2</v>
      </c>
      <c r="C212" s="21" t="s">
        <v>187</v>
      </c>
      <c r="D212" s="21" t="s">
        <v>98</v>
      </c>
      <c r="E212" s="21" t="s">
        <v>78</v>
      </c>
      <c r="F212" s="21" t="s">
        <v>91</v>
      </c>
      <c r="G212" s="21"/>
      <c r="H212" s="21"/>
      <c r="I212" s="21"/>
      <c r="J212" s="21"/>
    </row>
    <row r="213" spans="1:10" x14ac:dyDescent="0.3">
      <c r="A213" s="21" t="s">
        <v>280</v>
      </c>
      <c r="B213" s="21">
        <v>0.1</v>
      </c>
      <c r="C213" s="21" t="s">
        <v>193</v>
      </c>
      <c r="D213" s="21" t="s">
        <v>98</v>
      </c>
      <c r="E213" s="21" t="s">
        <v>78</v>
      </c>
      <c r="F213" s="21" t="s">
        <v>91</v>
      </c>
      <c r="G213" s="21" t="s">
        <v>281</v>
      </c>
      <c r="H213" s="21"/>
      <c r="I213" s="21"/>
      <c r="J213" s="21"/>
    </row>
    <row r="214" spans="1:10" x14ac:dyDescent="0.3">
      <c r="A214" s="21"/>
      <c r="B214" s="21"/>
      <c r="C214" s="21"/>
      <c r="D214" s="21"/>
      <c r="E214" s="21"/>
      <c r="F214" s="21"/>
      <c r="G214" s="21"/>
      <c r="H214" s="21"/>
      <c r="I214" s="21"/>
      <c r="J214" s="21"/>
    </row>
    <row r="215" spans="1:10" ht="15.6" x14ac:dyDescent="0.3">
      <c r="A215" s="11" t="s">
        <v>72</v>
      </c>
      <c r="B215" s="11" t="s">
        <v>274</v>
      </c>
      <c r="C215" s="21"/>
      <c r="D215" s="21"/>
      <c r="E215" s="21"/>
      <c r="F215" s="21"/>
      <c r="G215" s="21"/>
      <c r="H215" s="21"/>
      <c r="I215" s="21"/>
      <c r="J215" s="21"/>
    </row>
    <row r="216" spans="1:10" x14ac:dyDescent="0.3">
      <c r="A216" s="21" t="s">
        <v>202</v>
      </c>
      <c r="B216" s="21" t="s">
        <v>282</v>
      </c>
      <c r="C216" s="21"/>
      <c r="D216" s="21"/>
      <c r="E216" s="21"/>
      <c r="F216" s="21"/>
      <c r="G216" s="21"/>
      <c r="H216" s="21"/>
      <c r="I216" s="21"/>
      <c r="J216" s="21"/>
    </row>
    <row r="217" spans="1:10" x14ac:dyDescent="0.3">
      <c r="A217" s="21" t="s">
        <v>84</v>
      </c>
      <c r="B217" s="21" t="s">
        <v>86</v>
      </c>
      <c r="C217" s="21"/>
      <c r="D217" s="21"/>
      <c r="E217" s="21"/>
      <c r="F217" s="21"/>
      <c r="G217" s="21"/>
      <c r="H217" s="21"/>
      <c r="I217" s="21"/>
      <c r="J217" s="21"/>
    </row>
    <row r="218" spans="1:10" x14ac:dyDescent="0.3">
      <c r="A218" s="21" t="s">
        <v>73</v>
      </c>
      <c r="B218" s="21" t="s">
        <v>98</v>
      </c>
      <c r="C218" s="21"/>
      <c r="D218" s="21"/>
      <c r="E218" s="21"/>
      <c r="F218" s="21"/>
      <c r="G218" s="21"/>
      <c r="H218" s="21"/>
      <c r="I218" s="21"/>
      <c r="J218" s="21"/>
    </row>
    <row r="219" spans="1:10" x14ac:dyDescent="0.3">
      <c r="A219" s="21" t="s">
        <v>186</v>
      </c>
      <c r="B219" s="21">
        <v>1</v>
      </c>
      <c r="C219" s="21"/>
      <c r="D219" s="21"/>
      <c r="E219" s="21"/>
      <c r="F219" s="21"/>
      <c r="G219" s="21"/>
      <c r="H219" s="21"/>
      <c r="I219" s="21"/>
      <c r="J219" s="21"/>
    </row>
    <row r="220" spans="1:10" x14ac:dyDescent="0.3">
      <c r="A220" s="21" t="s">
        <v>74</v>
      </c>
      <c r="B220" s="21" t="s">
        <v>274</v>
      </c>
      <c r="C220" s="21"/>
      <c r="D220" s="21"/>
      <c r="E220" s="21"/>
      <c r="F220" s="21"/>
      <c r="G220" s="21"/>
      <c r="H220" s="21"/>
      <c r="I220" s="21"/>
      <c r="J220" s="21"/>
    </row>
    <row r="221" spans="1:10" x14ac:dyDescent="0.3">
      <c r="A221" s="21" t="s">
        <v>77</v>
      </c>
      <c r="B221" s="21" t="s">
        <v>78</v>
      </c>
      <c r="C221" s="21"/>
      <c r="D221" s="21"/>
      <c r="E221" s="21"/>
      <c r="F221" s="21"/>
      <c r="G221" s="21"/>
      <c r="H221" s="21"/>
      <c r="I221" s="21"/>
      <c r="J221" s="21"/>
    </row>
    <row r="222" spans="1:10" x14ac:dyDescent="0.3">
      <c r="A222" s="21" t="s">
        <v>204</v>
      </c>
      <c r="B222" s="21" t="s">
        <v>187</v>
      </c>
      <c r="C222" s="21"/>
      <c r="D222" s="21"/>
      <c r="E222" s="21"/>
      <c r="F222" s="21"/>
      <c r="G222" s="21"/>
      <c r="H222" s="21"/>
      <c r="I222" s="21"/>
      <c r="J222" s="21"/>
    </row>
    <row r="223" spans="1:10" ht="15.6" x14ac:dyDescent="0.3">
      <c r="A223" s="11" t="s">
        <v>80</v>
      </c>
      <c r="B223" s="21"/>
      <c r="C223" s="21"/>
      <c r="D223" s="21"/>
      <c r="E223" s="21"/>
      <c r="F223" s="21"/>
      <c r="G223" s="21"/>
      <c r="H223" s="21"/>
      <c r="I223" s="21"/>
      <c r="J223" s="21"/>
    </row>
    <row r="224" spans="1:10" x14ac:dyDescent="0.3">
      <c r="A224" s="21" t="s">
        <v>81</v>
      </c>
      <c r="B224" s="21" t="s">
        <v>82</v>
      </c>
      <c r="C224" s="21" t="s">
        <v>188</v>
      </c>
      <c r="D224" s="21" t="s">
        <v>73</v>
      </c>
      <c r="E224" s="21" t="s">
        <v>77</v>
      </c>
      <c r="F224" s="21" t="s">
        <v>75</v>
      </c>
      <c r="G224" s="21" t="s">
        <v>74</v>
      </c>
      <c r="H224" s="21"/>
      <c r="I224" s="21"/>
      <c r="J224" s="21"/>
    </row>
    <row r="225" spans="1:10" x14ac:dyDescent="0.3">
      <c r="A225" s="21" t="s">
        <v>274</v>
      </c>
      <c r="B225" s="21">
        <v>1</v>
      </c>
      <c r="C225" s="21" t="s">
        <v>187</v>
      </c>
      <c r="D225" s="21" t="s">
        <v>98</v>
      </c>
      <c r="E225" s="21" t="s">
        <v>78</v>
      </c>
      <c r="F225" s="21" t="s">
        <v>85</v>
      </c>
      <c r="G225" s="21"/>
      <c r="H225" s="21"/>
      <c r="I225" s="21"/>
      <c r="J225" s="21"/>
    </row>
    <row r="226" spans="1:10" x14ac:dyDescent="0.3">
      <c r="A226" s="21" t="s">
        <v>283</v>
      </c>
      <c r="B226" s="21">
        <v>0.21</v>
      </c>
      <c r="C226" s="21" t="s">
        <v>187</v>
      </c>
      <c r="D226" s="21" t="s">
        <v>98</v>
      </c>
      <c r="E226" s="21" t="s">
        <v>78</v>
      </c>
      <c r="F226" s="21" t="s">
        <v>91</v>
      </c>
      <c r="G226" s="21"/>
      <c r="H226" s="21"/>
      <c r="I226" s="21"/>
      <c r="J226" s="21"/>
    </row>
    <row r="227" spans="1:10" x14ac:dyDescent="0.3">
      <c r="A227" s="21" t="s">
        <v>284</v>
      </c>
      <c r="B227" s="21">
        <v>4.0999999999999999E-4</v>
      </c>
      <c r="C227" s="21" t="s">
        <v>187</v>
      </c>
      <c r="D227" s="21" t="s">
        <v>98</v>
      </c>
      <c r="E227" s="21" t="s">
        <v>78</v>
      </c>
      <c r="F227" s="21" t="s">
        <v>91</v>
      </c>
      <c r="G227" s="21"/>
      <c r="H227" s="21"/>
      <c r="I227" s="21"/>
      <c r="J227" s="21"/>
    </row>
    <row r="228" spans="1:10" x14ac:dyDescent="0.3">
      <c r="A228" s="21" t="s">
        <v>285</v>
      </c>
      <c r="B228" s="21">
        <v>0.79</v>
      </c>
      <c r="C228" s="21" t="s">
        <v>187</v>
      </c>
      <c r="D228" s="21" t="s">
        <v>98</v>
      </c>
      <c r="E228" s="21" t="s">
        <v>78</v>
      </c>
      <c r="F228" s="21" t="s">
        <v>91</v>
      </c>
      <c r="G228" s="21"/>
      <c r="H228" s="21"/>
      <c r="I228" s="21"/>
      <c r="J228" s="21"/>
    </row>
    <row r="229" spans="1:10" x14ac:dyDescent="0.3">
      <c r="A229" s="21" t="s">
        <v>267</v>
      </c>
      <c r="B229" s="21">
        <v>0.2</v>
      </c>
      <c r="C229" s="21" t="s">
        <v>193</v>
      </c>
      <c r="D229" s="21" t="s">
        <v>268</v>
      </c>
      <c r="E229" s="21" t="s">
        <v>243</v>
      </c>
      <c r="F229" s="21" t="s">
        <v>91</v>
      </c>
      <c r="G229" s="21" t="s">
        <v>269</v>
      </c>
      <c r="H229" s="21"/>
      <c r="I229" s="21"/>
      <c r="J229" s="21"/>
    </row>
    <row r="230" spans="1:10" x14ac:dyDescent="0.3">
      <c r="A230" s="21" t="s">
        <v>270</v>
      </c>
      <c r="B230" s="21">
        <v>0.1</v>
      </c>
      <c r="C230" s="21" t="s">
        <v>193</v>
      </c>
      <c r="D230" s="21" t="s">
        <v>242</v>
      </c>
      <c r="E230" s="21" t="s">
        <v>243</v>
      </c>
      <c r="F230" s="21" t="s">
        <v>91</v>
      </c>
      <c r="G230" s="21" t="s">
        <v>271</v>
      </c>
      <c r="H230" s="21"/>
      <c r="I230" s="21"/>
      <c r="J230" s="21"/>
    </row>
    <row r="231" spans="1:10" x14ac:dyDescent="0.3">
      <c r="A231" s="21"/>
      <c r="B231" s="21"/>
      <c r="C231" s="21"/>
      <c r="D231" s="21"/>
      <c r="E231" s="21"/>
      <c r="F231" s="21"/>
      <c r="G231" s="21"/>
      <c r="H231" s="21"/>
      <c r="I231" s="21"/>
      <c r="J231" s="21"/>
    </row>
    <row r="232" spans="1:10" ht="15.6" x14ac:dyDescent="0.3">
      <c r="A232" s="11" t="s">
        <v>72</v>
      </c>
      <c r="B232" s="11" t="s">
        <v>286</v>
      </c>
      <c r="C232" s="21"/>
      <c r="D232" s="21"/>
      <c r="E232" s="21"/>
      <c r="F232" s="21"/>
      <c r="G232" s="21"/>
      <c r="H232" s="21"/>
      <c r="I232" s="21"/>
      <c r="J232" s="21"/>
    </row>
    <row r="233" spans="1:10" x14ac:dyDescent="0.3">
      <c r="A233" s="21" t="s">
        <v>202</v>
      </c>
      <c r="B233" s="21" t="s">
        <v>287</v>
      </c>
      <c r="C233" s="21"/>
      <c r="D233" s="21"/>
      <c r="E233" s="21"/>
      <c r="F233" s="21"/>
      <c r="G233" s="21"/>
      <c r="H233" s="21"/>
      <c r="I233" s="21"/>
      <c r="J233" s="21"/>
    </row>
    <row r="234" spans="1:10" x14ac:dyDescent="0.3">
      <c r="A234" s="21" t="s">
        <v>84</v>
      </c>
      <c r="B234" s="21" t="s">
        <v>86</v>
      </c>
      <c r="C234" s="21"/>
      <c r="D234" s="21"/>
      <c r="E234" s="21"/>
      <c r="F234" s="21"/>
      <c r="G234" s="21"/>
      <c r="H234" s="21"/>
      <c r="I234" s="21"/>
      <c r="J234" s="21"/>
    </row>
    <row r="235" spans="1:10" x14ac:dyDescent="0.3">
      <c r="A235" s="21" t="s">
        <v>73</v>
      </c>
      <c r="B235" s="21" t="s">
        <v>98</v>
      </c>
      <c r="C235" s="21"/>
      <c r="D235" s="21"/>
      <c r="E235" s="21"/>
      <c r="F235" s="21"/>
      <c r="G235" s="21"/>
      <c r="H235" s="21"/>
      <c r="I235" s="21"/>
      <c r="J235" s="21"/>
    </row>
    <row r="236" spans="1:10" x14ac:dyDescent="0.3">
      <c r="A236" s="21" t="s">
        <v>186</v>
      </c>
      <c r="B236" s="21">
        <v>1</v>
      </c>
      <c r="C236" s="21"/>
      <c r="D236" s="21"/>
      <c r="E236" s="21"/>
      <c r="F236" s="21"/>
      <c r="G236" s="21"/>
      <c r="H236" s="21"/>
      <c r="I236" s="21"/>
      <c r="J236" s="21"/>
    </row>
    <row r="237" spans="1:10" x14ac:dyDescent="0.3">
      <c r="A237" s="21" t="s">
        <v>74</v>
      </c>
      <c r="B237" s="21" t="s">
        <v>286</v>
      </c>
      <c r="C237" s="21"/>
      <c r="D237" s="21"/>
      <c r="E237" s="21"/>
      <c r="F237" s="21"/>
      <c r="G237" s="21"/>
      <c r="H237" s="21"/>
      <c r="I237" s="21"/>
      <c r="J237" s="21"/>
    </row>
    <row r="238" spans="1:10" x14ac:dyDescent="0.3">
      <c r="A238" s="21" t="s">
        <v>77</v>
      </c>
      <c r="B238" s="21" t="s">
        <v>78</v>
      </c>
      <c r="C238" s="21"/>
      <c r="D238" s="21"/>
      <c r="E238" s="21"/>
      <c r="F238" s="21"/>
      <c r="G238" s="21"/>
      <c r="H238" s="21"/>
      <c r="I238" s="21"/>
      <c r="J238" s="21"/>
    </row>
    <row r="239" spans="1:10" x14ac:dyDescent="0.3">
      <c r="A239" s="21" t="s">
        <v>204</v>
      </c>
      <c r="B239" s="21" t="s">
        <v>187</v>
      </c>
      <c r="C239" s="21"/>
      <c r="D239" s="21"/>
      <c r="E239" s="21"/>
      <c r="F239" s="21"/>
      <c r="G239" s="21"/>
      <c r="H239" s="21"/>
      <c r="I239" s="21"/>
      <c r="J239" s="21"/>
    </row>
    <row r="240" spans="1:10" ht="15.6" x14ac:dyDescent="0.3">
      <c r="A240" s="11" t="s">
        <v>80</v>
      </c>
      <c r="B240" s="21"/>
      <c r="C240" s="21"/>
      <c r="D240" s="21"/>
      <c r="E240" s="21"/>
      <c r="F240" s="21"/>
      <c r="G240" s="21"/>
      <c r="H240" s="21"/>
      <c r="I240" s="21"/>
      <c r="J240" s="21"/>
    </row>
    <row r="241" spans="1:10" x14ac:dyDescent="0.3">
      <c r="A241" s="21" t="s">
        <v>81</v>
      </c>
      <c r="B241" s="21" t="s">
        <v>82</v>
      </c>
      <c r="C241" s="21" t="s">
        <v>188</v>
      </c>
      <c r="D241" s="21" t="s">
        <v>73</v>
      </c>
      <c r="E241" s="21" t="s">
        <v>77</v>
      </c>
      <c r="F241" s="21" t="s">
        <v>75</v>
      </c>
      <c r="G241" s="21" t="s">
        <v>74</v>
      </c>
      <c r="H241" s="21"/>
      <c r="I241" s="21"/>
      <c r="J241" s="21"/>
    </row>
    <row r="242" spans="1:10" x14ac:dyDescent="0.3">
      <c r="A242" s="21" t="s">
        <v>286</v>
      </c>
      <c r="B242" s="21">
        <v>1</v>
      </c>
      <c r="C242" s="21" t="s">
        <v>187</v>
      </c>
      <c r="D242" s="21" t="s">
        <v>98</v>
      </c>
      <c r="E242" s="21" t="s">
        <v>78</v>
      </c>
      <c r="F242" s="21" t="s">
        <v>85</v>
      </c>
      <c r="G242" s="21"/>
      <c r="H242" s="21"/>
      <c r="I242" s="21"/>
      <c r="J242" s="21"/>
    </row>
    <row r="243" spans="1:10" x14ac:dyDescent="0.3">
      <c r="A243" s="21" t="s">
        <v>216</v>
      </c>
      <c r="B243" s="21">
        <v>1</v>
      </c>
      <c r="C243" s="21" t="s">
        <v>193</v>
      </c>
      <c r="D243" s="21" t="s">
        <v>98</v>
      </c>
      <c r="E243" s="21" t="s">
        <v>78</v>
      </c>
      <c r="F243" s="21" t="s">
        <v>91</v>
      </c>
      <c r="G243" s="21" t="s">
        <v>217</v>
      </c>
      <c r="H243" s="21"/>
      <c r="I243" s="21"/>
      <c r="J243" s="21"/>
    </row>
    <row r="244" spans="1:10" x14ac:dyDescent="0.3">
      <c r="A244" s="21" t="s">
        <v>288</v>
      </c>
      <c r="B244" s="21">
        <v>0.17</v>
      </c>
      <c r="C244" s="21" t="s">
        <v>193</v>
      </c>
      <c r="D244" s="21" t="s">
        <v>98</v>
      </c>
      <c r="E244" s="21" t="s">
        <v>78</v>
      </c>
      <c r="F244" s="21" t="s">
        <v>91</v>
      </c>
      <c r="G244" s="21" t="s">
        <v>289</v>
      </c>
      <c r="H244" s="21"/>
      <c r="I244" s="21"/>
      <c r="J244" s="21"/>
    </row>
    <row r="245" spans="1:10" x14ac:dyDescent="0.3">
      <c r="A245" s="21" t="s">
        <v>290</v>
      </c>
      <c r="B245" s="21">
        <v>0.49</v>
      </c>
      <c r="C245" s="21" t="s">
        <v>193</v>
      </c>
      <c r="D245" s="21" t="s">
        <v>98</v>
      </c>
      <c r="E245" s="21" t="s">
        <v>78</v>
      </c>
      <c r="F245" s="21" t="s">
        <v>91</v>
      </c>
      <c r="G245" s="21" t="s">
        <v>291</v>
      </c>
      <c r="H245" s="21"/>
      <c r="I245" s="21"/>
      <c r="J245" s="21"/>
    </row>
    <row r="246" spans="1:10" x14ac:dyDescent="0.3">
      <c r="A246" s="21" t="s">
        <v>290</v>
      </c>
      <c r="B246" s="21">
        <v>8.5999999999999993E-2</v>
      </c>
      <c r="C246" s="21" t="s">
        <v>193</v>
      </c>
      <c r="D246" s="21" t="s">
        <v>98</v>
      </c>
      <c r="E246" s="21" t="s">
        <v>78</v>
      </c>
      <c r="F246" s="21" t="s">
        <v>91</v>
      </c>
      <c r="G246" s="21" t="s">
        <v>291</v>
      </c>
      <c r="H246" s="21"/>
      <c r="I246" s="21"/>
      <c r="J246" s="21"/>
    </row>
    <row r="247" spans="1:10" x14ac:dyDescent="0.3">
      <c r="A247" s="21" t="s">
        <v>292</v>
      </c>
      <c r="B247" s="21">
        <v>0.17</v>
      </c>
      <c r="C247" s="21" t="s">
        <v>193</v>
      </c>
      <c r="D247" s="21" t="s">
        <v>98</v>
      </c>
      <c r="E247" s="21" t="s">
        <v>78</v>
      </c>
      <c r="F247" s="21" t="s">
        <v>91</v>
      </c>
      <c r="G247" s="21" t="s">
        <v>293</v>
      </c>
      <c r="H247" s="21"/>
      <c r="I247" s="21"/>
      <c r="J247" s="21"/>
    </row>
    <row r="248" spans="1:10" x14ac:dyDescent="0.3">
      <c r="A248" s="21" t="s">
        <v>294</v>
      </c>
      <c r="B248" s="21">
        <v>3.7999999999999998E-10</v>
      </c>
      <c r="C248" s="21" t="s">
        <v>193</v>
      </c>
      <c r="D248" s="21" t="s">
        <v>98</v>
      </c>
      <c r="E248" s="21" t="s">
        <v>77</v>
      </c>
      <c r="F248" s="21" t="s">
        <v>91</v>
      </c>
      <c r="G248" s="21" t="s">
        <v>295</v>
      </c>
      <c r="H248" s="21"/>
      <c r="I248" s="21"/>
      <c r="J248" s="21"/>
    </row>
    <row r="249" spans="1:10" x14ac:dyDescent="0.3">
      <c r="A249" s="21" t="s">
        <v>296</v>
      </c>
      <c r="B249" s="21">
        <v>0.25</v>
      </c>
      <c r="C249" s="21" t="s">
        <v>193</v>
      </c>
      <c r="D249" s="21" t="s">
        <v>98</v>
      </c>
      <c r="E249" s="21" t="s">
        <v>78</v>
      </c>
      <c r="F249" s="21" t="s">
        <v>91</v>
      </c>
      <c r="G249" s="21" t="s">
        <v>297</v>
      </c>
      <c r="H249" s="21"/>
      <c r="I249" s="21"/>
      <c r="J249" s="21"/>
    </row>
    <row r="250" spans="1:10" x14ac:dyDescent="0.3">
      <c r="A250" s="21" t="s">
        <v>298</v>
      </c>
      <c r="B250" s="21">
        <v>0.56999999999999995</v>
      </c>
      <c r="C250" s="21" t="s">
        <v>193</v>
      </c>
      <c r="D250" s="21" t="s">
        <v>98</v>
      </c>
      <c r="E250" s="21" t="s">
        <v>78</v>
      </c>
      <c r="F250" s="21" t="s">
        <v>91</v>
      </c>
      <c r="G250" s="21" t="s">
        <v>299</v>
      </c>
      <c r="H250" s="21"/>
      <c r="I250" s="21"/>
      <c r="J250" s="21"/>
    </row>
    <row r="251" spans="1:10" x14ac:dyDescent="0.3">
      <c r="A251" s="21" t="s">
        <v>300</v>
      </c>
      <c r="B251" s="21">
        <v>1.2999999999999999E-10</v>
      </c>
      <c r="C251" s="21" t="s">
        <v>193</v>
      </c>
      <c r="D251" s="21" t="s">
        <v>98</v>
      </c>
      <c r="E251" s="21" t="s">
        <v>77</v>
      </c>
      <c r="F251" s="21" t="s">
        <v>91</v>
      </c>
      <c r="G251" s="21" t="s">
        <v>301</v>
      </c>
      <c r="H251" s="21"/>
      <c r="I251" s="21"/>
      <c r="J251" s="21"/>
    </row>
    <row r="252" spans="1:10" x14ac:dyDescent="0.3">
      <c r="A252" s="21"/>
      <c r="B252" s="21"/>
      <c r="C252" s="21"/>
      <c r="D252" s="21"/>
      <c r="E252" s="21"/>
      <c r="F252" s="21"/>
      <c r="G252" s="21"/>
      <c r="H252" s="21"/>
      <c r="I252" s="21"/>
      <c r="J252" s="21"/>
    </row>
    <row r="253" spans="1:10" ht="15.6" x14ac:dyDescent="0.3">
      <c r="A253" s="11" t="s">
        <v>72</v>
      </c>
      <c r="B253" s="11" t="s">
        <v>249</v>
      </c>
      <c r="C253" s="21"/>
      <c r="D253" s="21"/>
      <c r="E253" s="21"/>
      <c r="F253" s="21"/>
      <c r="G253" s="21"/>
      <c r="H253" s="21"/>
      <c r="I253" s="21"/>
      <c r="J253" s="21"/>
    </row>
    <row r="254" spans="1:10" x14ac:dyDescent="0.3">
      <c r="A254" s="21" t="s">
        <v>202</v>
      </c>
      <c r="B254" s="21" t="s">
        <v>302</v>
      </c>
      <c r="C254" s="21"/>
      <c r="D254" s="21"/>
      <c r="E254" s="21"/>
      <c r="F254" s="21"/>
      <c r="G254" s="21"/>
      <c r="H254" s="21"/>
      <c r="I254" s="21"/>
      <c r="J254" s="21"/>
    </row>
    <row r="255" spans="1:10" x14ac:dyDescent="0.3">
      <c r="A255" s="21" t="s">
        <v>84</v>
      </c>
      <c r="B255" s="21" t="s">
        <v>86</v>
      </c>
      <c r="C255" s="21"/>
      <c r="D255" s="21"/>
      <c r="E255" s="21"/>
      <c r="F255" s="21"/>
      <c r="G255" s="21"/>
      <c r="H255" s="21"/>
      <c r="I255" s="21"/>
      <c r="J255" s="21"/>
    </row>
    <row r="256" spans="1:10" x14ac:dyDescent="0.3">
      <c r="A256" s="21" t="s">
        <v>73</v>
      </c>
      <c r="B256" s="21" t="s">
        <v>98</v>
      </c>
      <c r="C256" s="21"/>
      <c r="D256" s="21"/>
      <c r="E256" s="21"/>
      <c r="F256" s="21"/>
      <c r="G256" s="21"/>
      <c r="H256" s="21"/>
      <c r="I256" s="21"/>
      <c r="J256" s="21"/>
    </row>
    <row r="257" spans="1:10" x14ac:dyDescent="0.3">
      <c r="A257" s="21" t="s">
        <v>186</v>
      </c>
      <c r="B257" s="21">
        <v>1</v>
      </c>
      <c r="C257" s="21"/>
      <c r="D257" s="21"/>
      <c r="E257" s="21"/>
      <c r="F257" s="21"/>
      <c r="G257" s="21"/>
      <c r="H257" s="21"/>
      <c r="I257" s="21"/>
      <c r="J257" s="21"/>
    </row>
    <row r="258" spans="1:10" x14ac:dyDescent="0.3">
      <c r="A258" s="21" t="s">
        <v>74</v>
      </c>
      <c r="B258" s="21" t="s">
        <v>249</v>
      </c>
      <c r="C258" s="21"/>
      <c r="D258" s="21"/>
      <c r="E258" s="21"/>
      <c r="F258" s="21"/>
      <c r="G258" s="21"/>
      <c r="H258" s="21"/>
      <c r="I258" s="21"/>
      <c r="J258" s="21"/>
    </row>
    <row r="259" spans="1:10" x14ac:dyDescent="0.3">
      <c r="A259" s="21" t="s">
        <v>77</v>
      </c>
      <c r="B259" s="21" t="s">
        <v>78</v>
      </c>
      <c r="C259" s="21"/>
      <c r="D259" s="21"/>
      <c r="E259" s="21"/>
      <c r="F259" s="21"/>
      <c r="G259" s="21"/>
      <c r="H259" s="21"/>
      <c r="I259" s="21"/>
      <c r="J259" s="21"/>
    </row>
    <row r="260" spans="1:10" x14ac:dyDescent="0.3">
      <c r="A260" s="21" t="s">
        <v>204</v>
      </c>
      <c r="B260" s="21" t="s">
        <v>187</v>
      </c>
      <c r="C260" s="21"/>
      <c r="D260" s="21"/>
      <c r="E260" s="21"/>
      <c r="F260" s="21"/>
      <c r="G260" s="21"/>
      <c r="H260" s="21"/>
      <c r="I260" s="21"/>
      <c r="J260" s="21"/>
    </row>
    <row r="261" spans="1:10" ht="15.6" x14ac:dyDescent="0.3">
      <c r="A261" s="11" t="s">
        <v>80</v>
      </c>
      <c r="B261" s="21"/>
      <c r="C261" s="21"/>
      <c r="D261" s="21"/>
      <c r="E261" s="21"/>
      <c r="F261" s="21"/>
      <c r="G261" s="21"/>
      <c r="H261" s="21"/>
      <c r="I261" s="21"/>
      <c r="J261" s="21"/>
    </row>
    <row r="262" spans="1:10" x14ac:dyDescent="0.3">
      <c r="A262" s="21" t="s">
        <v>81</v>
      </c>
      <c r="B262" s="21" t="s">
        <v>82</v>
      </c>
      <c r="C262" s="21" t="s">
        <v>188</v>
      </c>
      <c r="D262" s="21" t="s">
        <v>73</v>
      </c>
      <c r="E262" s="21" t="s">
        <v>77</v>
      </c>
      <c r="F262" s="21" t="s">
        <v>75</v>
      </c>
      <c r="G262" s="21"/>
      <c r="H262" s="21"/>
      <c r="I262" s="21"/>
      <c r="J262" s="21"/>
    </row>
    <row r="263" spans="1:10" x14ac:dyDescent="0.3">
      <c r="A263" s="21" t="s">
        <v>249</v>
      </c>
      <c r="B263" s="21">
        <v>1</v>
      </c>
      <c r="C263" s="21" t="s">
        <v>187</v>
      </c>
      <c r="D263" s="21" t="s">
        <v>98</v>
      </c>
      <c r="E263" s="21" t="s">
        <v>78</v>
      </c>
      <c r="F263" s="21" t="s">
        <v>85</v>
      </c>
      <c r="G263" s="21"/>
      <c r="H263" s="21"/>
      <c r="I263" s="21"/>
      <c r="J263" s="21"/>
    </row>
    <row r="264" spans="1:10" x14ac:dyDescent="0.3">
      <c r="A264" s="21" t="s">
        <v>214</v>
      </c>
      <c r="B264" s="21">
        <v>0.11</v>
      </c>
      <c r="C264" s="21" t="s">
        <v>187</v>
      </c>
      <c r="D264" s="21" t="s">
        <v>98</v>
      </c>
      <c r="E264" s="21" t="s">
        <v>78</v>
      </c>
      <c r="F264" s="21" t="s">
        <v>91</v>
      </c>
      <c r="G264" s="21"/>
      <c r="H264" s="21"/>
      <c r="I264" s="21"/>
      <c r="J264" s="21"/>
    </row>
    <row r="265" spans="1:10" x14ac:dyDescent="0.3">
      <c r="A265" s="21" t="s">
        <v>222</v>
      </c>
      <c r="B265" s="21">
        <v>0.89</v>
      </c>
      <c r="C265" s="21" t="s">
        <v>187</v>
      </c>
      <c r="D265" s="21" t="s">
        <v>98</v>
      </c>
      <c r="E265" s="21" t="s">
        <v>78</v>
      </c>
      <c r="F265" s="21" t="s">
        <v>91</v>
      </c>
      <c r="G265" s="21"/>
      <c r="H265" s="21"/>
      <c r="I265" s="21"/>
      <c r="J265" s="21"/>
    </row>
    <row r="266" spans="1:10" x14ac:dyDescent="0.3">
      <c r="A266" s="21"/>
      <c r="B266" s="21"/>
      <c r="C266" s="21"/>
      <c r="D266" s="21"/>
      <c r="E266" s="21"/>
      <c r="F266" s="21"/>
      <c r="G266" s="21"/>
      <c r="H266" s="21"/>
      <c r="I266" s="21"/>
      <c r="J266" s="21"/>
    </row>
    <row r="267" spans="1:10" ht="15.6" x14ac:dyDescent="0.3">
      <c r="A267" s="11" t="s">
        <v>72</v>
      </c>
      <c r="B267" s="11" t="s">
        <v>303</v>
      </c>
      <c r="C267" s="21"/>
      <c r="D267" s="21"/>
      <c r="E267" s="21"/>
      <c r="F267" s="21"/>
      <c r="G267" s="21"/>
      <c r="H267" s="21"/>
      <c r="I267" s="21"/>
      <c r="J267" s="21"/>
    </row>
    <row r="268" spans="1:10" x14ac:dyDescent="0.3">
      <c r="A268" s="21" t="s">
        <v>202</v>
      </c>
      <c r="B268" s="21" t="s">
        <v>304</v>
      </c>
      <c r="C268" s="21"/>
      <c r="D268" s="21"/>
      <c r="E268" s="21"/>
      <c r="F268" s="21"/>
      <c r="G268" s="21"/>
      <c r="H268" s="21"/>
      <c r="I268" s="21"/>
      <c r="J268" s="21"/>
    </row>
    <row r="269" spans="1:10" x14ac:dyDescent="0.3">
      <c r="A269" s="21" t="s">
        <v>84</v>
      </c>
      <c r="B269" s="21" t="s">
        <v>305</v>
      </c>
      <c r="C269" s="21"/>
      <c r="D269" s="21"/>
      <c r="E269" s="21"/>
      <c r="F269" s="21"/>
      <c r="G269" s="21"/>
      <c r="H269" s="21"/>
      <c r="I269" s="21"/>
      <c r="J269" s="21"/>
    </row>
    <row r="270" spans="1:10" x14ac:dyDescent="0.3">
      <c r="A270" s="21" t="s">
        <v>73</v>
      </c>
      <c r="B270" s="21" t="s">
        <v>98</v>
      </c>
      <c r="C270" s="21"/>
      <c r="D270" s="21"/>
      <c r="E270" s="21"/>
      <c r="F270" s="21"/>
      <c r="G270" s="21"/>
      <c r="H270" s="21"/>
      <c r="I270" s="21"/>
      <c r="J270" s="21"/>
    </row>
    <row r="271" spans="1:10" x14ac:dyDescent="0.3">
      <c r="A271" s="21" t="s">
        <v>186</v>
      </c>
      <c r="B271" s="21">
        <v>1</v>
      </c>
      <c r="C271" s="21"/>
      <c r="D271" s="21"/>
      <c r="E271" s="21"/>
      <c r="F271" s="21"/>
      <c r="G271" s="21"/>
      <c r="H271" s="21"/>
      <c r="I271" s="21"/>
      <c r="J271" s="21"/>
    </row>
    <row r="272" spans="1:10" x14ac:dyDescent="0.3">
      <c r="A272" s="21" t="s">
        <v>74</v>
      </c>
      <c r="B272" s="21" t="s">
        <v>303</v>
      </c>
      <c r="C272" s="21"/>
      <c r="D272" s="21"/>
      <c r="E272" s="21"/>
      <c r="F272" s="21"/>
      <c r="G272" s="21"/>
      <c r="H272" s="21"/>
      <c r="I272" s="21"/>
      <c r="J272" s="21"/>
    </row>
    <row r="273" spans="1:10" x14ac:dyDescent="0.3">
      <c r="A273" s="21" t="s">
        <v>77</v>
      </c>
      <c r="B273" s="21" t="s">
        <v>78</v>
      </c>
      <c r="C273" s="21"/>
      <c r="D273" s="21"/>
      <c r="E273" s="21"/>
      <c r="F273" s="21"/>
      <c r="G273" s="21"/>
      <c r="H273" s="21"/>
      <c r="I273" s="21"/>
      <c r="J273" s="21"/>
    </row>
    <row r="274" spans="1:10" x14ac:dyDescent="0.3">
      <c r="A274" s="21" t="s">
        <v>204</v>
      </c>
      <c r="B274" s="21" t="s">
        <v>187</v>
      </c>
      <c r="C274" s="21"/>
      <c r="D274" s="21"/>
      <c r="E274" s="21"/>
      <c r="F274" s="21"/>
      <c r="G274" s="21"/>
      <c r="H274" s="21"/>
      <c r="I274" s="21"/>
      <c r="J274" s="21"/>
    </row>
    <row r="275" spans="1:10" ht="15.6" x14ac:dyDescent="0.3">
      <c r="A275" s="11" t="s">
        <v>80</v>
      </c>
      <c r="B275" s="21"/>
      <c r="C275" s="21"/>
      <c r="D275" s="21"/>
      <c r="E275" s="21"/>
      <c r="F275" s="21"/>
      <c r="G275" s="21"/>
      <c r="H275" s="21"/>
      <c r="I275" s="21"/>
      <c r="J275" s="21"/>
    </row>
    <row r="276" spans="1:10" x14ac:dyDescent="0.3">
      <c r="A276" s="21" t="s">
        <v>81</v>
      </c>
      <c r="B276" s="21" t="s">
        <v>82</v>
      </c>
      <c r="C276" s="21" t="s">
        <v>188</v>
      </c>
      <c r="D276" s="21" t="s">
        <v>73</v>
      </c>
      <c r="E276" s="21" t="s">
        <v>77</v>
      </c>
      <c r="F276" s="21" t="s">
        <v>75</v>
      </c>
      <c r="G276" s="21" t="s">
        <v>74</v>
      </c>
      <c r="H276" s="21"/>
      <c r="I276" s="21"/>
      <c r="J276" s="21"/>
    </row>
    <row r="277" spans="1:10" x14ac:dyDescent="0.3">
      <c r="A277" s="21" t="s">
        <v>303</v>
      </c>
      <c r="B277" s="21">
        <v>1</v>
      </c>
      <c r="C277" s="21" t="s">
        <v>187</v>
      </c>
      <c r="D277" s="21" t="s">
        <v>98</v>
      </c>
      <c r="E277" s="21" t="s">
        <v>78</v>
      </c>
      <c r="F277" s="21" t="s">
        <v>85</v>
      </c>
      <c r="G277" s="21"/>
      <c r="H277" s="21"/>
      <c r="I277" s="21"/>
      <c r="J277" s="21"/>
    </row>
    <row r="278" spans="1:10" x14ac:dyDescent="0.3">
      <c r="A278" s="21" t="s">
        <v>306</v>
      </c>
      <c r="B278" s="21">
        <v>-0.11</v>
      </c>
      <c r="C278" s="21" t="s">
        <v>193</v>
      </c>
      <c r="D278" s="21" t="s">
        <v>98</v>
      </c>
      <c r="E278" s="21" t="s">
        <v>78</v>
      </c>
      <c r="F278" s="21" t="s">
        <v>91</v>
      </c>
      <c r="G278" s="21" t="s">
        <v>307</v>
      </c>
      <c r="H278" s="21"/>
      <c r="I278" s="21"/>
      <c r="J278" s="21"/>
    </row>
    <row r="279" spans="1:10" x14ac:dyDescent="0.3">
      <c r="A279" s="21" t="s">
        <v>308</v>
      </c>
      <c r="B279" s="21">
        <v>-0.11</v>
      </c>
      <c r="C279" s="21" t="s">
        <v>193</v>
      </c>
      <c r="D279" s="21" t="s">
        <v>94</v>
      </c>
      <c r="E279" s="21" t="s">
        <v>78</v>
      </c>
      <c r="F279" s="21" t="s">
        <v>91</v>
      </c>
      <c r="G279" s="21" t="s">
        <v>309</v>
      </c>
      <c r="H279" s="21"/>
      <c r="I279" s="21"/>
      <c r="J279" s="21"/>
    </row>
    <row r="280" spans="1:10" x14ac:dyDescent="0.3">
      <c r="A280" s="21" t="s">
        <v>310</v>
      </c>
      <c r="B280" s="21">
        <v>0.38019999999999998</v>
      </c>
      <c r="C280" s="21" t="s">
        <v>193</v>
      </c>
      <c r="D280" s="21" t="s">
        <v>98</v>
      </c>
      <c r="E280" s="21" t="s">
        <v>78</v>
      </c>
      <c r="F280" s="21" t="s">
        <v>91</v>
      </c>
      <c r="G280" s="21" t="s">
        <v>311</v>
      </c>
      <c r="H280" s="21"/>
      <c r="I280" s="21"/>
      <c r="J280" s="21"/>
    </row>
    <row r="281" spans="1:10" x14ac:dyDescent="0.3">
      <c r="A281" s="21" t="s">
        <v>253</v>
      </c>
      <c r="B281" s="21">
        <v>-0.76</v>
      </c>
      <c r="C281" s="21" t="s">
        <v>193</v>
      </c>
      <c r="D281" s="21" t="s">
        <v>268</v>
      </c>
      <c r="E281" s="21" t="s">
        <v>206</v>
      </c>
      <c r="F281" s="21" t="s">
        <v>91</v>
      </c>
      <c r="G281" s="21" t="s">
        <v>254</v>
      </c>
      <c r="H281" s="21"/>
      <c r="I281" s="21"/>
      <c r="J281" s="21"/>
    </row>
    <row r="282" spans="1:10" x14ac:dyDescent="0.3">
      <c r="A282" s="21" t="s">
        <v>312</v>
      </c>
      <c r="B282" s="21">
        <v>-7.9000000000000008E-3</v>
      </c>
      <c r="C282" s="21" t="s">
        <v>193</v>
      </c>
      <c r="D282" s="21" t="s">
        <v>94</v>
      </c>
      <c r="E282" s="21" t="s">
        <v>78</v>
      </c>
      <c r="F282" s="21" t="s">
        <v>91</v>
      </c>
      <c r="G282" s="21" t="s">
        <v>313</v>
      </c>
      <c r="H282" s="21"/>
      <c r="I282" s="21"/>
      <c r="J282" s="21"/>
    </row>
    <row r="283" spans="1:10" x14ac:dyDescent="0.3">
      <c r="A283" s="21"/>
      <c r="B283" s="21"/>
      <c r="C283" s="21"/>
      <c r="D283" s="21"/>
      <c r="E283" s="21"/>
      <c r="F283" s="21"/>
      <c r="G283" s="21"/>
      <c r="H283" s="21"/>
      <c r="I283" s="21"/>
      <c r="J283" s="21"/>
    </row>
    <row r="284" spans="1:10" x14ac:dyDescent="0.3">
      <c r="A284" s="21"/>
      <c r="B284" s="21"/>
      <c r="C284" s="21"/>
      <c r="D284" s="21"/>
      <c r="E284" s="21"/>
      <c r="F284" s="21"/>
      <c r="G284" s="21"/>
      <c r="H284" s="21"/>
      <c r="I284" s="21"/>
      <c r="J284" s="21"/>
    </row>
    <row r="285" spans="1:10" x14ac:dyDescent="0.3">
      <c r="A285" s="21"/>
      <c r="B285" s="21"/>
      <c r="C285" s="21"/>
      <c r="D285" s="21"/>
      <c r="E285" s="21"/>
      <c r="F285" s="21"/>
      <c r="G285" s="21"/>
      <c r="H285" s="21"/>
      <c r="I285" s="21"/>
      <c r="J285" s="21"/>
    </row>
    <row r="286" spans="1:10" ht="15.6" x14ac:dyDescent="0.3">
      <c r="A286" s="11" t="s">
        <v>72</v>
      </c>
      <c r="B286" s="11" t="s">
        <v>261</v>
      </c>
      <c r="C286" s="21"/>
      <c r="D286" s="21"/>
      <c r="E286" s="21"/>
      <c r="F286" s="21"/>
      <c r="G286" s="21"/>
      <c r="H286" s="21"/>
      <c r="I286" s="21"/>
      <c r="J286" s="21"/>
    </row>
    <row r="287" spans="1:10" x14ac:dyDescent="0.3">
      <c r="A287" s="21" t="s">
        <v>202</v>
      </c>
      <c r="B287" s="21" t="s">
        <v>314</v>
      </c>
      <c r="C287" s="21"/>
      <c r="D287" s="21"/>
      <c r="E287" s="21"/>
      <c r="F287" s="21"/>
      <c r="G287" s="21"/>
      <c r="H287" s="21"/>
      <c r="I287" s="21"/>
      <c r="J287" s="21"/>
    </row>
    <row r="288" spans="1:10" x14ac:dyDescent="0.3">
      <c r="A288" s="21" t="s">
        <v>84</v>
      </c>
      <c r="B288" s="21" t="s">
        <v>315</v>
      </c>
      <c r="C288" s="21"/>
      <c r="D288" s="21"/>
      <c r="E288" s="21"/>
      <c r="F288" s="21"/>
      <c r="G288" s="21"/>
      <c r="H288" s="21"/>
      <c r="I288" s="21"/>
      <c r="J288" s="21"/>
    </row>
    <row r="289" spans="1:10" x14ac:dyDescent="0.3">
      <c r="A289" s="21" t="s">
        <v>73</v>
      </c>
      <c r="B289" s="21" t="s">
        <v>98</v>
      </c>
      <c r="C289" s="21"/>
      <c r="D289" s="21"/>
      <c r="E289" s="21"/>
      <c r="F289" s="21"/>
      <c r="G289" s="21"/>
      <c r="H289" s="21"/>
      <c r="I289" s="21"/>
      <c r="J289" s="21"/>
    </row>
    <row r="290" spans="1:10" x14ac:dyDescent="0.3">
      <c r="A290" s="21" t="s">
        <v>186</v>
      </c>
      <c r="B290" s="21">
        <v>1</v>
      </c>
      <c r="C290" s="21"/>
      <c r="D290" s="21"/>
      <c r="E290" s="21"/>
      <c r="F290" s="21"/>
      <c r="G290" s="21"/>
      <c r="H290" s="21"/>
      <c r="I290" s="21"/>
      <c r="J290" s="21"/>
    </row>
    <row r="291" spans="1:10" x14ac:dyDescent="0.3">
      <c r="A291" s="21" t="s">
        <v>74</v>
      </c>
      <c r="B291" s="21" t="s">
        <v>261</v>
      </c>
      <c r="C291" s="21"/>
      <c r="D291" s="21"/>
      <c r="E291" s="21"/>
      <c r="F291" s="21"/>
      <c r="G291" s="21"/>
      <c r="H291" s="21"/>
      <c r="I291" s="21"/>
      <c r="J291" s="21"/>
    </row>
    <row r="292" spans="1:10" x14ac:dyDescent="0.3">
      <c r="A292" s="21" t="s">
        <v>77</v>
      </c>
      <c r="B292" s="21" t="s">
        <v>78</v>
      </c>
      <c r="C292" s="21"/>
      <c r="D292" s="21"/>
      <c r="E292" s="21"/>
      <c r="F292" s="21"/>
      <c r="G292" s="21"/>
      <c r="H292" s="21"/>
      <c r="I292" s="21"/>
      <c r="J292" s="21"/>
    </row>
    <row r="293" spans="1:10" x14ac:dyDescent="0.3">
      <c r="A293" s="21" t="s">
        <v>204</v>
      </c>
      <c r="B293" s="21" t="s">
        <v>187</v>
      </c>
      <c r="C293" s="21"/>
      <c r="D293" s="21"/>
      <c r="E293" s="21"/>
      <c r="F293" s="21"/>
      <c r="G293" s="21"/>
      <c r="H293" s="21"/>
      <c r="I293" s="21"/>
      <c r="J293" s="21"/>
    </row>
    <row r="294" spans="1:10" ht="15.6" x14ac:dyDescent="0.3">
      <c r="A294" s="11" t="s">
        <v>80</v>
      </c>
      <c r="B294" s="21"/>
      <c r="C294" s="21"/>
      <c r="D294" s="21"/>
      <c r="E294" s="21"/>
      <c r="F294" s="21"/>
      <c r="G294" s="21"/>
      <c r="H294" s="21"/>
      <c r="I294" s="21"/>
      <c r="J294" s="21"/>
    </row>
    <row r="295" spans="1:10" x14ac:dyDescent="0.3">
      <c r="A295" s="21" t="s">
        <v>81</v>
      </c>
      <c r="B295" s="21" t="s">
        <v>82</v>
      </c>
      <c r="C295" s="21" t="s">
        <v>188</v>
      </c>
      <c r="D295" s="21" t="s">
        <v>73</v>
      </c>
      <c r="E295" s="21" t="s">
        <v>77</v>
      </c>
      <c r="F295" s="21" t="s">
        <v>75</v>
      </c>
      <c r="G295" s="21" t="s">
        <v>248</v>
      </c>
      <c r="H295" s="21" t="s">
        <v>74</v>
      </c>
      <c r="I295" s="21"/>
      <c r="J295" s="21"/>
    </row>
    <row r="296" spans="1:10" x14ac:dyDescent="0.3">
      <c r="A296" s="21" t="s">
        <v>261</v>
      </c>
      <c r="B296" s="21">
        <v>1</v>
      </c>
      <c r="C296" s="21" t="s">
        <v>187</v>
      </c>
      <c r="D296" s="21" t="s">
        <v>98</v>
      </c>
      <c r="E296" s="21" t="s">
        <v>78</v>
      </c>
      <c r="F296" s="21" t="s">
        <v>85</v>
      </c>
      <c r="G296" s="21"/>
      <c r="H296" s="21"/>
      <c r="I296" s="21"/>
      <c r="J296" s="21"/>
    </row>
    <row r="297" spans="1:10" x14ac:dyDescent="0.3">
      <c r="A297" s="21" t="s">
        <v>288</v>
      </c>
      <c r="B297" s="21">
        <v>2.0000000000000001E-4</v>
      </c>
      <c r="C297" s="21" t="s">
        <v>193</v>
      </c>
      <c r="D297" s="21" t="s">
        <v>98</v>
      </c>
      <c r="E297" s="21" t="s">
        <v>78</v>
      </c>
      <c r="F297" s="21" t="s">
        <v>91</v>
      </c>
      <c r="G297" s="21"/>
      <c r="H297" s="21" t="s">
        <v>289</v>
      </c>
      <c r="I297" s="21"/>
      <c r="J297" s="21"/>
    </row>
    <row r="298" spans="1:10" x14ac:dyDescent="0.3">
      <c r="A298" s="21" t="s">
        <v>316</v>
      </c>
      <c r="B298" s="21">
        <v>5.7000000000000002E-3</v>
      </c>
      <c r="C298" s="21" t="s">
        <v>193</v>
      </c>
      <c r="D298" s="21" t="s">
        <v>37</v>
      </c>
      <c r="E298" s="21" t="s">
        <v>78</v>
      </c>
      <c r="F298" s="21" t="s">
        <v>91</v>
      </c>
      <c r="G298" s="21"/>
      <c r="H298" s="21" t="s">
        <v>317</v>
      </c>
      <c r="I298" s="21"/>
      <c r="J298" s="21"/>
    </row>
    <row r="299" spans="1:10" x14ac:dyDescent="0.3">
      <c r="A299" s="21" t="s">
        <v>318</v>
      </c>
      <c r="B299" s="21">
        <v>5.7000000000000002E-3</v>
      </c>
      <c r="C299" s="21" t="s">
        <v>193</v>
      </c>
      <c r="D299" s="21" t="s">
        <v>98</v>
      </c>
      <c r="E299" s="21" t="s">
        <v>78</v>
      </c>
      <c r="F299" s="21" t="s">
        <v>91</v>
      </c>
      <c r="G299" s="21"/>
      <c r="H299" s="21" t="s">
        <v>319</v>
      </c>
      <c r="I299" s="21"/>
      <c r="J299" s="21"/>
    </row>
    <row r="300" spans="1:10" x14ac:dyDescent="0.3">
      <c r="A300" s="21" t="s">
        <v>320</v>
      </c>
      <c r="B300" s="21">
        <v>2.1000000000000001E-2</v>
      </c>
      <c r="C300" s="21" t="s">
        <v>193</v>
      </c>
      <c r="D300" s="21" t="s">
        <v>98</v>
      </c>
      <c r="E300" s="21" t="s">
        <v>78</v>
      </c>
      <c r="F300" s="21" t="s">
        <v>91</v>
      </c>
      <c r="G300" s="21"/>
      <c r="H300" s="21" t="s">
        <v>321</v>
      </c>
      <c r="I300" s="21"/>
      <c r="J300" s="21"/>
    </row>
    <row r="301" spans="1:10" x14ac:dyDescent="0.3">
      <c r="A301" s="21" t="s">
        <v>322</v>
      </c>
      <c r="B301" s="21">
        <v>2E-8</v>
      </c>
      <c r="C301" s="21" t="s">
        <v>193</v>
      </c>
      <c r="D301" s="21" t="s">
        <v>98</v>
      </c>
      <c r="E301" s="21" t="s">
        <v>77</v>
      </c>
      <c r="F301" s="21" t="s">
        <v>91</v>
      </c>
      <c r="G301" s="21"/>
      <c r="H301" s="21" t="s">
        <v>323</v>
      </c>
      <c r="I301" s="21"/>
      <c r="J301" s="21"/>
    </row>
    <row r="302" spans="1:10" x14ac:dyDescent="0.3">
      <c r="A302" s="21" t="s">
        <v>292</v>
      </c>
      <c r="B302" s="21">
        <v>8.8000000000000005E-3</v>
      </c>
      <c r="C302" s="21" t="s">
        <v>193</v>
      </c>
      <c r="D302" s="21" t="s">
        <v>98</v>
      </c>
      <c r="E302" s="21" t="s">
        <v>78</v>
      </c>
      <c r="F302" s="21" t="s">
        <v>91</v>
      </c>
      <c r="G302" s="21"/>
      <c r="H302" s="21" t="s">
        <v>293</v>
      </c>
      <c r="I302" s="21"/>
      <c r="J302" s="21"/>
    </row>
    <row r="303" spans="1:10" x14ac:dyDescent="0.3">
      <c r="A303" s="21" t="s">
        <v>324</v>
      </c>
      <c r="B303" s="21">
        <v>1.7E-5</v>
      </c>
      <c r="C303" s="21" t="s">
        <v>193</v>
      </c>
      <c r="D303" s="21" t="s">
        <v>98</v>
      </c>
      <c r="E303" s="21" t="s">
        <v>78</v>
      </c>
      <c r="F303" s="21" t="s">
        <v>91</v>
      </c>
      <c r="G303" s="21"/>
      <c r="H303" s="21" t="s">
        <v>325</v>
      </c>
      <c r="I303" s="21"/>
      <c r="J303" s="21"/>
    </row>
    <row r="304" spans="1:10" x14ac:dyDescent="0.3">
      <c r="A304" s="21" t="s">
        <v>326</v>
      </c>
      <c r="B304" s="21">
        <v>0.85</v>
      </c>
      <c r="C304" s="21" t="s">
        <v>193</v>
      </c>
      <c r="D304" s="21" t="s">
        <v>98</v>
      </c>
      <c r="E304" s="21" t="s">
        <v>78</v>
      </c>
      <c r="F304" s="21" t="s">
        <v>91</v>
      </c>
      <c r="G304" s="21"/>
      <c r="H304" s="21" t="s">
        <v>327</v>
      </c>
      <c r="I304" s="21"/>
      <c r="J304" s="21"/>
    </row>
    <row r="305" spans="1:10" x14ac:dyDescent="0.3">
      <c r="A305" s="21" t="s">
        <v>328</v>
      </c>
      <c r="B305" s="21">
        <v>1.9E-3</v>
      </c>
      <c r="C305" s="21" t="s">
        <v>193</v>
      </c>
      <c r="D305" s="21" t="s">
        <v>242</v>
      </c>
      <c r="E305" s="21" t="s">
        <v>78</v>
      </c>
      <c r="F305" s="21" t="s">
        <v>91</v>
      </c>
      <c r="G305" s="21"/>
      <c r="H305" s="21" t="s">
        <v>329</v>
      </c>
      <c r="I305" s="21"/>
      <c r="J305" s="21"/>
    </row>
    <row r="306" spans="1:10" x14ac:dyDescent="0.3">
      <c r="A306" s="21" t="s">
        <v>330</v>
      </c>
      <c r="B306" s="21">
        <v>6.7999999999999996E-3</v>
      </c>
      <c r="C306" s="21" t="s">
        <v>193</v>
      </c>
      <c r="D306" s="21" t="s">
        <v>98</v>
      </c>
      <c r="E306" s="21" t="s">
        <v>78</v>
      </c>
      <c r="F306" s="21" t="s">
        <v>91</v>
      </c>
      <c r="G306" s="21"/>
      <c r="H306" s="21" t="s">
        <v>331</v>
      </c>
      <c r="I306" s="21"/>
      <c r="J306" s="21"/>
    </row>
    <row r="307" spans="1:10" x14ac:dyDescent="0.3">
      <c r="A307" s="21" t="s">
        <v>264</v>
      </c>
      <c r="B307" s="21">
        <v>0.11</v>
      </c>
      <c r="C307" s="21" t="s">
        <v>193</v>
      </c>
      <c r="D307" s="21" t="s">
        <v>98</v>
      </c>
      <c r="E307" s="21" t="s">
        <v>78</v>
      </c>
      <c r="F307" s="21" t="s">
        <v>91</v>
      </c>
      <c r="G307" s="21" t="s">
        <v>265</v>
      </c>
      <c r="H307" s="21" t="s">
        <v>266</v>
      </c>
      <c r="I307" s="21"/>
      <c r="J307" s="21"/>
    </row>
    <row r="308" spans="1:10" x14ac:dyDescent="0.3">
      <c r="A308" s="21" t="s">
        <v>332</v>
      </c>
      <c r="B308" s="21">
        <v>0.85</v>
      </c>
      <c r="C308" s="21" t="s">
        <v>193</v>
      </c>
      <c r="D308" s="21" t="s">
        <v>98</v>
      </c>
      <c r="E308" s="21" t="s">
        <v>78</v>
      </c>
      <c r="F308" s="21" t="s">
        <v>91</v>
      </c>
      <c r="G308" s="21"/>
      <c r="H308" s="21" t="s">
        <v>333</v>
      </c>
      <c r="I308" s="21"/>
      <c r="J308" s="21"/>
    </row>
    <row r="309" spans="1:10" x14ac:dyDescent="0.3">
      <c r="A309" s="21"/>
      <c r="B309" s="21"/>
      <c r="C309" s="21"/>
      <c r="D309" s="21"/>
      <c r="E309" s="21"/>
      <c r="F309" s="21"/>
      <c r="G309" s="21"/>
      <c r="H309" s="21"/>
      <c r="I309" s="21"/>
      <c r="J309" s="21"/>
    </row>
    <row r="310" spans="1:10" ht="15.6" x14ac:dyDescent="0.3">
      <c r="A310" s="11" t="s">
        <v>72</v>
      </c>
      <c r="B310" s="11" t="s">
        <v>262</v>
      </c>
      <c r="C310" s="21"/>
      <c r="D310" s="21"/>
      <c r="E310" s="21"/>
      <c r="F310" s="21"/>
      <c r="G310" s="21"/>
      <c r="H310" s="21"/>
      <c r="I310" s="21"/>
      <c r="J310" s="21"/>
    </row>
    <row r="311" spans="1:10" x14ac:dyDescent="0.3">
      <c r="A311" s="21" t="s">
        <v>202</v>
      </c>
      <c r="B311" s="21" t="s">
        <v>334</v>
      </c>
      <c r="C311" s="21"/>
      <c r="D311" s="21"/>
      <c r="E311" s="21"/>
      <c r="F311" s="21"/>
      <c r="G311" s="21"/>
      <c r="H311" s="21"/>
      <c r="I311" s="21"/>
      <c r="J311" s="21"/>
    </row>
    <row r="312" spans="1:10" x14ac:dyDescent="0.3">
      <c r="A312" s="21" t="s">
        <v>84</v>
      </c>
      <c r="B312" s="21" t="s">
        <v>315</v>
      </c>
      <c r="C312" s="21"/>
      <c r="D312" s="21"/>
      <c r="E312" s="21"/>
      <c r="F312" s="21"/>
      <c r="G312" s="21"/>
      <c r="H312" s="21"/>
      <c r="I312" s="21"/>
      <c r="J312" s="21"/>
    </row>
    <row r="313" spans="1:10" x14ac:dyDescent="0.3">
      <c r="A313" s="21" t="s">
        <v>73</v>
      </c>
      <c r="B313" s="21" t="s">
        <v>98</v>
      </c>
      <c r="C313" s="21"/>
      <c r="D313" s="21"/>
      <c r="E313" s="21"/>
      <c r="F313" s="21"/>
      <c r="G313" s="21"/>
      <c r="H313" s="21"/>
      <c r="I313" s="21"/>
      <c r="J313" s="21"/>
    </row>
    <row r="314" spans="1:10" x14ac:dyDescent="0.3">
      <c r="A314" s="21" t="s">
        <v>186</v>
      </c>
      <c r="B314" s="21">
        <v>1</v>
      </c>
      <c r="C314" s="21"/>
      <c r="D314" s="21"/>
      <c r="E314" s="21"/>
      <c r="F314" s="21"/>
      <c r="G314" s="21"/>
      <c r="H314" s="21"/>
      <c r="I314" s="21"/>
      <c r="J314" s="21"/>
    </row>
    <row r="315" spans="1:10" x14ac:dyDescent="0.3">
      <c r="A315" s="21" t="s">
        <v>74</v>
      </c>
      <c r="B315" s="21" t="s">
        <v>262</v>
      </c>
      <c r="C315" s="21"/>
      <c r="D315" s="21"/>
      <c r="E315" s="21"/>
      <c r="F315" s="21"/>
      <c r="G315" s="21"/>
      <c r="H315" s="21"/>
      <c r="I315" s="21"/>
      <c r="J315" s="21"/>
    </row>
    <row r="316" spans="1:10" x14ac:dyDescent="0.3">
      <c r="A316" s="21" t="s">
        <v>77</v>
      </c>
      <c r="B316" s="21" t="s">
        <v>78</v>
      </c>
      <c r="C316" s="21"/>
      <c r="D316" s="21"/>
      <c r="E316" s="21"/>
      <c r="F316" s="21"/>
      <c r="G316" s="21"/>
      <c r="H316" s="21"/>
      <c r="I316" s="21"/>
      <c r="J316" s="21"/>
    </row>
    <row r="317" spans="1:10" x14ac:dyDescent="0.3">
      <c r="A317" s="21" t="s">
        <v>204</v>
      </c>
      <c r="B317" s="21" t="s">
        <v>187</v>
      </c>
      <c r="C317" s="21"/>
      <c r="D317" s="21"/>
      <c r="E317" s="21"/>
      <c r="F317" s="21"/>
      <c r="G317" s="21"/>
      <c r="H317" s="21"/>
      <c r="I317" s="21"/>
      <c r="J317" s="21"/>
    </row>
    <row r="318" spans="1:10" ht="15.6" x14ac:dyDescent="0.3">
      <c r="A318" s="11" t="s">
        <v>80</v>
      </c>
      <c r="B318" s="21"/>
      <c r="C318" s="21"/>
      <c r="D318" s="21"/>
      <c r="E318" s="21"/>
      <c r="F318" s="21"/>
      <c r="G318" s="21"/>
      <c r="H318" s="21"/>
      <c r="I318" s="21"/>
      <c r="J318" s="21"/>
    </row>
    <row r="319" spans="1:10" x14ac:dyDescent="0.3">
      <c r="A319" s="21" t="s">
        <v>81</v>
      </c>
      <c r="B319" s="21" t="s">
        <v>82</v>
      </c>
      <c r="C319" s="21" t="s">
        <v>188</v>
      </c>
      <c r="D319" s="21" t="s">
        <v>73</v>
      </c>
      <c r="E319" s="21" t="s">
        <v>77</v>
      </c>
      <c r="F319" s="21" t="s">
        <v>75</v>
      </c>
      <c r="G319" s="21" t="s">
        <v>74</v>
      </c>
      <c r="H319" s="21"/>
      <c r="I319" s="21"/>
      <c r="J319" s="21"/>
    </row>
    <row r="320" spans="1:10" x14ac:dyDescent="0.3">
      <c r="A320" s="21" t="s">
        <v>262</v>
      </c>
      <c r="B320" s="21">
        <v>1</v>
      </c>
      <c r="C320" s="21" t="s">
        <v>187</v>
      </c>
      <c r="D320" s="21" t="s">
        <v>98</v>
      </c>
      <c r="E320" s="21" t="s">
        <v>78</v>
      </c>
      <c r="F320" s="21" t="s">
        <v>85</v>
      </c>
      <c r="G320" s="21"/>
      <c r="H320" s="21"/>
      <c r="I320" s="21"/>
      <c r="J320" s="21"/>
    </row>
    <row r="321" spans="1:10" x14ac:dyDescent="0.3">
      <c r="A321" s="21" t="s">
        <v>294</v>
      </c>
      <c r="B321" s="21">
        <v>4.6000000000000001E-10</v>
      </c>
      <c r="C321" s="21" t="s">
        <v>193</v>
      </c>
      <c r="D321" s="21" t="s">
        <v>98</v>
      </c>
      <c r="E321" s="21" t="s">
        <v>77</v>
      </c>
      <c r="F321" s="21" t="s">
        <v>91</v>
      </c>
      <c r="G321" s="21" t="s">
        <v>295</v>
      </c>
      <c r="H321" s="21"/>
      <c r="I321" s="21"/>
      <c r="J321" s="21"/>
    </row>
    <row r="322" spans="1:10" x14ac:dyDescent="0.3">
      <c r="A322" s="21" t="s">
        <v>326</v>
      </c>
      <c r="B322" s="21">
        <v>1</v>
      </c>
      <c r="C322" s="21" t="s">
        <v>193</v>
      </c>
      <c r="D322" s="21" t="s">
        <v>98</v>
      </c>
      <c r="E322" s="21" t="s">
        <v>78</v>
      </c>
      <c r="F322" s="21" t="s">
        <v>91</v>
      </c>
      <c r="G322" s="21" t="s">
        <v>327</v>
      </c>
      <c r="H322" s="21"/>
      <c r="I322" s="21"/>
      <c r="J322" s="21"/>
    </row>
    <row r="323" spans="1:10" x14ac:dyDescent="0.3">
      <c r="A323" s="21" t="s">
        <v>332</v>
      </c>
      <c r="B323" s="21">
        <v>1</v>
      </c>
      <c r="C323" s="21" t="s">
        <v>193</v>
      </c>
      <c r="D323" s="21" t="s">
        <v>98</v>
      </c>
      <c r="E323" s="21" t="s">
        <v>78</v>
      </c>
      <c r="F323" s="21" t="s">
        <v>91</v>
      </c>
      <c r="G323" s="21" t="s">
        <v>333</v>
      </c>
      <c r="H323" s="21"/>
      <c r="I323" s="21"/>
      <c r="J323" s="21"/>
    </row>
    <row r="324" spans="1:10" x14ac:dyDescent="0.3">
      <c r="A324" s="21"/>
      <c r="B324" s="21"/>
      <c r="C324" s="21"/>
      <c r="D324" s="21"/>
      <c r="E324" s="21"/>
      <c r="F324" s="21"/>
      <c r="G324" s="21"/>
      <c r="H324" s="21"/>
      <c r="I324" s="21"/>
      <c r="J324" s="21"/>
    </row>
    <row r="325" spans="1:10" ht="15.6" x14ac:dyDescent="0.3">
      <c r="A325" s="11" t="s">
        <v>72</v>
      </c>
      <c r="B325" s="11" t="s">
        <v>232</v>
      </c>
      <c r="C325" s="21"/>
      <c r="D325" s="21"/>
      <c r="E325" s="21"/>
      <c r="F325" s="21"/>
      <c r="G325" s="21"/>
      <c r="H325" s="21"/>
      <c r="I325" s="21"/>
      <c r="J325" s="21"/>
    </row>
    <row r="326" spans="1:10" x14ac:dyDescent="0.3">
      <c r="A326" s="21" t="s">
        <v>202</v>
      </c>
      <c r="B326" s="21" t="s">
        <v>335</v>
      </c>
      <c r="C326" s="21"/>
      <c r="D326" s="21"/>
      <c r="E326" s="21"/>
      <c r="F326" s="21"/>
      <c r="G326" s="21"/>
      <c r="H326" s="21"/>
      <c r="I326" s="21"/>
      <c r="J326" s="21"/>
    </row>
    <row r="327" spans="1:10" x14ac:dyDescent="0.3">
      <c r="A327" s="21" t="s">
        <v>84</v>
      </c>
      <c r="B327" s="21" t="s">
        <v>86</v>
      </c>
      <c r="C327" s="21"/>
      <c r="D327" s="21"/>
      <c r="E327" s="21"/>
      <c r="F327" s="21"/>
      <c r="G327" s="21"/>
      <c r="H327" s="21"/>
      <c r="I327" s="21"/>
      <c r="J327" s="21"/>
    </row>
    <row r="328" spans="1:10" x14ac:dyDescent="0.3">
      <c r="A328" s="21" t="s">
        <v>73</v>
      </c>
      <c r="B328" s="21" t="s">
        <v>98</v>
      </c>
      <c r="C328" s="21"/>
      <c r="D328" s="21"/>
      <c r="E328" s="21"/>
      <c r="F328" s="21"/>
      <c r="G328" s="21"/>
      <c r="H328" s="21"/>
      <c r="I328" s="21"/>
      <c r="J328" s="21"/>
    </row>
    <row r="329" spans="1:10" x14ac:dyDescent="0.3">
      <c r="A329" s="21" t="s">
        <v>186</v>
      </c>
      <c r="B329" s="21">
        <v>1</v>
      </c>
      <c r="C329" s="21"/>
      <c r="D329" s="21"/>
      <c r="E329" s="21"/>
      <c r="F329" s="21"/>
      <c r="G329" s="21"/>
      <c r="H329" s="21"/>
      <c r="I329" s="21"/>
      <c r="J329" s="21"/>
    </row>
    <row r="330" spans="1:10" x14ac:dyDescent="0.3">
      <c r="A330" s="21" t="s">
        <v>74</v>
      </c>
      <c r="B330" s="21" t="s">
        <v>232</v>
      </c>
      <c r="C330" s="21"/>
      <c r="D330" s="21"/>
      <c r="E330" s="21"/>
      <c r="F330" s="21"/>
      <c r="G330" s="21"/>
      <c r="H330" s="21"/>
      <c r="I330" s="21"/>
      <c r="J330" s="21"/>
    </row>
    <row r="331" spans="1:10" x14ac:dyDescent="0.3">
      <c r="A331" s="21" t="s">
        <v>77</v>
      </c>
      <c r="B331" s="21" t="s">
        <v>78</v>
      </c>
      <c r="C331" s="21"/>
      <c r="D331" s="21"/>
      <c r="E331" s="21"/>
      <c r="F331" s="21"/>
      <c r="G331" s="21"/>
      <c r="H331" s="21"/>
      <c r="I331" s="21"/>
      <c r="J331" s="21"/>
    </row>
    <row r="332" spans="1:10" x14ac:dyDescent="0.3">
      <c r="A332" s="21" t="s">
        <v>204</v>
      </c>
      <c r="B332" s="21" t="s">
        <v>187</v>
      </c>
      <c r="C332" s="21"/>
      <c r="D332" s="21"/>
      <c r="E332" s="21"/>
      <c r="F332" s="21"/>
      <c r="G332" s="21"/>
      <c r="H332" s="21"/>
      <c r="I332" s="21"/>
      <c r="J332" s="21"/>
    </row>
    <row r="333" spans="1:10" ht="15.6" x14ac:dyDescent="0.3">
      <c r="A333" s="11" t="s">
        <v>80</v>
      </c>
      <c r="B333" s="21"/>
      <c r="C333" s="21"/>
      <c r="D333" s="21"/>
      <c r="E333" s="21"/>
      <c r="F333" s="21"/>
      <c r="G333" s="21"/>
      <c r="H333" s="21"/>
      <c r="I333" s="21"/>
      <c r="J333" s="21"/>
    </row>
    <row r="334" spans="1:10" x14ac:dyDescent="0.3">
      <c r="A334" s="21" t="s">
        <v>81</v>
      </c>
      <c r="B334" s="21" t="s">
        <v>82</v>
      </c>
      <c r="C334" s="21" t="s">
        <v>188</v>
      </c>
      <c r="D334" s="21" t="s">
        <v>73</v>
      </c>
      <c r="E334" s="21" t="s">
        <v>77</v>
      </c>
      <c r="F334" s="21" t="s">
        <v>75</v>
      </c>
      <c r="G334" s="21" t="s">
        <v>74</v>
      </c>
      <c r="H334" s="21"/>
      <c r="I334" s="21"/>
      <c r="J334" s="21"/>
    </row>
    <row r="335" spans="1:10" x14ac:dyDescent="0.3">
      <c r="A335" s="21" t="s">
        <v>232</v>
      </c>
      <c r="B335" s="21">
        <v>1</v>
      </c>
      <c r="C335" s="21" t="s">
        <v>187</v>
      </c>
      <c r="D335" s="21" t="s">
        <v>98</v>
      </c>
      <c r="E335" s="21" t="s">
        <v>78</v>
      </c>
      <c r="F335" s="21" t="s">
        <v>85</v>
      </c>
      <c r="G335" s="21"/>
      <c r="H335" s="21"/>
      <c r="I335" s="21"/>
      <c r="J335" s="21"/>
    </row>
    <row r="336" spans="1:10" x14ac:dyDescent="0.3">
      <c r="A336" s="21" t="s">
        <v>290</v>
      </c>
      <c r="B336" s="21">
        <v>1</v>
      </c>
      <c r="C336" s="21" t="s">
        <v>193</v>
      </c>
      <c r="D336" s="21" t="s">
        <v>98</v>
      </c>
      <c r="E336" s="21" t="s">
        <v>78</v>
      </c>
      <c r="F336" s="21" t="s">
        <v>91</v>
      </c>
      <c r="G336" s="21" t="s">
        <v>291</v>
      </c>
      <c r="H336" s="21"/>
      <c r="I336" s="21"/>
      <c r="J336" s="21"/>
    </row>
    <row r="337" spans="1:10" x14ac:dyDescent="0.3">
      <c r="A337" s="21" t="s">
        <v>294</v>
      </c>
      <c r="B337" s="21">
        <v>4.6000000000000001E-10</v>
      </c>
      <c r="C337" s="21" t="s">
        <v>193</v>
      </c>
      <c r="D337" s="21" t="s">
        <v>98</v>
      </c>
      <c r="E337" s="21" t="s">
        <v>77</v>
      </c>
      <c r="F337" s="21" t="s">
        <v>91</v>
      </c>
      <c r="G337" s="21" t="s">
        <v>295</v>
      </c>
      <c r="H337" s="21"/>
      <c r="I337" s="21"/>
      <c r="J337" s="21"/>
    </row>
    <row r="338" spans="1:10" x14ac:dyDescent="0.3">
      <c r="A338" s="21" t="s">
        <v>336</v>
      </c>
      <c r="B338" s="21">
        <v>1</v>
      </c>
      <c r="C338" s="21" t="s">
        <v>193</v>
      </c>
      <c r="D338" s="21" t="s">
        <v>98</v>
      </c>
      <c r="E338" s="21" t="s">
        <v>78</v>
      </c>
      <c r="F338" s="21" t="s">
        <v>91</v>
      </c>
      <c r="G338" s="21" t="s">
        <v>337</v>
      </c>
      <c r="H338" s="21"/>
      <c r="I338" s="21"/>
      <c r="J338" s="21"/>
    </row>
    <row r="339" spans="1:10" x14ac:dyDescent="0.3">
      <c r="A339" s="21"/>
      <c r="B339" s="21"/>
      <c r="C339" s="21"/>
      <c r="D339" s="21"/>
      <c r="E339" s="21"/>
      <c r="F339" s="21"/>
      <c r="G339" s="21"/>
      <c r="H339" s="21"/>
      <c r="I339" s="21"/>
      <c r="J339" s="21"/>
    </row>
    <row r="340" spans="1:10" ht="15.6" x14ac:dyDescent="0.3">
      <c r="A340" s="11" t="s">
        <v>72</v>
      </c>
      <c r="B340" s="11" t="s">
        <v>233</v>
      </c>
      <c r="C340" s="21"/>
      <c r="D340" s="21"/>
      <c r="E340" s="21"/>
      <c r="F340" s="21"/>
      <c r="G340" s="21"/>
      <c r="H340" s="21"/>
      <c r="I340" s="21"/>
      <c r="J340" s="21"/>
    </row>
    <row r="341" spans="1:10" x14ac:dyDescent="0.3">
      <c r="A341" s="21" t="s">
        <v>202</v>
      </c>
      <c r="B341" s="21" t="s">
        <v>338</v>
      </c>
      <c r="C341" s="21"/>
      <c r="D341" s="21"/>
      <c r="E341" s="21"/>
      <c r="F341" s="21"/>
      <c r="G341" s="21"/>
      <c r="H341" s="21"/>
      <c r="I341" s="21"/>
      <c r="J341" s="21"/>
    </row>
    <row r="342" spans="1:10" x14ac:dyDescent="0.3">
      <c r="A342" s="21" t="s">
        <v>84</v>
      </c>
      <c r="B342" s="21" t="s">
        <v>86</v>
      </c>
      <c r="C342" s="21"/>
      <c r="D342" s="21"/>
      <c r="E342" s="21"/>
      <c r="F342" s="21"/>
      <c r="G342" s="21"/>
      <c r="H342" s="21"/>
      <c r="I342" s="21"/>
      <c r="J342" s="21"/>
    </row>
    <row r="343" spans="1:10" x14ac:dyDescent="0.3">
      <c r="A343" s="21" t="s">
        <v>73</v>
      </c>
      <c r="B343" s="21" t="s">
        <v>98</v>
      </c>
      <c r="C343" s="21"/>
      <c r="D343" s="21"/>
      <c r="E343" s="21"/>
      <c r="F343" s="21"/>
      <c r="G343" s="21"/>
      <c r="H343" s="21"/>
      <c r="I343" s="21"/>
      <c r="J343" s="21"/>
    </row>
    <row r="344" spans="1:10" x14ac:dyDescent="0.3">
      <c r="A344" s="21" t="s">
        <v>186</v>
      </c>
      <c r="B344" s="21">
        <v>1</v>
      </c>
      <c r="C344" s="21"/>
      <c r="D344" s="21"/>
      <c r="E344" s="21"/>
      <c r="F344" s="21"/>
      <c r="G344" s="21"/>
      <c r="H344" s="21"/>
      <c r="I344" s="21"/>
      <c r="J344" s="21"/>
    </row>
    <row r="345" spans="1:10" x14ac:dyDescent="0.3">
      <c r="A345" s="21" t="s">
        <v>74</v>
      </c>
      <c r="B345" s="21" t="s">
        <v>233</v>
      </c>
      <c r="C345" s="21"/>
      <c r="D345" s="21"/>
      <c r="E345" s="21"/>
      <c r="F345" s="21"/>
      <c r="G345" s="21"/>
      <c r="H345" s="21"/>
      <c r="I345" s="21"/>
      <c r="J345" s="21"/>
    </row>
    <row r="346" spans="1:10" x14ac:dyDescent="0.3">
      <c r="A346" s="21" t="s">
        <v>77</v>
      </c>
      <c r="B346" s="21" t="s">
        <v>78</v>
      </c>
      <c r="C346" s="21"/>
      <c r="D346" s="21"/>
      <c r="E346" s="21"/>
      <c r="F346" s="21"/>
      <c r="G346" s="21"/>
      <c r="H346" s="21"/>
      <c r="I346" s="21"/>
      <c r="J346" s="21"/>
    </row>
    <row r="347" spans="1:10" x14ac:dyDescent="0.3">
      <c r="A347" s="21" t="s">
        <v>204</v>
      </c>
      <c r="B347" s="21" t="s">
        <v>187</v>
      </c>
      <c r="C347" s="21"/>
      <c r="D347" s="21"/>
      <c r="E347" s="21"/>
      <c r="F347" s="21"/>
      <c r="G347" s="21"/>
      <c r="H347" s="21"/>
      <c r="I347" s="21"/>
      <c r="J347" s="21"/>
    </row>
    <row r="348" spans="1:10" ht="15.6" x14ac:dyDescent="0.3">
      <c r="A348" s="11" t="s">
        <v>80</v>
      </c>
      <c r="B348" s="21"/>
      <c r="C348" s="21"/>
      <c r="D348" s="21"/>
      <c r="E348" s="21"/>
      <c r="F348" s="21"/>
      <c r="G348" s="21"/>
      <c r="H348" s="21"/>
      <c r="I348" s="21"/>
      <c r="J348" s="21"/>
    </row>
    <row r="349" spans="1:10" x14ac:dyDescent="0.3">
      <c r="A349" s="21" t="s">
        <v>81</v>
      </c>
      <c r="B349" s="21" t="s">
        <v>82</v>
      </c>
      <c r="C349" s="21" t="s">
        <v>188</v>
      </c>
      <c r="D349" s="21" t="s">
        <v>73</v>
      </c>
      <c r="E349" s="21" t="s">
        <v>77</v>
      </c>
      <c r="F349" s="21" t="s">
        <v>75</v>
      </c>
      <c r="G349" s="21" t="s">
        <v>74</v>
      </c>
      <c r="H349" s="21"/>
      <c r="I349" s="21"/>
      <c r="J349" s="21"/>
    </row>
    <row r="350" spans="1:10" x14ac:dyDescent="0.3">
      <c r="A350" s="21" t="s">
        <v>233</v>
      </c>
      <c r="B350" s="21">
        <v>1</v>
      </c>
      <c r="C350" s="21" t="s">
        <v>187</v>
      </c>
      <c r="D350" s="21" t="s">
        <v>98</v>
      </c>
      <c r="E350" s="21" t="s">
        <v>78</v>
      </c>
      <c r="F350" s="21" t="s">
        <v>85</v>
      </c>
      <c r="G350" s="21"/>
      <c r="H350" s="21"/>
      <c r="I350" s="21"/>
      <c r="J350" s="21"/>
    </row>
    <row r="351" spans="1:10" x14ac:dyDescent="0.3">
      <c r="A351" s="21" t="s">
        <v>224</v>
      </c>
      <c r="B351" s="21">
        <v>0.94</v>
      </c>
      <c r="C351" s="21" t="s">
        <v>193</v>
      </c>
      <c r="D351" s="21" t="s">
        <v>98</v>
      </c>
      <c r="E351" s="21" t="s">
        <v>78</v>
      </c>
      <c r="F351" s="21" t="s">
        <v>91</v>
      </c>
      <c r="G351" s="21" t="s">
        <v>225</v>
      </c>
      <c r="H351" s="21"/>
      <c r="I351" s="21"/>
      <c r="J351" s="21"/>
    </row>
    <row r="352" spans="1:10" x14ac:dyDescent="0.3">
      <c r="A352" s="21" t="s">
        <v>339</v>
      </c>
      <c r="B352" s="21">
        <v>0.02</v>
      </c>
      <c r="C352" s="21" t="s">
        <v>193</v>
      </c>
      <c r="D352" s="21" t="s">
        <v>242</v>
      </c>
      <c r="E352" s="21" t="s">
        <v>78</v>
      </c>
      <c r="F352" s="21" t="s">
        <v>91</v>
      </c>
      <c r="G352" s="21" t="s">
        <v>340</v>
      </c>
      <c r="H352" s="21"/>
      <c r="I352" s="21"/>
      <c r="J352" s="21"/>
    </row>
    <row r="353" spans="1:10" x14ac:dyDescent="0.3">
      <c r="A353" s="21" t="s">
        <v>341</v>
      </c>
      <c r="B353" s="21">
        <v>0.96</v>
      </c>
      <c r="C353" s="21" t="s">
        <v>193</v>
      </c>
      <c r="D353" s="21" t="s">
        <v>98</v>
      </c>
      <c r="E353" s="21" t="s">
        <v>78</v>
      </c>
      <c r="F353" s="21" t="s">
        <v>91</v>
      </c>
      <c r="G353" s="21" t="s">
        <v>342</v>
      </c>
      <c r="H353" s="21"/>
      <c r="I353" s="21"/>
      <c r="J353" s="21"/>
    </row>
    <row r="354" spans="1:10" x14ac:dyDescent="0.3">
      <c r="A354" s="21" t="s">
        <v>343</v>
      </c>
      <c r="B354" s="21">
        <v>0.02</v>
      </c>
      <c r="C354" s="21" t="s">
        <v>193</v>
      </c>
      <c r="D354" s="21" t="s">
        <v>98</v>
      </c>
      <c r="E354" s="21" t="s">
        <v>78</v>
      </c>
      <c r="F354" s="21" t="s">
        <v>91</v>
      </c>
      <c r="G354" s="21" t="s">
        <v>344</v>
      </c>
      <c r="H354" s="21"/>
      <c r="I354" s="21"/>
      <c r="J354" s="21"/>
    </row>
    <row r="355" spans="1:10" x14ac:dyDescent="0.3">
      <c r="A355" s="21" t="s">
        <v>208</v>
      </c>
      <c r="B355" s="21">
        <v>4.0000000000000001E-10</v>
      </c>
      <c r="C355" s="21" t="s">
        <v>193</v>
      </c>
      <c r="D355" s="21" t="s">
        <v>98</v>
      </c>
      <c r="E355" s="21" t="s">
        <v>77</v>
      </c>
      <c r="F355" s="21" t="s">
        <v>91</v>
      </c>
      <c r="G355" s="21" t="s">
        <v>209</v>
      </c>
      <c r="H355" s="21"/>
      <c r="I355" s="21"/>
      <c r="J355" s="21"/>
    </row>
    <row r="356" spans="1:10" x14ac:dyDescent="0.3">
      <c r="A356" s="21"/>
      <c r="B356" s="21"/>
      <c r="C356" s="21"/>
      <c r="D356" s="21"/>
      <c r="E356" s="21"/>
      <c r="F356" s="21"/>
      <c r="G356" s="21"/>
      <c r="H356" s="21"/>
      <c r="I356" s="21"/>
      <c r="J356" s="21"/>
    </row>
    <row r="357" spans="1:10" ht="15.6" x14ac:dyDescent="0.3">
      <c r="A357" s="11" t="s">
        <v>72</v>
      </c>
      <c r="B357" s="11" t="s">
        <v>207</v>
      </c>
      <c r="C357" s="21"/>
      <c r="D357" s="21"/>
      <c r="E357" s="21"/>
      <c r="F357" s="21"/>
      <c r="G357" s="21"/>
      <c r="H357" s="21"/>
      <c r="I357" s="21"/>
      <c r="J357" s="21"/>
    </row>
    <row r="358" spans="1:10" x14ac:dyDescent="0.3">
      <c r="A358" s="21" t="s">
        <v>202</v>
      </c>
      <c r="B358" s="21" t="s">
        <v>345</v>
      </c>
      <c r="C358" s="21"/>
      <c r="D358" s="21"/>
      <c r="E358" s="21"/>
      <c r="F358" s="21"/>
      <c r="G358" s="21"/>
      <c r="H358" s="21"/>
      <c r="I358" s="21"/>
      <c r="J358" s="21"/>
    </row>
    <row r="359" spans="1:10" x14ac:dyDescent="0.3">
      <c r="A359" s="21" t="s">
        <v>84</v>
      </c>
      <c r="B359" s="21" t="s">
        <v>346</v>
      </c>
      <c r="C359" s="21"/>
      <c r="D359" s="21"/>
      <c r="E359" s="21"/>
      <c r="F359" s="21"/>
      <c r="G359" s="21"/>
      <c r="H359" s="21"/>
      <c r="I359" s="21"/>
      <c r="J359" s="21"/>
    </row>
    <row r="360" spans="1:10" x14ac:dyDescent="0.3">
      <c r="A360" s="21" t="s">
        <v>73</v>
      </c>
      <c r="B360" s="21" t="s">
        <v>98</v>
      </c>
      <c r="C360" s="21"/>
      <c r="D360" s="21"/>
      <c r="E360" s="21"/>
      <c r="F360" s="21"/>
      <c r="G360" s="21"/>
      <c r="H360" s="21"/>
      <c r="I360" s="21"/>
      <c r="J360" s="21"/>
    </row>
    <row r="361" spans="1:10" x14ac:dyDescent="0.3">
      <c r="A361" s="21" t="s">
        <v>186</v>
      </c>
      <c r="B361" s="21">
        <v>1</v>
      </c>
      <c r="C361" s="21"/>
      <c r="D361" s="21"/>
      <c r="E361" s="21"/>
      <c r="F361" s="21"/>
      <c r="G361" s="21"/>
      <c r="H361" s="21"/>
      <c r="I361" s="21"/>
      <c r="J361" s="21"/>
    </row>
    <row r="362" spans="1:10" x14ac:dyDescent="0.3">
      <c r="A362" s="21" t="s">
        <v>74</v>
      </c>
      <c r="B362" s="21" t="s">
        <v>207</v>
      </c>
      <c r="C362" s="21"/>
      <c r="D362" s="21"/>
      <c r="E362" s="21"/>
      <c r="F362" s="21"/>
      <c r="G362" s="21"/>
      <c r="H362" s="21"/>
      <c r="I362" s="21"/>
      <c r="J362" s="21"/>
    </row>
    <row r="363" spans="1:10" x14ac:dyDescent="0.3">
      <c r="A363" s="21" t="s">
        <v>77</v>
      </c>
      <c r="B363" s="21" t="s">
        <v>78</v>
      </c>
      <c r="C363" s="21"/>
      <c r="D363" s="21"/>
      <c r="E363" s="21"/>
      <c r="F363" s="21"/>
      <c r="G363" s="21"/>
      <c r="H363" s="21"/>
      <c r="I363" s="21"/>
      <c r="J363" s="21"/>
    </row>
    <row r="364" spans="1:10" x14ac:dyDescent="0.3">
      <c r="A364" s="21" t="s">
        <v>204</v>
      </c>
      <c r="B364" s="21" t="s">
        <v>187</v>
      </c>
      <c r="C364" s="21"/>
      <c r="D364" s="21"/>
      <c r="E364" s="21"/>
      <c r="F364" s="21"/>
      <c r="G364" s="21"/>
      <c r="H364" s="21"/>
      <c r="I364" s="21"/>
      <c r="J364" s="21"/>
    </row>
    <row r="365" spans="1:10" ht="15.6" x14ac:dyDescent="0.3">
      <c r="A365" s="11" t="s">
        <v>80</v>
      </c>
      <c r="B365" s="21"/>
      <c r="C365" s="21"/>
      <c r="D365" s="21"/>
      <c r="E365" s="21"/>
      <c r="F365" s="21"/>
      <c r="G365" s="21"/>
      <c r="H365" s="21"/>
      <c r="I365" s="21"/>
      <c r="J365" s="21"/>
    </row>
    <row r="366" spans="1:10" x14ac:dyDescent="0.3">
      <c r="A366" s="21" t="s">
        <v>81</v>
      </c>
      <c r="B366" s="21" t="s">
        <v>82</v>
      </c>
      <c r="C366" s="21" t="s">
        <v>188</v>
      </c>
      <c r="D366" s="21" t="s">
        <v>73</v>
      </c>
      <c r="E366" s="21" t="s">
        <v>77</v>
      </c>
      <c r="F366" s="21" t="s">
        <v>83</v>
      </c>
      <c r="G366" s="21" t="s">
        <v>75</v>
      </c>
      <c r="H366" s="21" t="s">
        <v>248</v>
      </c>
      <c r="I366" s="21" t="s">
        <v>74</v>
      </c>
      <c r="J366" s="21"/>
    </row>
    <row r="367" spans="1:10" x14ac:dyDescent="0.3">
      <c r="A367" s="21" t="s">
        <v>347</v>
      </c>
      <c r="B367" s="21">
        <v>1.6</v>
      </c>
      <c r="C367" s="21" t="s">
        <v>187</v>
      </c>
      <c r="D367" s="21"/>
      <c r="E367" s="21" t="s">
        <v>78</v>
      </c>
      <c r="F367" s="21" t="s">
        <v>348</v>
      </c>
      <c r="G367" s="21" t="s">
        <v>173</v>
      </c>
      <c r="H367" s="21" t="s">
        <v>349</v>
      </c>
      <c r="I367" s="21"/>
      <c r="J367" s="21"/>
    </row>
    <row r="368" spans="1:10" x14ac:dyDescent="0.3">
      <c r="A368" s="21" t="s">
        <v>207</v>
      </c>
      <c r="B368" s="21">
        <v>1</v>
      </c>
      <c r="C368" s="21" t="s">
        <v>187</v>
      </c>
      <c r="D368" s="21" t="s">
        <v>98</v>
      </c>
      <c r="E368" s="21" t="s">
        <v>78</v>
      </c>
      <c r="F368" s="21"/>
      <c r="G368" s="21" t="s">
        <v>85</v>
      </c>
      <c r="H368" s="21"/>
      <c r="I368" s="21"/>
      <c r="J368" s="21"/>
    </row>
    <row r="369" spans="1:10" x14ac:dyDescent="0.3">
      <c r="A369" s="21" t="s">
        <v>303</v>
      </c>
      <c r="B369" s="21">
        <v>0.56999999999999995</v>
      </c>
      <c r="C369" s="21" t="s">
        <v>187</v>
      </c>
      <c r="D369" s="21" t="s">
        <v>98</v>
      </c>
      <c r="E369" s="21" t="s">
        <v>78</v>
      </c>
      <c r="F369" s="21"/>
      <c r="G369" s="21" t="s">
        <v>91</v>
      </c>
      <c r="H369" s="21"/>
      <c r="I369" s="21"/>
      <c r="J369" s="21"/>
    </row>
    <row r="370" spans="1:10" x14ac:dyDescent="0.3">
      <c r="A370" s="21" t="s">
        <v>208</v>
      </c>
      <c r="B370" s="21">
        <v>4.0000000000000001E-10</v>
      </c>
      <c r="C370" s="21" t="s">
        <v>193</v>
      </c>
      <c r="D370" s="21" t="s">
        <v>98</v>
      </c>
      <c r="E370" s="21" t="s">
        <v>77</v>
      </c>
      <c r="F370" s="21"/>
      <c r="G370" s="21" t="s">
        <v>91</v>
      </c>
      <c r="H370" s="21"/>
      <c r="I370" s="21" t="s">
        <v>209</v>
      </c>
      <c r="J370" s="21"/>
    </row>
    <row r="371" spans="1:10" x14ac:dyDescent="0.3">
      <c r="A371" s="21" t="s">
        <v>350</v>
      </c>
      <c r="B371" s="21">
        <v>0.55000000000000004</v>
      </c>
      <c r="C371" s="21" t="s">
        <v>193</v>
      </c>
      <c r="D371" s="21" t="s">
        <v>98</v>
      </c>
      <c r="E371" s="21" t="s">
        <v>78</v>
      </c>
      <c r="F371" s="21"/>
      <c r="G371" s="21" t="s">
        <v>91</v>
      </c>
      <c r="H371" s="21" t="s">
        <v>351</v>
      </c>
      <c r="I371" s="21" t="s">
        <v>352</v>
      </c>
      <c r="J371" s="21"/>
    </row>
    <row r="372" spans="1:10" x14ac:dyDescent="0.3">
      <c r="A372" s="21" t="s">
        <v>353</v>
      </c>
      <c r="B372" s="21">
        <v>0.56999999999999995</v>
      </c>
      <c r="C372" s="21" t="s">
        <v>193</v>
      </c>
      <c r="D372" s="21" t="s">
        <v>98</v>
      </c>
      <c r="E372" s="21" t="s">
        <v>78</v>
      </c>
      <c r="F372" s="21"/>
      <c r="G372" s="21" t="s">
        <v>91</v>
      </c>
      <c r="H372" s="21" t="s">
        <v>354</v>
      </c>
      <c r="I372" s="21" t="s">
        <v>355</v>
      </c>
      <c r="J372" s="21"/>
    </row>
    <row r="373" spans="1:10" x14ac:dyDescent="0.3">
      <c r="A373" s="21" t="s">
        <v>356</v>
      </c>
      <c r="B373" s="21">
        <v>0.88</v>
      </c>
      <c r="C373" s="21" t="s">
        <v>193</v>
      </c>
      <c r="D373" s="21" t="s">
        <v>98</v>
      </c>
      <c r="E373" s="21" t="s">
        <v>78</v>
      </c>
      <c r="F373" s="21"/>
      <c r="G373" s="21" t="s">
        <v>91</v>
      </c>
      <c r="H373" s="21"/>
      <c r="I373" s="21" t="s">
        <v>357</v>
      </c>
      <c r="J373" s="21"/>
    </row>
    <row r="374" spans="1:10" x14ac:dyDescent="0.3">
      <c r="A374" s="21"/>
      <c r="B374" s="21"/>
      <c r="C374" s="21"/>
      <c r="D374" s="21"/>
      <c r="E374" s="21"/>
      <c r="F374" s="21"/>
      <c r="G374" s="21"/>
      <c r="H374" s="21"/>
      <c r="I374" s="21"/>
      <c r="J374" s="21"/>
    </row>
    <row r="375" spans="1:10" ht="15.6" x14ac:dyDescent="0.3">
      <c r="A375" s="11" t="s">
        <v>72</v>
      </c>
      <c r="B375" s="11" t="s">
        <v>358</v>
      </c>
      <c r="C375" s="21"/>
      <c r="D375" s="21"/>
      <c r="E375" s="21"/>
      <c r="F375" s="21"/>
      <c r="G375" s="21"/>
      <c r="H375" s="21"/>
      <c r="I375" s="21"/>
      <c r="J375" s="21"/>
    </row>
    <row r="376" spans="1:10" x14ac:dyDescent="0.3">
      <c r="A376" s="21" t="s">
        <v>202</v>
      </c>
      <c r="B376" s="21" t="s">
        <v>359</v>
      </c>
      <c r="C376" s="21"/>
      <c r="D376" s="21"/>
      <c r="E376" s="21"/>
      <c r="F376" s="21"/>
      <c r="G376" s="21"/>
      <c r="H376" s="21"/>
      <c r="I376" s="21"/>
      <c r="J376" s="21"/>
    </row>
    <row r="377" spans="1:10" x14ac:dyDescent="0.3">
      <c r="A377" s="21" t="s">
        <v>73</v>
      </c>
      <c r="B377" s="21" t="s">
        <v>94</v>
      </c>
      <c r="C377" s="21"/>
      <c r="D377" s="21"/>
      <c r="E377" s="21"/>
      <c r="F377" s="21"/>
      <c r="G377" s="21"/>
      <c r="H377" s="21"/>
      <c r="I377" s="21"/>
      <c r="J377" s="21"/>
    </row>
    <row r="378" spans="1:10" x14ac:dyDescent="0.3">
      <c r="A378" s="21" t="s">
        <v>186</v>
      </c>
      <c r="B378" s="21">
        <v>1</v>
      </c>
      <c r="C378" s="21"/>
      <c r="D378" s="21"/>
      <c r="E378" s="21"/>
      <c r="F378" s="21"/>
      <c r="G378" s="21"/>
      <c r="H378" s="21"/>
      <c r="I378" s="21"/>
      <c r="J378" s="21"/>
    </row>
    <row r="379" spans="1:10" x14ac:dyDescent="0.3">
      <c r="A379" s="21" t="s">
        <v>74</v>
      </c>
      <c r="B379" s="21" t="s">
        <v>360</v>
      </c>
      <c r="C379" s="21"/>
      <c r="D379" s="21"/>
      <c r="E379" s="21"/>
      <c r="F379" s="21"/>
      <c r="G379" s="21"/>
      <c r="H379" s="21"/>
      <c r="I379" s="21"/>
      <c r="J379" s="21"/>
    </row>
    <row r="380" spans="1:10" x14ac:dyDescent="0.3">
      <c r="A380" s="21" t="s">
        <v>75</v>
      </c>
      <c r="B380" s="21" t="s">
        <v>76</v>
      </c>
      <c r="C380" s="21"/>
      <c r="D380" s="21"/>
      <c r="E380" s="21"/>
      <c r="F380" s="21"/>
      <c r="G380" s="21"/>
      <c r="H380" s="21"/>
      <c r="I380" s="21"/>
      <c r="J380" s="21"/>
    </row>
    <row r="381" spans="1:10" x14ac:dyDescent="0.3">
      <c r="A381" s="21" t="s">
        <v>77</v>
      </c>
      <c r="B381" s="21" t="s">
        <v>78</v>
      </c>
      <c r="C381" s="21"/>
      <c r="D381" s="21"/>
      <c r="E381" s="21"/>
      <c r="F381" s="21"/>
      <c r="G381" s="21"/>
      <c r="H381" s="21"/>
      <c r="I381" s="21"/>
      <c r="J381" s="21"/>
    </row>
    <row r="382" spans="1:10" x14ac:dyDescent="0.3">
      <c r="A382" s="21" t="s">
        <v>204</v>
      </c>
      <c r="B382" s="21" t="s">
        <v>361</v>
      </c>
      <c r="C382" s="21"/>
      <c r="D382" s="21"/>
      <c r="E382" s="21"/>
      <c r="F382" s="21"/>
      <c r="G382" s="21"/>
      <c r="H382" s="21"/>
      <c r="I382" s="21"/>
      <c r="J382" s="21"/>
    </row>
    <row r="383" spans="1:10" ht="15.6" x14ac:dyDescent="0.3">
      <c r="A383" s="11" t="s">
        <v>80</v>
      </c>
      <c r="B383" s="21"/>
      <c r="C383" s="21"/>
      <c r="D383" s="21"/>
      <c r="E383" s="21"/>
      <c r="F383" s="21"/>
      <c r="G383" s="21"/>
      <c r="H383" s="21"/>
      <c r="I383" s="21"/>
      <c r="J383" s="21"/>
    </row>
    <row r="384" spans="1:10" x14ac:dyDescent="0.3">
      <c r="A384" s="21" t="s">
        <v>81</v>
      </c>
      <c r="B384" s="21" t="s">
        <v>82</v>
      </c>
      <c r="C384" s="21" t="s">
        <v>188</v>
      </c>
      <c r="D384" s="21" t="s">
        <v>73</v>
      </c>
      <c r="E384" s="21" t="s">
        <v>77</v>
      </c>
      <c r="F384" s="21" t="s">
        <v>83</v>
      </c>
      <c r="G384" s="21" t="s">
        <v>75</v>
      </c>
      <c r="H384" s="21" t="s">
        <v>74</v>
      </c>
      <c r="I384" s="21"/>
      <c r="J384" s="21"/>
    </row>
    <row r="385" spans="1:10" x14ac:dyDescent="0.3">
      <c r="A385" s="21" t="s">
        <v>205</v>
      </c>
      <c r="B385" s="21">
        <v>15.73</v>
      </c>
      <c r="C385" s="21" t="s">
        <v>362</v>
      </c>
      <c r="D385" s="21"/>
      <c r="E385" s="21" t="s">
        <v>206</v>
      </c>
      <c r="F385" s="21" t="s">
        <v>171</v>
      </c>
      <c r="G385" s="21" t="s">
        <v>173</v>
      </c>
      <c r="H385" s="21"/>
      <c r="I385" s="21"/>
      <c r="J385" s="21"/>
    </row>
    <row r="386" spans="1:10" x14ac:dyDescent="0.3">
      <c r="A386" s="21" t="s">
        <v>363</v>
      </c>
      <c r="B386" s="21">
        <v>1.44E-2</v>
      </c>
      <c r="C386" s="21" t="s">
        <v>362</v>
      </c>
      <c r="D386" s="21"/>
      <c r="E386" s="21" t="s">
        <v>78</v>
      </c>
      <c r="F386" s="21" t="s">
        <v>171</v>
      </c>
      <c r="G386" s="21" t="s">
        <v>173</v>
      </c>
      <c r="H386" s="21"/>
      <c r="I386" s="21"/>
      <c r="J386" s="21"/>
    </row>
    <row r="387" spans="1:10" x14ac:dyDescent="0.3">
      <c r="A387" s="21" t="s">
        <v>364</v>
      </c>
      <c r="B387" s="21">
        <v>0.25</v>
      </c>
      <c r="C387" s="21" t="s">
        <v>362</v>
      </c>
      <c r="D387" s="21"/>
      <c r="E387" s="21" t="s">
        <v>365</v>
      </c>
      <c r="F387" s="21" t="s">
        <v>366</v>
      </c>
      <c r="G387" s="21" t="s">
        <v>173</v>
      </c>
      <c r="H387" s="21"/>
      <c r="I387" s="21"/>
      <c r="J387" s="21"/>
    </row>
    <row r="388" spans="1:10" x14ac:dyDescent="0.3">
      <c r="A388" s="21" t="s">
        <v>358</v>
      </c>
      <c r="B388" s="21">
        <v>1</v>
      </c>
      <c r="C388" s="21" t="s">
        <v>367</v>
      </c>
      <c r="D388" s="21" t="s">
        <v>94</v>
      </c>
      <c r="E388" s="21" t="s">
        <v>78</v>
      </c>
      <c r="F388" s="21"/>
      <c r="G388" s="21" t="s">
        <v>85</v>
      </c>
      <c r="H388" s="21" t="s">
        <v>358</v>
      </c>
      <c r="I388" s="21"/>
      <c r="J388" s="21"/>
    </row>
    <row r="389" spans="1:10" x14ac:dyDescent="0.3">
      <c r="A389" s="21" t="s">
        <v>368</v>
      </c>
      <c r="B389" s="21">
        <v>0.752</v>
      </c>
      <c r="C389" s="21" t="s">
        <v>369</v>
      </c>
      <c r="D389" s="21" t="s">
        <v>94</v>
      </c>
      <c r="E389" s="21" t="s">
        <v>78</v>
      </c>
      <c r="F389" s="21"/>
      <c r="G389" s="21" t="s">
        <v>91</v>
      </c>
      <c r="H389" s="21" t="s">
        <v>370</v>
      </c>
      <c r="I389" s="21"/>
      <c r="J389" s="21"/>
    </row>
    <row r="390" spans="1:10" x14ac:dyDescent="0.3">
      <c r="A390" s="21" t="s">
        <v>371</v>
      </c>
      <c r="B390" s="21">
        <v>0.01</v>
      </c>
      <c r="C390" s="21" t="s">
        <v>369</v>
      </c>
      <c r="D390" s="21" t="s">
        <v>98</v>
      </c>
      <c r="E390" s="21" t="s">
        <v>78</v>
      </c>
      <c r="F390" s="21"/>
      <c r="G390" s="21" t="s">
        <v>91</v>
      </c>
      <c r="H390" s="21" t="s">
        <v>372</v>
      </c>
      <c r="I390" s="21"/>
      <c r="J390" s="21"/>
    </row>
    <row r="391" spans="1:10" x14ac:dyDescent="0.3">
      <c r="A391" s="21" t="s">
        <v>373</v>
      </c>
      <c r="B391" s="21">
        <v>2.7300000000000001E-2</v>
      </c>
      <c r="C391" s="21" t="s">
        <v>369</v>
      </c>
      <c r="D391" s="21" t="s">
        <v>98</v>
      </c>
      <c r="E391" s="21" t="s">
        <v>78</v>
      </c>
      <c r="F391" s="21"/>
      <c r="G391" s="21" t="s">
        <v>91</v>
      </c>
      <c r="H391" s="21" t="s">
        <v>374</v>
      </c>
      <c r="I391" s="21"/>
      <c r="J391" s="21"/>
    </row>
    <row r="392" spans="1:10" x14ac:dyDescent="0.3">
      <c r="A392" s="21" t="s">
        <v>375</v>
      </c>
      <c r="B392" s="21">
        <v>5.0400000000000002E-3</v>
      </c>
      <c r="C392" s="21" t="s">
        <v>369</v>
      </c>
      <c r="D392" s="21" t="s">
        <v>98</v>
      </c>
      <c r="E392" s="21" t="s">
        <v>78</v>
      </c>
      <c r="F392" s="21"/>
      <c r="G392" s="21" t="s">
        <v>91</v>
      </c>
      <c r="H392" s="21" t="s">
        <v>376</v>
      </c>
      <c r="I392" s="21"/>
      <c r="J392" s="21"/>
    </row>
    <row r="393" spans="1:10" x14ac:dyDescent="0.3">
      <c r="A393" s="21" t="s">
        <v>377</v>
      </c>
      <c r="B393" s="21">
        <v>0.251</v>
      </c>
      <c r="C393" s="21" t="s">
        <v>369</v>
      </c>
      <c r="D393" s="21" t="s">
        <v>98</v>
      </c>
      <c r="E393" s="21" t="s">
        <v>78</v>
      </c>
      <c r="F393" s="21"/>
      <c r="G393" s="21" t="s">
        <v>91</v>
      </c>
      <c r="H393" s="21" t="s">
        <v>378</v>
      </c>
      <c r="I393" s="21"/>
      <c r="J393" s="21"/>
    </row>
    <row r="394" spans="1:10" x14ac:dyDescent="0.3">
      <c r="A394" s="21" t="s">
        <v>379</v>
      </c>
      <c r="B394" s="21">
        <v>1.8</v>
      </c>
      <c r="C394" s="21" t="s">
        <v>369</v>
      </c>
      <c r="D394" s="21" t="s">
        <v>242</v>
      </c>
      <c r="E394" s="21" t="s">
        <v>78</v>
      </c>
      <c r="F394" s="21"/>
      <c r="G394" s="21" t="s">
        <v>91</v>
      </c>
      <c r="H394" s="21" t="s">
        <v>380</v>
      </c>
      <c r="I394" s="21"/>
      <c r="J394" s="21"/>
    </row>
    <row r="395" spans="1:10" x14ac:dyDescent="0.3">
      <c r="A395" s="21" t="s">
        <v>247</v>
      </c>
      <c r="B395" s="21">
        <v>0.55000000000000004</v>
      </c>
      <c r="C395" s="21" t="s">
        <v>369</v>
      </c>
      <c r="D395" s="21" t="s">
        <v>94</v>
      </c>
      <c r="E395" s="21" t="s">
        <v>101</v>
      </c>
      <c r="F395" s="21"/>
      <c r="G395" s="21" t="s">
        <v>91</v>
      </c>
      <c r="H395" s="21" t="s">
        <v>129</v>
      </c>
      <c r="I395" s="21"/>
      <c r="J395" s="21"/>
    </row>
    <row r="396" spans="1:10" x14ac:dyDescent="0.3">
      <c r="A396" s="21" t="s">
        <v>381</v>
      </c>
      <c r="B396" s="21">
        <v>13.75</v>
      </c>
      <c r="C396" s="21" t="s">
        <v>369</v>
      </c>
      <c r="D396" s="21" t="s">
        <v>94</v>
      </c>
      <c r="E396" s="21" t="s">
        <v>206</v>
      </c>
      <c r="F396" s="21"/>
      <c r="G396" s="21" t="s">
        <v>91</v>
      </c>
      <c r="H396" s="21" t="s">
        <v>382</v>
      </c>
      <c r="I396" s="21"/>
      <c r="J396" s="21"/>
    </row>
    <row r="397" spans="1:10" x14ac:dyDescent="0.3">
      <c r="A397" s="21" t="s">
        <v>383</v>
      </c>
      <c r="B397" s="21">
        <v>-1.8</v>
      </c>
      <c r="C397" s="21" t="s">
        <v>369</v>
      </c>
      <c r="D397" s="21" t="s">
        <v>242</v>
      </c>
      <c r="E397" s="21" t="s">
        <v>365</v>
      </c>
      <c r="F397" s="21"/>
      <c r="G397" s="21" t="s">
        <v>91</v>
      </c>
      <c r="H397" s="21" t="s">
        <v>384</v>
      </c>
      <c r="I397" s="21"/>
      <c r="J397" s="21"/>
    </row>
    <row r="398" spans="1:10" x14ac:dyDescent="0.3">
      <c r="A398" s="21"/>
      <c r="B398" s="21"/>
      <c r="C398" s="21"/>
      <c r="D398" s="21"/>
      <c r="E398" s="21"/>
      <c r="F398" s="21"/>
      <c r="G398" s="21"/>
      <c r="H398" s="21"/>
      <c r="I398" s="21"/>
      <c r="J398" s="21"/>
    </row>
    <row r="399" spans="1:10" ht="15.6" x14ac:dyDescent="0.3">
      <c r="A399" s="11" t="s">
        <v>72</v>
      </c>
      <c r="B399" s="11" t="s">
        <v>250</v>
      </c>
      <c r="C399" s="21"/>
      <c r="D399" s="21"/>
      <c r="E399" s="21"/>
      <c r="F399" s="21"/>
      <c r="G399" s="21"/>
      <c r="H399" s="21"/>
      <c r="I399" s="21"/>
      <c r="J399" s="21"/>
    </row>
    <row r="400" spans="1:10" x14ac:dyDescent="0.3">
      <c r="A400" s="21" t="s">
        <v>202</v>
      </c>
      <c r="B400" s="21" t="s">
        <v>385</v>
      </c>
      <c r="C400" s="21"/>
      <c r="D400" s="21"/>
      <c r="E400" s="21"/>
      <c r="F400" s="21"/>
      <c r="G400" s="21"/>
      <c r="H400" s="21"/>
      <c r="I400" s="21"/>
      <c r="J400" s="21"/>
    </row>
    <row r="401" spans="1:10" x14ac:dyDescent="0.3">
      <c r="A401" s="21" t="s">
        <v>84</v>
      </c>
      <c r="B401" s="21" t="s">
        <v>86</v>
      </c>
      <c r="C401" s="21"/>
      <c r="D401" s="21"/>
      <c r="E401" s="21"/>
      <c r="F401" s="21"/>
      <c r="G401" s="21"/>
      <c r="H401" s="21"/>
      <c r="I401" s="21"/>
      <c r="J401" s="21"/>
    </row>
    <row r="402" spans="1:10" x14ac:dyDescent="0.3">
      <c r="A402" s="21" t="s">
        <v>73</v>
      </c>
      <c r="B402" s="21" t="s">
        <v>98</v>
      </c>
      <c r="C402" s="21"/>
      <c r="D402" s="21"/>
      <c r="E402" s="21"/>
      <c r="F402" s="21"/>
      <c r="G402" s="21"/>
      <c r="H402" s="21"/>
      <c r="I402" s="21"/>
      <c r="J402" s="21"/>
    </row>
    <row r="403" spans="1:10" x14ac:dyDescent="0.3">
      <c r="A403" s="21" t="s">
        <v>186</v>
      </c>
      <c r="B403" s="21">
        <v>1</v>
      </c>
      <c r="C403" s="21"/>
      <c r="D403" s="21"/>
      <c r="E403" s="21"/>
      <c r="F403" s="21"/>
      <c r="G403" s="21"/>
      <c r="H403" s="21"/>
      <c r="I403" s="21"/>
      <c r="J403" s="21"/>
    </row>
    <row r="404" spans="1:10" x14ac:dyDescent="0.3">
      <c r="A404" s="21" t="s">
        <v>74</v>
      </c>
      <c r="B404" s="21" t="s">
        <v>250</v>
      </c>
      <c r="C404" s="21"/>
      <c r="D404" s="21"/>
      <c r="E404" s="21"/>
      <c r="F404" s="21"/>
      <c r="G404" s="21"/>
      <c r="H404" s="21"/>
      <c r="I404" s="21"/>
      <c r="J404" s="21"/>
    </row>
    <row r="405" spans="1:10" x14ac:dyDescent="0.3">
      <c r="A405" s="21" t="s">
        <v>77</v>
      </c>
      <c r="B405" s="21" t="s">
        <v>78</v>
      </c>
      <c r="C405" s="21"/>
      <c r="D405" s="21"/>
      <c r="E405" s="21"/>
      <c r="F405" s="21"/>
      <c r="G405" s="21"/>
      <c r="H405" s="21"/>
      <c r="I405" s="21"/>
      <c r="J405" s="21"/>
    </row>
    <row r="406" spans="1:10" x14ac:dyDescent="0.3">
      <c r="A406" s="21" t="s">
        <v>204</v>
      </c>
      <c r="B406" s="21" t="s">
        <v>187</v>
      </c>
      <c r="C406" s="21"/>
      <c r="D406" s="21"/>
      <c r="E406" s="21"/>
      <c r="F406" s="21"/>
      <c r="G406" s="21"/>
      <c r="H406" s="21"/>
      <c r="I406" s="21"/>
      <c r="J406" s="21"/>
    </row>
    <row r="407" spans="1:10" ht="15.6" x14ac:dyDescent="0.3">
      <c r="A407" s="11" t="s">
        <v>80</v>
      </c>
      <c r="B407" s="21"/>
      <c r="C407" s="21"/>
      <c r="D407" s="21"/>
      <c r="E407" s="21"/>
      <c r="F407" s="21"/>
      <c r="G407" s="21"/>
      <c r="H407" s="21"/>
      <c r="I407" s="21"/>
      <c r="J407" s="21"/>
    </row>
    <row r="408" spans="1:10" x14ac:dyDescent="0.3">
      <c r="A408" s="21" t="s">
        <v>81</v>
      </c>
      <c r="B408" s="21" t="s">
        <v>82</v>
      </c>
      <c r="C408" s="21" t="s">
        <v>188</v>
      </c>
      <c r="D408" s="21" t="s">
        <v>73</v>
      </c>
      <c r="E408" s="21" t="s">
        <v>77</v>
      </c>
      <c r="F408" s="21" t="s">
        <v>75</v>
      </c>
      <c r="G408" s="21"/>
      <c r="H408" s="21"/>
      <c r="I408" s="21"/>
      <c r="J408" s="21"/>
    </row>
    <row r="409" spans="1:10" x14ac:dyDescent="0.3">
      <c r="A409" s="21" t="s">
        <v>250</v>
      </c>
      <c r="B409" s="21">
        <v>1</v>
      </c>
      <c r="C409" s="21" t="s">
        <v>187</v>
      </c>
      <c r="D409" s="21" t="s">
        <v>98</v>
      </c>
      <c r="E409" s="21" t="s">
        <v>78</v>
      </c>
      <c r="F409" s="21" t="s">
        <v>85</v>
      </c>
      <c r="G409" s="21"/>
      <c r="H409" s="21"/>
      <c r="I409" s="21"/>
      <c r="J409" s="21"/>
    </row>
    <row r="410" spans="1:10" x14ac:dyDescent="0.3">
      <c r="A410" s="21" t="s">
        <v>386</v>
      </c>
      <c r="B410" s="21">
        <v>0.4</v>
      </c>
      <c r="C410" s="21" t="s">
        <v>187</v>
      </c>
      <c r="D410" s="21" t="s">
        <v>98</v>
      </c>
      <c r="E410" s="21" t="s">
        <v>78</v>
      </c>
      <c r="F410" s="21" t="s">
        <v>91</v>
      </c>
      <c r="G410" s="21"/>
      <c r="H410" s="21"/>
      <c r="I410" s="21"/>
      <c r="J410" s="21"/>
    </row>
    <row r="411" spans="1:10" x14ac:dyDescent="0.3">
      <c r="A411" s="21" t="s">
        <v>387</v>
      </c>
      <c r="B411" s="21">
        <v>0.22</v>
      </c>
      <c r="C411" s="21" t="s">
        <v>187</v>
      </c>
      <c r="D411" s="21" t="s">
        <v>98</v>
      </c>
      <c r="E411" s="21" t="s">
        <v>78</v>
      </c>
      <c r="F411" s="21" t="s">
        <v>91</v>
      </c>
      <c r="G411" s="21"/>
      <c r="H411" s="21"/>
      <c r="I411" s="21"/>
      <c r="J411" s="21"/>
    </row>
    <row r="412" spans="1:10" x14ac:dyDescent="0.3">
      <c r="A412" s="21" t="s">
        <v>388</v>
      </c>
      <c r="B412" s="21">
        <v>0.38</v>
      </c>
      <c r="C412" s="21" t="s">
        <v>187</v>
      </c>
      <c r="D412" s="21" t="s">
        <v>98</v>
      </c>
      <c r="E412" s="21" t="s">
        <v>78</v>
      </c>
      <c r="F412" s="21" t="s">
        <v>91</v>
      </c>
      <c r="G412" s="21"/>
      <c r="H412" s="21"/>
      <c r="I412" s="21"/>
      <c r="J412" s="21"/>
    </row>
    <row r="413" spans="1:10" x14ac:dyDescent="0.3">
      <c r="A413" s="21"/>
      <c r="B413" s="21"/>
      <c r="C413" s="21"/>
      <c r="D413" s="21"/>
      <c r="E413" s="21"/>
      <c r="F413" s="21"/>
      <c r="G413" s="21"/>
      <c r="H413" s="21"/>
      <c r="I413" s="21"/>
      <c r="J413" s="21"/>
    </row>
    <row r="414" spans="1:10" ht="15.6" x14ac:dyDescent="0.3">
      <c r="A414" s="11" t="s">
        <v>72</v>
      </c>
      <c r="B414" s="11" t="s">
        <v>386</v>
      </c>
      <c r="C414" s="21"/>
      <c r="D414" s="21"/>
      <c r="E414" s="21"/>
      <c r="F414" s="21"/>
      <c r="G414" s="21"/>
      <c r="H414" s="21"/>
      <c r="I414" s="21"/>
      <c r="J414" s="21"/>
    </row>
    <row r="415" spans="1:10" x14ac:dyDescent="0.3">
      <c r="A415" s="21" t="s">
        <v>202</v>
      </c>
      <c r="B415" s="21" t="s">
        <v>389</v>
      </c>
      <c r="C415" s="21"/>
      <c r="D415" s="21"/>
      <c r="E415" s="21"/>
      <c r="F415" s="21"/>
      <c r="G415" s="21"/>
      <c r="H415" s="21"/>
      <c r="I415" s="21"/>
      <c r="J415" s="21"/>
    </row>
    <row r="416" spans="1:10" x14ac:dyDescent="0.3">
      <c r="A416" s="21" t="s">
        <v>84</v>
      </c>
      <c r="B416" s="21" t="s">
        <v>86</v>
      </c>
      <c r="C416" s="21"/>
      <c r="D416" s="21"/>
      <c r="E416" s="21"/>
      <c r="F416" s="21"/>
      <c r="G416" s="21"/>
      <c r="H416" s="21"/>
      <c r="I416" s="21"/>
      <c r="J416" s="21"/>
    </row>
    <row r="417" spans="1:10" x14ac:dyDescent="0.3">
      <c r="A417" s="21" t="s">
        <v>73</v>
      </c>
      <c r="B417" s="21" t="s">
        <v>98</v>
      </c>
      <c r="C417" s="21"/>
      <c r="D417" s="21"/>
      <c r="E417" s="21"/>
      <c r="F417" s="21"/>
      <c r="G417" s="21"/>
      <c r="H417" s="21"/>
      <c r="I417" s="21"/>
      <c r="J417" s="21"/>
    </row>
    <row r="418" spans="1:10" x14ac:dyDescent="0.3">
      <c r="A418" s="21" t="s">
        <v>186</v>
      </c>
      <c r="B418" s="21">
        <v>1</v>
      </c>
      <c r="C418" s="21"/>
      <c r="D418" s="21"/>
      <c r="E418" s="21"/>
      <c r="F418" s="21"/>
      <c r="G418" s="21"/>
      <c r="H418" s="21"/>
      <c r="I418" s="21"/>
      <c r="J418" s="21"/>
    </row>
    <row r="419" spans="1:10" x14ac:dyDescent="0.3">
      <c r="A419" s="21" t="s">
        <v>74</v>
      </c>
      <c r="B419" s="21" t="s">
        <v>386</v>
      </c>
      <c r="C419" s="21"/>
      <c r="D419" s="21"/>
      <c r="E419" s="21"/>
      <c r="F419" s="21"/>
      <c r="G419" s="21"/>
      <c r="H419" s="21"/>
      <c r="I419" s="21"/>
      <c r="J419" s="21"/>
    </row>
    <row r="420" spans="1:10" x14ac:dyDescent="0.3">
      <c r="A420" s="21" t="s">
        <v>77</v>
      </c>
      <c r="B420" s="21" t="s">
        <v>78</v>
      </c>
      <c r="C420" s="21"/>
      <c r="D420" s="21"/>
      <c r="E420" s="21"/>
      <c r="F420" s="21"/>
      <c r="G420" s="21"/>
      <c r="H420" s="21"/>
      <c r="I420" s="21"/>
      <c r="J420" s="21"/>
    </row>
    <row r="421" spans="1:10" x14ac:dyDescent="0.3">
      <c r="A421" s="21" t="s">
        <v>204</v>
      </c>
      <c r="B421" s="21" t="s">
        <v>187</v>
      </c>
      <c r="C421" s="21"/>
      <c r="D421" s="21"/>
      <c r="E421" s="21"/>
      <c r="F421" s="21"/>
      <c r="G421" s="21"/>
      <c r="H421" s="21"/>
      <c r="I421" s="21"/>
      <c r="J421" s="21"/>
    </row>
    <row r="422" spans="1:10" ht="15.6" x14ac:dyDescent="0.3">
      <c r="A422" s="11" t="s">
        <v>80</v>
      </c>
      <c r="B422" s="21"/>
      <c r="C422" s="21"/>
      <c r="D422" s="21"/>
      <c r="E422" s="21"/>
      <c r="F422" s="21"/>
      <c r="G422" s="21"/>
      <c r="H422" s="21"/>
      <c r="I422" s="21"/>
      <c r="J422" s="21"/>
    </row>
    <row r="423" spans="1:10" x14ac:dyDescent="0.3">
      <c r="A423" s="21" t="s">
        <v>81</v>
      </c>
      <c r="B423" s="21" t="s">
        <v>82</v>
      </c>
      <c r="C423" s="21" t="s">
        <v>188</v>
      </c>
      <c r="D423" s="21" t="s">
        <v>73</v>
      </c>
      <c r="E423" s="21" t="s">
        <v>77</v>
      </c>
      <c r="F423" s="21" t="s">
        <v>75</v>
      </c>
      <c r="G423" s="21" t="s">
        <v>248</v>
      </c>
      <c r="H423" s="21" t="s">
        <v>74</v>
      </c>
      <c r="I423" s="21"/>
      <c r="J423" s="21"/>
    </row>
    <row r="424" spans="1:10" x14ac:dyDescent="0.3">
      <c r="A424" s="21" t="s">
        <v>386</v>
      </c>
      <c r="B424" s="21">
        <v>1</v>
      </c>
      <c r="C424" s="21" t="s">
        <v>187</v>
      </c>
      <c r="D424" s="21" t="s">
        <v>98</v>
      </c>
      <c r="E424" s="21" t="s">
        <v>78</v>
      </c>
      <c r="F424" s="21" t="s">
        <v>85</v>
      </c>
      <c r="G424" s="21"/>
      <c r="H424" s="21"/>
      <c r="I424" s="21"/>
      <c r="J424" s="21"/>
    </row>
    <row r="425" spans="1:10" x14ac:dyDescent="0.3">
      <c r="A425" s="21" t="s">
        <v>216</v>
      </c>
      <c r="B425" s="21">
        <v>1</v>
      </c>
      <c r="C425" s="21" t="s">
        <v>193</v>
      </c>
      <c r="D425" s="21" t="s">
        <v>98</v>
      </c>
      <c r="E425" s="21" t="s">
        <v>78</v>
      </c>
      <c r="F425" s="21" t="s">
        <v>91</v>
      </c>
      <c r="G425" s="21"/>
      <c r="H425" s="21" t="s">
        <v>217</v>
      </c>
      <c r="I425" s="21"/>
      <c r="J425" s="21"/>
    </row>
    <row r="426" spans="1:10" x14ac:dyDescent="0.3">
      <c r="A426" s="21" t="s">
        <v>218</v>
      </c>
      <c r="B426" s="21">
        <v>7.7000000000000006E-11</v>
      </c>
      <c r="C426" s="21" t="s">
        <v>193</v>
      </c>
      <c r="D426" s="21" t="s">
        <v>98</v>
      </c>
      <c r="E426" s="21" t="s">
        <v>77</v>
      </c>
      <c r="F426" s="21" t="s">
        <v>91</v>
      </c>
      <c r="G426" s="21"/>
      <c r="H426" s="21" t="s">
        <v>219</v>
      </c>
      <c r="I426" s="21"/>
      <c r="J426" s="21"/>
    </row>
    <row r="427" spans="1:10" x14ac:dyDescent="0.3">
      <c r="A427" s="21" t="s">
        <v>292</v>
      </c>
      <c r="B427" s="21">
        <v>0.47</v>
      </c>
      <c r="C427" s="21" t="s">
        <v>193</v>
      </c>
      <c r="D427" s="21" t="s">
        <v>98</v>
      </c>
      <c r="E427" s="21" t="s">
        <v>78</v>
      </c>
      <c r="F427" s="21" t="s">
        <v>91</v>
      </c>
      <c r="G427" s="21"/>
      <c r="H427" s="21" t="s">
        <v>293</v>
      </c>
      <c r="I427" s="21"/>
      <c r="J427" s="21"/>
    </row>
    <row r="428" spans="1:10" x14ac:dyDescent="0.3">
      <c r="A428" s="21" t="s">
        <v>328</v>
      </c>
      <c r="B428" s="21">
        <v>0.08</v>
      </c>
      <c r="C428" s="21" t="s">
        <v>193</v>
      </c>
      <c r="D428" s="21" t="s">
        <v>242</v>
      </c>
      <c r="E428" s="21" t="s">
        <v>78</v>
      </c>
      <c r="F428" s="21" t="s">
        <v>91</v>
      </c>
      <c r="G428" s="21"/>
      <c r="H428" s="21" t="s">
        <v>329</v>
      </c>
      <c r="I428" s="21"/>
      <c r="J428" s="21"/>
    </row>
    <row r="429" spans="1:10" x14ac:dyDescent="0.3">
      <c r="A429" s="21" t="s">
        <v>390</v>
      </c>
      <c r="B429" s="21">
        <v>2.5000000000000001E-2</v>
      </c>
      <c r="C429" s="21" t="s">
        <v>193</v>
      </c>
      <c r="D429" s="21" t="s">
        <v>98</v>
      </c>
      <c r="E429" s="21" t="s">
        <v>78</v>
      </c>
      <c r="F429" s="21" t="s">
        <v>91</v>
      </c>
      <c r="G429" s="21"/>
      <c r="H429" s="21" t="s">
        <v>391</v>
      </c>
      <c r="I429" s="21"/>
      <c r="J429" s="21"/>
    </row>
    <row r="430" spans="1:10" x14ac:dyDescent="0.3">
      <c r="A430" s="21" t="s">
        <v>300</v>
      </c>
      <c r="B430" s="21">
        <v>3.4999999999999998E-10</v>
      </c>
      <c r="C430" s="21" t="s">
        <v>193</v>
      </c>
      <c r="D430" s="21" t="s">
        <v>98</v>
      </c>
      <c r="E430" s="21" t="s">
        <v>77</v>
      </c>
      <c r="F430" s="21" t="s">
        <v>91</v>
      </c>
      <c r="G430" s="21"/>
      <c r="H430" s="21" t="s">
        <v>301</v>
      </c>
      <c r="I430" s="21"/>
      <c r="J430" s="21"/>
    </row>
    <row r="431" spans="1:10" x14ac:dyDescent="0.3">
      <c r="A431" s="21" t="s">
        <v>330</v>
      </c>
      <c r="B431" s="21">
        <v>7.8E-2</v>
      </c>
      <c r="C431" s="21" t="s">
        <v>193</v>
      </c>
      <c r="D431" s="21" t="s">
        <v>98</v>
      </c>
      <c r="E431" s="21" t="s">
        <v>78</v>
      </c>
      <c r="F431" s="21" t="s">
        <v>91</v>
      </c>
      <c r="G431" s="21" t="s">
        <v>392</v>
      </c>
      <c r="H431" s="21" t="s">
        <v>331</v>
      </c>
      <c r="I431" s="21"/>
      <c r="J431" s="21"/>
    </row>
    <row r="432" spans="1:10" x14ac:dyDescent="0.3">
      <c r="A432" s="21" t="s">
        <v>393</v>
      </c>
      <c r="B432" s="21">
        <v>0.32</v>
      </c>
      <c r="C432" s="21" t="s">
        <v>193</v>
      </c>
      <c r="D432" s="21" t="s">
        <v>98</v>
      </c>
      <c r="E432" s="21" t="s">
        <v>78</v>
      </c>
      <c r="F432" s="21" t="s">
        <v>91</v>
      </c>
      <c r="G432" s="21"/>
      <c r="H432" s="21" t="s">
        <v>394</v>
      </c>
      <c r="I432" s="21"/>
      <c r="J432" s="21"/>
    </row>
    <row r="433" spans="1:10" x14ac:dyDescent="0.3">
      <c r="A433" s="21" t="s">
        <v>220</v>
      </c>
      <c r="B433" s="21">
        <v>0.5</v>
      </c>
      <c r="C433" s="21" t="s">
        <v>193</v>
      </c>
      <c r="D433" s="21" t="s">
        <v>98</v>
      </c>
      <c r="E433" s="21" t="s">
        <v>78</v>
      </c>
      <c r="F433" s="21" t="s">
        <v>91</v>
      </c>
      <c r="G433" s="21"/>
      <c r="H433" s="21" t="s">
        <v>221</v>
      </c>
      <c r="I433" s="21"/>
      <c r="J433" s="21"/>
    </row>
    <row r="434" spans="1:10" x14ac:dyDescent="0.3">
      <c r="A434" s="21"/>
      <c r="B434" s="21"/>
      <c r="C434" s="21"/>
      <c r="D434" s="21"/>
      <c r="E434" s="21"/>
      <c r="F434" s="21"/>
      <c r="G434" s="21"/>
      <c r="H434" s="21"/>
      <c r="I434" s="21"/>
      <c r="J434" s="21"/>
    </row>
    <row r="435" spans="1:10" ht="15.6" x14ac:dyDescent="0.3">
      <c r="A435" s="11" t="s">
        <v>72</v>
      </c>
      <c r="B435" s="11" t="s">
        <v>387</v>
      </c>
      <c r="C435" s="21"/>
      <c r="D435" s="21"/>
      <c r="E435" s="21"/>
      <c r="F435" s="21"/>
      <c r="G435" s="21"/>
      <c r="H435" s="21"/>
      <c r="I435" s="21"/>
      <c r="J435" s="21"/>
    </row>
    <row r="436" spans="1:10" x14ac:dyDescent="0.3">
      <c r="A436" s="21" t="s">
        <v>202</v>
      </c>
      <c r="B436" s="21" t="s">
        <v>395</v>
      </c>
      <c r="C436" s="21"/>
      <c r="D436" s="21"/>
      <c r="E436" s="21"/>
      <c r="F436" s="21"/>
      <c r="G436" s="21"/>
      <c r="H436" s="21"/>
      <c r="I436" s="21"/>
      <c r="J436" s="21"/>
    </row>
    <row r="437" spans="1:10" x14ac:dyDescent="0.3">
      <c r="A437" s="21" t="s">
        <v>84</v>
      </c>
      <c r="B437" s="21" t="s">
        <v>86</v>
      </c>
      <c r="C437" s="21"/>
      <c r="D437" s="21"/>
      <c r="E437" s="21"/>
      <c r="F437" s="21"/>
      <c r="G437" s="21"/>
      <c r="H437" s="21"/>
      <c r="I437" s="21"/>
      <c r="J437" s="21"/>
    </row>
    <row r="438" spans="1:10" x14ac:dyDescent="0.3">
      <c r="A438" s="21" t="s">
        <v>73</v>
      </c>
      <c r="B438" s="21" t="s">
        <v>98</v>
      </c>
      <c r="C438" s="21"/>
      <c r="D438" s="21"/>
      <c r="E438" s="21"/>
      <c r="F438" s="21"/>
      <c r="G438" s="21"/>
      <c r="H438" s="21"/>
      <c r="I438" s="21"/>
      <c r="J438" s="21"/>
    </row>
    <row r="439" spans="1:10" x14ac:dyDescent="0.3">
      <c r="A439" s="21" t="s">
        <v>186</v>
      </c>
      <c r="B439" s="21">
        <v>1</v>
      </c>
      <c r="C439" s="21"/>
      <c r="D439" s="21"/>
      <c r="E439" s="21"/>
      <c r="F439" s="21"/>
      <c r="G439" s="21"/>
      <c r="H439" s="21"/>
      <c r="I439" s="21"/>
      <c r="J439" s="21"/>
    </row>
    <row r="440" spans="1:10" x14ac:dyDescent="0.3">
      <c r="A440" s="21" t="s">
        <v>74</v>
      </c>
      <c r="B440" s="21" t="s">
        <v>387</v>
      </c>
      <c r="C440" s="21"/>
      <c r="D440" s="21"/>
      <c r="E440" s="21"/>
      <c r="F440" s="21"/>
      <c r="G440" s="21"/>
      <c r="H440" s="21"/>
      <c r="I440" s="21"/>
      <c r="J440" s="21"/>
    </row>
    <row r="441" spans="1:10" x14ac:dyDescent="0.3">
      <c r="A441" s="21" t="s">
        <v>77</v>
      </c>
      <c r="B441" s="21" t="s">
        <v>78</v>
      </c>
      <c r="C441" s="21"/>
      <c r="D441" s="21"/>
      <c r="E441" s="21"/>
      <c r="F441" s="21"/>
      <c r="G441" s="21"/>
      <c r="H441" s="21"/>
      <c r="I441" s="21"/>
      <c r="J441" s="21"/>
    </row>
    <row r="442" spans="1:10" x14ac:dyDescent="0.3">
      <c r="A442" s="21" t="s">
        <v>204</v>
      </c>
      <c r="B442" s="21" t="s">
        <v>187</v>
      </c>
      <c r="C442" s="21"/>
      <c r="D442" s="21"/>
      <c r="E442" s="21"/>
      <c r="F442" s="21"/>
      <c r="G442" s="21"/>
      <c r="H442" s="21"/>
      <c r="I442" s="21"/>
      <c r="J442" s="21"/>
    </row>
    <row r="443" spans="1:10" ht="15.6" x14ac:dyDescent="0.3">
      <c r="A443" s="11" t="s">
        <v>80</v>
      </c>
      <c r="B443" s="21"/>
      <c r="C443" s="21"/>
      <c r="D443" s="21"/>
      <c r="E443" s="21"/>
      <c r="F443" s="21"/>
      <c r="G443" s="21"/>
      <c r="H443" s="21"/>
      <c r="I443" s="21"/>
      <c r="J443" s="21"/>
    </row>
    <row r="444" spans="1:10" x14ac:dyDescent="0.3">
      <c r="A444" s="21" t="s">
        <v>81</v>
      </c>
      <c r="B444" s="21" t="s">
        <v>82</v>
      </c>
      <c r="C444" s="21" t="s">
        <v>188</v>
      </c>
      <c r="D444" s="21" t="s">
        <v>73</v>
      </c>
      <c r="E444" s="21" t="s">
        <v>77</v>
      </c>
      <c r="F444" s="21" t="s">
        <v>75</v>
      </c>
      <c r="G444" s="21" t="s">
        <v>74</v>
      </c>
      <c r="H444" s="21"/>
      <c r="I444" s="21"/>
      <c r="J444" s="21"/>
    </row>
    <row r="445" spans="1:10" x14ac:dyDescent="0.3">
      <c r="A445" s="21" t="s">
        <v>387</v>
      </c>
      <c r="B445" s="21">
        <v>1</v>
      </c>
      <c r="C445" s="21" t="s">
        <v>187</v>
      </c>
      <c r="D445" s="21" t="s">
        <v>98</v>
      </c>
      <c r="E445" s="21" t="s">
        <v>78</v>
      </c>
      <c r="F445" s="21" t="s">
        <v>85</v>
      </c>
      <c r="G445" s="21"/>
      <c r="H445" s="21"/>
      <c r="I445" s="21"/>
      <c r="J445" s="21"/>
    </row>
    <row r="446" spans="1:10" x14ac:dyDescent="0.3">
      <c r="A446" s="21" t="s">
        <v>216</v>
      </c>
      <c r="B446" s="21">
        <v>1</v>
      </c>
      <c r="C446" s="21" t="s">
        <v>193</v>
      </c>
      <c r="D446" s="21" t="s">
        <v>98</v>
      </c>
      <c r="E446" s="21" t="s">
        <v>78</v>
      </c>
      <c r="F446" s="21" t="s">
        <v>91</v>
      </c>
      <c r="G446" s="21" t="s">
        <v>217</v>
      </c>
      <c r="H446" s="21"/>
      <c r="I446" s="21"/>
      <c r="J446" s="21"/>
    </row>
    <row r="447" spans="1:10" x14ac:dyDescent="0.3">
      <c r="A447" s="21" t="s">
        <v>218</v>
      </c>
      <c r="B447" s="21">
        <v>1.5E-10</v>
      </c>
      <c r="C447" s="21" t="s">
        <v>193</v>
      </c>
      <c r="D447" s="21" t="s">
        <v>98</v>
      </c>
      <c r="E447" s="21" t="s">
        <v>77</v>
      </c>
      <c r="F447" s="21" t="s">
        <v>91</v>
      </c>
      <c r="G447" s="21" t="s">
        <v>219</v>
      </c>
      <c r="H447" s="21"/>
      <c r="I447" s="21"/>
      <c r="J447" s="21"/>
    </row>
    <row r="448" spans="1:10" x14ac:dyDescent="0.3">
      <c r="A448" s="21" t="s">
        <v>220</v>
      </c>
      <c r="B448" s="21">
        <v>1</v>
      </c>
      <c r="C448" s="21" t="s">
        <v>193</v>
      </c>
      <c r="D448" s="21" t="s">
        <v>98</v>
      </c>
      <c r="E448" s="21" t="s">
        <v>78</v>
      </c>
      <c r="F448" s="21" t="s">
        <v>91</v>
      </c>
      <c r="G448" s="21" t="s">
        <v>221</v>
      </c>
      <c r="H448" s="21"/>
      <c r="I448" s="21"/>
      <c r="J448" s="21"/>
    </row>
    <row r="449" spans="1:10" x14ac:dyDescent="0.3">
      <c r="A449" s="21"/>
      <c r="B449" s="21"/>
      <c r="C449" s="21"/>
      <c r="D449" s="21"/>
      <c r="E449" s="21"/>
      <c r="F449" s="21"/>
      <c r="G449" s="21"/>
      <c r="H449" s="21"/>
      <c r="I449" s="21"/>
      <c r="J449" s="21"/>
    </row>
    <row r="450" spans="1:10" ht="15.6" x14ac:dyDescent="0.3">
      <c r="A450" s="11" t="s">
        <v>72</v>
      </c>
      <c r="B450" s="11" t="s">
        <v>388</v>
      </c>
      <c r="C450" s="21"/>
      <c r="D450" s="21"/>
      <c r="E450" s="21"/>
      <c r="F450" s="21"/>
      <c r="G450" s="21"/>
      <c r="H450" s="21"/>
      <c r="I450" s="21"/>
      <c r="J450" s="21"/>
    </row>
    <row r="451" spans="1:10" x14ac:dyDescent="0.3">
      <c r="A451" s="21" t="s">
        <v>202</v>
      </c>
      <c r="B451" s="21" t="s">
        <v>396</v>
      </c>
      <c r="C451" s="21"/>
      <c r="D451" s="21"/>
      <c r="E451" s="21"/>
      <c r="F451" s="21"/>
      <c r="G451" s="21"/>
      <c r="H451" s="21"/>
      <c r="I451" s="21"/>
      <c r="J451" s="21"/>
    </row>
    <row r="452" spans="1:10" x14ac:dyDescent="0.3">
      <c r="A452" s="21" t="s">
        <v>84</v>
      </c>
      <c r="B452" s="21" t="s">
        <v>86</v>
      </c>
      <c r="C452" s="21"/>
      <c r="D452" s="21"/>
      <c r="E452" s="21"/>
      <c r="F452" s="21"/>
      <c r="G452" s="21"/>
      <c r="H452" s="21"/>
      <c r="I452" s="21"/>
      <c r="J452" s="21"/>
    </row>
    <row r="453" spans="1:10" x14ac:dyDescent="0.3">
      <c r="A453" s="21" t="s">
        <v>73</v>
      </c>
      <c r="B453" s="21" t="s">
        <v>98</v>
      </c>
      <c r="C453" s="21"/>
      <c r="D453" s="21"/>
      <c r="E453" s="21"/>
      <c r="F453" s="21"/>
      <c r="G453" s="21"/>
      <c r="H453" s="21"/>
      <c r="I453" s="21"/>
      <c r="J453" s="21"/>
    </row>
    <row r="454" spans="1:10" x14ac:dyDescent="0.3">
      <c r="A454" s="21" t="s">
        <v>186</v>
      </c>
      <c r="B454" s="21">
        <v>1</v>
      </c>
      <c r="C454" s="21"/>
      <c r="D454" s="21"/>
      <c r="E454" s="21"/>
      <c r="F454" s="21"/>
      <c r="G454" s="21"/>
      <c r="H454" s="21"/>
      <c r="I454" s="21"/>
      <c r="J454" s="21"/>
    </row>
    <row r="455" spans="1:10" x14ac:dyDescent="0.3">
      <c r="A455" s="21" t="s">
        <v>74</v>
      </c>
      <c r="B455" s="21" t="s">
        <v>388</v>
      </c>
      <c r="C455" s="21"/>
      <c r="D455" s="21"/>
      <c r="E455" s="21"/>
      <c r="F455" s="21"/>
      <c r="G455" s="21"/>
      <c r="H455" s="21"/>
      <c r="I455" s="21"/>
      <c r="J455" s="21"/>
    </row>
    <row r="456" spans="1:10" x14ac:dyDescent="0.3">
      <c r="A456" s="21" t="s">
        <v>77</v>
      </c>
      <c r="B456" s="21" t="s">
        <v>78</v>
      </c>
      <c r="C456" s="21"/>
      <c r="D456" s="21"/>
      <c r="E456" s="21"/>
      <c r="F456" s="21"/>
      <c r="G456" s="21"/>
      <c r="H456" s="21"/>
      <c r="I456" s="21"/>
      <c r="J456" s="21"/>
    </row>
    <row r="457" spans="1:10" x14ac:dyDescent="0.3">
      <c r="A457" s="21" t="s">
        <v>204</v>
      </c>
      <c r="B457" s="21" t="s">
        <v>187</v>
      </c>
      <c r="C457" s="21"/>
      <c r="D457" s="21"/>
      <c r="E457" s="21"/>
      <c r="F457" s="21"/>
      <c r="G457" s="21"/>
      <c r="H457" s="21"/>
      <c r="I457" s="21"/>
      <c r="J457" s="21"/>
    </row>
    <row r="458" spans="1:10" ht="15.6" x14ac:dyDescent="0.3">
      <c r="A458" s="11" t="s">
        <v>80</v>
      </c>
      <c r="B458" s="21"/>
      <c r="C458" s="21"/>
      <c r="D458" s="21"/>
      <c r="E458" s="21"/>
      <c r="F458" s="21"/>
      <c r="G458" s="21"/>
      <c r="H458" s="21"/>
      <c r="I458" s="21"/>
      <c r="J458" s="21"/>
    </row>
    <row r="459" spans="1:10" x14ac:dyDescent="0.3">
      <c r="A459" s="21" t="s">
        <v>81</v>
      </c>
      <c r="B459" s="21" t="s">
        <v>82</v>
      </c>
      <c r="C459" s="21" t="s">
        <v>188</v>
      </c>
      <c r="D459" s="21" t="s">
        <v>73</v>
      </c>
      <c r="E459" s="21" t="s">
        <v>77</v>
      </c>
      <c r="F459" s="21" t="s">
        <v>75</v>
      </c>
      <c r="G459" s="21" t="s">
        <v>74</v>
      </c>
      <c r="H459" s="21"/>
      <c r="I459" s="21"/>
      <c r="J459" s="21"/>
    </row>
    <row r="460" spans="1:10" x14ac:dyDescent="0.3">
      <c r="A460" s="21" t="s">
        <v>388</v>
      </c>
      <c r="B460" s="21">
        <v>1</v>
      </c>
      <c r="C460" s="21" t="s">
        <v>187</v>
      </c>
      <c r="D460" s="21" t="s">
        <v>98</v>
      </c>
      <c r="E460" s="21" t="s">
        <v>78</v>
      </c>
      <c r="F460" s="21" t="s">
        <v>85</v>
      </c>
      <c r="G460" s="21"/>
      <c r="H460" s="21"/>
      <c r="I460" s="21"/>
      <c r="J460" s="21"/>
    </row>
    <row r="461" spans="1:10" x14ac:dyDescent="0.3">
      <c r="A461" s="21" t="s">
        <v>290</v>
      </c>
      <c r="B461" s="21">
        <v>1</v>
      </c>
      <c r="C461" s="21" t="s">
        <v>193</v>
      </c>
      <c r="D461" s="21" t="s">
        <v>98</v>
      </c>
      <c r="E461" s="21" t="s">
        <v>78</v>
      </c>
      <c r="F461" s="21" t="s">
        <v>91</v>
      </c>
      <c r="G461" s="21" t="s">
        <v>291</v>
      </c>
      <c r="H461" s="21"/>
      <c r="I461" s="21"/>
      <c r="J461" s="21"/>
    </row>
    <row r="462" spans="1:10" x14ac:dyDescent="0.3">
      <c r="A462" s="21" t="s">
        <v>294</v>
      </c>
      <c r="B462" s="21">
        <v>4.6000000000000001E-10</v>
      </c>
      <c r="C462" s="21" t="s">
        <v>193</v>
      </c>
      <c r="D462" s="21" t="s">
        <v>98</v>
      </c>
      <c r="E462" s="21" t="s">
        <v>77</v>
      </c>
      <c r="F462" s="21" t="s">
        <v>91</v>
      </c>
      <c r="G462" s="21" t="s">
        <v>295</v>
      </c>
      <c r="H462" s="21"/>
      <c r="I462" s="21"/>
      <c r="J462" s="21"/>
    </row>
    <row r="463" spans="1:10" x14ac:dyDescent="0.3">
      <c r="A463" s="21" t="s">
        <v>336</v>
      </c>
      <c r="B463" s="21">
        <v>1</v>
      </c>
      <c r="C463" s="21" t="s">
        <v>193</v>
      </c>
      <c r="D463" s="21" t="s">
        <v>98</v>
      </c>
      <c r="E463" s="21" t="s">
        <v>78</v>
      </c>
      <c r="F463" s="21" t="s">
        <v>91</v>
      </c>
      <c r="G463" s="21" t="s">
        <v>337</v>
      </c>
      <c r="H463" s="21"/>
      <c r="I463" s="21"/>
      <c r="J463" s="21"/>
    </row>
    <row r="464" spans="1:10" x14ac:dyDescent="0.3">
      <c r="A464" s="21"/>
      <c r="B464" s="21"/>
      <c r="C464" s="21"/>
      <c r="D464" s="21"/>
      <c r="E464" s="21"/>
      <c r="F464" s="21"/>
      <c r="G464" s="21"/>
      <c r="H464" s="21"/>
      <c r="I464" s="21"/>
      <c r="J464" s="21"/>
    </row>
    <row r="465" spans="1:10" ht="15.6" x14ac:dyDescent="0.3">
      <c r="A465" s="11" t="s">
        <v>72</v>
      </c>
      <c r="B465" s="11" t="s">
        <v>238</v>
      </c>
      <c r="C465" s="21"/>
      <c r="D465" s="21"/>
      <c r="E465" s="21"/>
      <c r="F465" s="21"/>
      <c r="G465" s="21"/>
      <c r="H465" s="21"/>
      <c r="I465" s="21"/>
      <c r="J465" s="21"/>
    </row>
    <row r="466" spans="1:10" x14ac:dyDescent="0.3">
      <c r="A466" s="21" t="s">
        <v>202</v>
      </c>
      <c r="B466" s="21" t="s">
        <v>397</v>
      </c>
      <c r="C466" s="21"/>
      <c r="D466" s="21"/>
      <c r="E466" s="21"/>
      <c r="F466" s="21"/>
      <c r="G466" s="21"/>
      <c r="H466" s="21"/>
      <c r="I466" s="21"/>
      <c r="J466" s="21"/>
    </row>
    <row r="467" spans="1:10" x14ac:dyDescent="0.3">
      <c r="A467" s="21" t="s">
        <v>84</v>
      </c>
      <c r="B467" s="21" t="s">
        <v>86</v>
      </c>
      <c r="C467" s="21"/>
      <c r="D467" s="21"/>
      <c r="E467" s="21"/>
      <c r="F467" s="21"/>
      <c r="G467" s="21"/>
      <c r="H467" s="21"/>
      <c r="I467" s="21"/>
      <c r="J467" s="21"/>
    </row>
    <row r="468" spans="1:10" x14ac:dyDescent="0.3">
      <c r="A468" s="21" t="s">
        <v>73</v>
      </c>
      <c r="B468" s="21" t="s">
        <v>98</v>
      </c>
      <c r="C468" s="21"/>
      <c r="D468" s="21"/>
      <c r="E468" s="21"/>
      <c r="F468" s="21"/>
      <c r="G468" s="21"/>
      <c r="H468" s="21"/>
      <c r="I468" s="21"/>
      <c r="J468" s="21"/>
    </row>
    <row r="469" spans="1:10" x14ac:dyDescent="0.3">
      <c r="A469" s="21" t="s">
        <v>186</v>
      </c>
      <c r="B469" s="21">
        <v>1</v>
      </c>
      <c r="C469" s="21"/>
      <c r="D469" s="21"/>
      <c r="E469" s="21"/>
      <c r="F469" s="21"/>
      <c r="G469" s="21"/>
      <c r="H469" s="21"/>
      <c r="I469" s="21"/>
      <c r="J469" s="21"/>
    </row>
    <row r="470" spans="1:10" x14ac:dyDescent="0.3">
      <c r="A470" s="21" t="s">
        <v>74</v>
      </c>
      <c r="B470" s="21" t="s">
        <v>238</v>
      </c>
      <c r="C470" s="21"/>
      <c r="D470" s="21"/>
      <c r="E470" s="21"/>
      <c r="F470" s="21"/>
      <c r="G470" s="21"/>
      <c r="H470" s="21"/>
      <c r="I470" s="21"/>
      <c r="J470" s="21"/>
    </row>
    <row r="471" spans="1:10" x14ac:dyDescent="0.3">
      <c r="A471" s="21" t="s">
        <v>77</v>
      </c>
      <c r="B471" s="21" t="s">
        <v>78</v>
      </c>
      <c r="C471" s="21"/>
      <c r="D471" s="21"/>
      <c r="E471" s="21"/>
      <c r="F471" s="21"/>
      <c r="G471" s="21"/>
      <c r="H471" s="21"/>
      <c r="I471" s="21"/>
      <c r="J471" s="21"/>
    </row>
    <row r="472" spans="1:10" x14ac:dyDescent="0.3">
      <c r="A472" s="21" t="s">
        <v>204</v>
      </c>
      <c r="B472" s="21" t="s">
        <v>187</v>
      </c>
      <c r="C472" s="21"/>
      <c r="D472" s="21"/>
      <c r="E472" s="21"/>
      <c r="F472" s="21"/>
      <c r="G472" s="21"/>
      <c r="H472" s="21"/>
      <c r="I472" s="21"/>
      <c r="J472" s="21"/>
    </row>
    <row r="473" spans="1:10" ht="15.6" x14ac:dyDescent="0.3">
      <c r="A473" s="11" t="s">
        <v>80</v>
      </c>
      <c r="B473" s="21"/>
      <c r="C473" s="21"/>
      <c r="D473" s="21"/>
      <c r="E473" s="21"/>
      <c r="F473" s="21"/>
      <c r="G473" s="21"/>
      <c r="H473" s="21"/>
      <c r="I473" s="21"/>
      <c r="J473" s="21"/>
    </row>
    <row r="474" spans="1:10" x14ac:dyDescent="0.3">
      <c r="A474" s="21" t="s">
        <v>81</v>
      </c>
      <c r="B474" s="21" t="s">
        <v>82</v>
      </c>
      <c r="C474" s="21" t="s">
        <v>188</v>
      </c>
      <c r="D474" s="21" t="s">
        <v>73</v>
      </c>
      <c r="E474" s="21" t="s">
        <v>77</v>
      </c>
      <c r="F474" s="21" t="s">
        <v>75</v>
      </c>
      <c r="G474" s="21" t="s">
        <v>74</v>
      </c>
      <c r="H474" s="21"/>
      <c r="I474" s="21"/>
      <c r="J474" s="21"/>
    </row>
    <row r="475" spans="1:10" x14ac:dyDescent="0.3">
      <c r="A475" s="21" t="s">
        <v>238</v>
      </c>
      <c r="B475" s="21">
        <v>1</v>
      </c>
      <c r="C475" s="21" t="s">
        <v>187</v>
      </c>
      <c r="D475" s="21" t="s">
        <v>98</v>
      </c>
      <c r="E475" s="21" t="s">
        <v>78</v>
      </c>
      <c r="F475" s="21" t="s">
        <v>85</v>
      </c>
      <c r="G475" s="21"/>
      <c r="H475" s="21"/>
      <c r="I475" s="21"/>
      <c r="J475" s="21"/>
    </row>
    <row r="476" spans="1:10" x14ac:dyDescent="0.3">
      <c r="A476" s="21" t="s">
        <v>398</v>
      </c>
      <c r="B476" s="21">
        <v>2.3E-2</v>
      </c>
      <c r="C476" s="21" t="s">
        <v>187</v>
      </c>
      <c r="D476" s="21" t="s">
        <v>98</v>
      </c>
      <c r="E476" s="21" t="s">
        <v>78</v>
      </c>
      <c r="F476" s="21" t="s">
        <v>91</v>
      </c>
      <c r="G476" s="21"/>
      <c r="H476" s="21"/>
      <c r="I476" s="21"/>
      <c r="J476" s="21"/>
    </row>
    <row r="477" spans="1:10" x14ac:dyDescent="0.3">
      <c r="A477" s="21" t="s">
        <v>399</v>
      </c>
      <c r="B477" s="21">
        <v>3.7999999999999999E-2</v>
      </c>
      <c r="C477" s="21" t="s">
        <v>187</v>
      </c>
      <c r="D477" s="21" t="s">
        <v>98</v>
      </c>
      <c r="E477" s="21" t="s">
        <v>78</v>
      </c>
      <c r="F477" s="21" t="s">
        <v>91</v>
      </c>
      <c r="G477" s="21"/>
      <c r="H477" s="21"/>
      <c r="I477" s="21"/>
      <c r="J477" s="21"/>
    </row>
    <row r="478" spans="1:10" x14ac:dyDescent="0.3">
      <c r="A478" s="21" t="s">
        <v>400</v>
      </c>
      <c r="B478" s="21">
        <v>9.6000000000000002E-4</v>
      </c>
      <c r="C478" s="21" t="s">
        <v>187</v>
      </c>
      <c r="D478" s="21" t="s">
        <v>98</v>
      </c>
      <c r="E478" s="21" t="s">
        <v>78</v>
      </c>
      <c r="F478" s="21" t="s">
        <v>91</v>
      </c>
      <c r="G478" s="21"/>
      <c r="H478" s="21"/>
      <c r="I478" s="21"/>
      <c r="J478" s="21"/>
    </row>
    <row r="479" spans="1:10" x14ac:dyDescent="0.3">
      <c r="A479" s="21" t="s">
        <v>401</v>
      </c>
      <c r="B479" s="21">
        <v>0.87</v>
      </c>
      <c r="C479" s="21" t="s">
        <v>187</v>
      </c>
      <c r="D479" s="21" t="s">
        <v>98</v>
      </c>
      <c r="E479" s="21" t="s">
        <v>78</v>
      </c>
      <c r="F479" s="21" t="s">
        <v>91</v>
      </c>
      <c r="G479" s="21"/>
      <c r="H479" s="21"/>
      <c r="I479" s="21"/>
      <c r="J479" s="21"/>
    </row>
    <row r="480" spans="1:10" x14ac:dyDescent="0.3">
      <c r="A480" s="21" t="s">
        <v>402</v>
      </c>
      <c r="B480" s="21">
        <v>0.02</v>
      </c>
      <c r="C480" s="21" t="s">
        <v>187</v>
      </c>
      <c r="D480" s="21" t="s">
        <v>98</v>
      </c>
      <c r="E480" s="21" t="s">
        <v>78</v>
      </c>
      <c r="F480" s="21" t="s">
        <v>91</v>
      </c>
      <c r="G480" s="21"/>
      <c r="H480" s="21"/>
      <c r="I480" s="21"/>
      <c r="J480" s="21"/>
    </row>
    <row r="481" spans="1:10" x14ac:dyDescent="0.3">
      <c r="A481" s="21" t="s">
        <v>403</v>
      </c>
      <c r="B481" s="21">
        <v>4.8000000000000001E-2</v>
      </c>
      <c r="C481" s="21" t="s">
        <v>193</v>
      </c>
      <c r="D481" s="21" t="s">
        <v>98</v>
      </c>
      <c r="E481" s="21" t="s">
        <v>78</v>
      </c>
      <c r="F481" s="21" t="s">
        <v>91</v>
      </c>
      <c r="G481" s="21" t="s">
        <v>404</v>
      </c>
      <c r="H481" s="21"/>
      <c r="I481" s="21"/>
      <c r="J481" s="21"/>
    </row>
    <row r="482" spans="1:10" x14ac:dyDescent="0.3">
      <c r="A482" s="21" t="s">
        <v>267</v>
      </c>
      <c r="B482" s="21">
        <v>0.22</v>
      </c>
      <c r="C482" s="21" t="s">
        <v>193</v>
      </c>
      <c r="D482" s="21" t="s">
        <v>268</v>
      </c>
      <c r="E482" s="21" t="s">
        <v>243</v>
      </c>
      <c r="F482" s="21" t="s">
        <v>91</v>
      </c>
      <c r="G482" s="21" t="s">
        <v>269</v>
      </c>
      <c r="H482" s="21"/>
      <c r="I482" s="21"/>
      <c r="J482" s="21"/>
    </row>
    <row r="483" spans="1:10" x14ac:dyDescent="0.3">
      <c r="A483" s="21" t="s">
        <v>270</v>
      </c>
      <c r="B483" s="21">
        <v>0.1</v>
      </c>
      <c r="C483" s="21" t="s">
        <v>193</v>
      </c>
      <c r="D483" s="21" t="s">
        <v>242</v>
      </c>
      <c r="E483" s="21" t="s">
        <v>243</v>
      </c>
      <c r="F483" s="21" t="s">
        <v>91</v>
      </c>
      <c r="G483" s="21" t="s">
        <v>271</v>
      </c>
      <c r="H483" s="21"/>
      <c r="I483" s="21"/>
      <c r="J483" s="21"/>
    </row>
    <row r="484" spans="1:10" x14ac:dyDescent="0.3">
      <c r="A484" s="21"/>
      <c r="B484" s="21"/>
      <c r="C484" s="21"/>
      <c r="D484" s="21"/>
      <c r="E484" s="21"/>
      <c r="F484" s="21"/>
      <c r="G484" s="21"/>
      <c r="H484" s="21"/>
      <c r="I484" s="21"/>
      <c r="J484" s="21"/>
    </row>
    <row r="485" spans="1:10" ht="15.6" x14ac:dyDescent="0.3">
      <c r="A485" s="11" t="s">
        <v>72</v>
      </c>
      <c r="B485" s="11" t="s">
        <v>401</v>
      </c>
      <c r="C485" s="21"/>
      <c r="D485" s="21"/>
      <c r="E485" s="21"/>
      <c r="F485" s="21"/>
      <c r="G485" s="21"/>
      <c r="H485" s="21"/>
      <c r="I485" s="21"/>
      <c r="J485" s="21"/>
    </row>
    <row r="486" spans="1:10" x14ac:dyDescent="0.3">
      <c r="A486" s="21" t="s">
        <v>202</v>
      </c>
      <c r="B486" s="21" t="s">
        <v>405</v>
      </c>
      <c r="C486" s="21"/>
      <c r="D486" s="21"/>
      <c r="E486" s="21"/>
      <c r="F486" s="21"/>
      <c r="G486" s="21"/>
      <c r="H486" s="21"/>
      <c r="I486" s="21"/>
      <c r="J486" s="21"/>
    </row>
    <row r="487" spans="1:10" x14ac:dyDescent="0.3">
      <c r="A487" s="21" t="s">
        <v>84</v>
      </c>
      <c r="B487" s="21" t="s">
        <v>86</v>
      </c>
      <c r="C487" s="21"/>
      <c r="D487" s="21"/>
      <c r="E487" s="21"/>
      <c r="F487" s="21"/>
      <c r="G487" s="21"/>
      <c r="H487" s="21"/>
      <c r="I487" s="21"/>
      <c r="J487" s="21"/>
    </row>
    <row r="488" spans="1:10" x14ac:dyDescent="0.3">
      <c r="A488" s="21" t="s">
        <v>73</v>
      </c>
      <c r="B488" s="21" t="s">
        <v>98</v>
      </c>
      <c r="C488" s="21"/>
      <c r="D488" s="21"/>
      <c r="E488" s="21"/>
      <c r="F488" s="21"/>
      <c r="G488" s="21"/>
      <c r="H488" s="21"/>
      <c r="I488" s="21"/>
      <c r="J488" s="21"/>
    </row>
    <row r="489" spans="1:10" x14ac:dyDescent="0.3">
      <c r="A489" s="21" t="s">
        <v>186</v>
      </c>
      <c r="B489" s="21">
        <v>1</v>
      </c>
      <c r="C489" s="21"/>
      <c r="D489" s="21"/>
      <c r="E489" s="21"/>
      <c r="F489" s="21"/>
      <c r="G489" s="21"/>
      <c r="H489" s="21"/>
      <c r="I489" s="21"/>
      <c r="J489" s="21"/>
    </row>
    <row r="490" spans="1:10" x14ac:dyDescent="0.3">
      <c r="A490" s="21" t="s">
        <v>74</v>
      </c>
      <c r="B490" s="21" t="s">
        <v>401</v>
      </c>
      <c r="C490" s="21"/>
      <c r="D490" s="21"/>
      <c r="E490" s="21"/>
      <c r="F490" s="21"/>
      <c r="G490" s="21"/>
      <c r="H490" s="21"/>
      <c r="I490" s="21"/>
      <c r="J490" s="21"/>
    </row>
    <row r="491" spans="1:10" x14ac:dyDescent="0.3">
      <c r="A491" s="21" t="s">
        <v>77</v>
      </c>
      <c r="B491" s="21" t="s">
        <v>78</v>
      </c>
      <c r="C491" s="21"/>
      <c r="D491" s="21"/>
      <c r="E491" s="21"/>
      <c r="F491" s="21"/>
      <c r="G491" s="21"/>
      <c r="H491" s="21"/>
      <c r="I491" s="21"/>
      <c r="J491" s="21"/>
    </row>
    <row r="492" spans="1:10" x14ac:dyDescent="0.3">
      <c r="A492" s="21" t="s">
        <v>204</v>
      </c>
      <c r="B492" s="21" t="s">
        <v>187</v>
      </c>
      <c r="C492" s="21"/>
      <c r="D492" s="21"/>
      <c r="E492" s="21"/>
      <c r="F492" s="21"/>
      <c r="G492" s="21"/>
      <c r="H492" s="21"/>
      <c r="I492" s="21"/>
      <c r="J492" s="21"/>
    </row>
    <row r="493" spans="1:10" ht="15.6" x14ac:dyDescent="0.3">
      <c r="A493" s="11" t="s">
        <v>80</v>
      </c>
      <c r="B493" s="21"/>
      <c r="C493" s="21"/>
      <c r="D493" s="21"/>
      <c r="E493" s="21"/>
      <c r="F493" s="21"/>
      <c r="G493" s="21"/>
      <c r="H493" s="21"/>
      <c r="I493" s="21"/>
      <c r="J493" s="21"/>
    </row>
    <row r="494" spans="1:10" x14ac:dyDescent="0.3">
      <c r="A494" s="21" t="s">
        <v>81</v>
      </c>
      <c r="B494" s="21" t="s">
        <v>82</v>
      </c>
      <c r="C494" s="21" t="s">
        <v>188</v>
      </c>
      <c r="D494" s="21" t="s">
        <v>73</v>
      </c>
      <c r="E494" s="21" t="s">
        <v>77</v>
      </c>
      <c r="F494" s="21" t="s">
        <v>75</v>
      </c>
      <c r="G494" s="21" t="s">
        <v>74</v>
      </c>
      <c r="H494" s="21"/>
      <c r="I494" s="21"/>
      <c r="J494" s="21"/>
    </row>
    <row r="495" spans="1:10" x14ac:dyDescent="0.3">
      <c r="A495" s="21" t="s">
        <v>401</v>
      </c>
      <c r="B495" s="21">
        <v>1</v>
      </c>
      <c r="C495" s="21" t="s">
        <v>187</v>
      </c>
      <c r="D495" s="21" t="s">
        <v>98</v>
      </c>
      <c r="E495" s="21" t="s">
        <v>78</v>
      </c>
      <c r="F495" s="21" t="s">
        <v>85</v>
      </c>
      <c r="G495" s="21"/>
      <c r="H495" s="21"/>
      <c r="I495" s="21"/>
      <c r="J495" s="21"/>
    </row>
    <row r="496" spans="1:10" x14ac:dyDescent="0.3">
      <c r="A496" s="21" t="s">
        <v>216</v>
      </c>
      <c r="B496" s="21">
        <v>1</v>
      </c>
      <c r="C496" s="21" t="s">
        <v>193</v>
      </c>
      <c r="D496" s="21" t="s">
        <v>98</v>
      </c>
      <c r="E496" s="21" t="s">
        <v>78</v>
      </c>
      <c r="F496" s="21" t="s">
        <v>91</v>
      </c>
      <c r="G496" s="21" t="s">
        <v>217</v>
      </c>
      <c r="H496" s="21"/>
      <c r="I496" s="21"/>
      <c r="J496" s="21"/>
    </row>
    <row r="497" spans="1:10" x14ac:dyDescent="0.3">
      <c r="A497" s="21" t="s">
        <v>218</v>
      </c>
      <c r="B497" s="21">
        <v>1.5E-10</v>
      </c>
      <c r="C497" s="21" t="s">
        <v>193</v>
      </c>
      <c r="D497" s="21" t="s">
        <v>98</v>
      </c>
      <c r="E497" s="21" t="s">
        <v>77</v>
      </c>
      <c r="F497" s="21" t="s">
        <v>91</v>
      </c>
      <c r="G497" s="21" t="s">
        <v>219</v>
      </c>
      <c r="H497" s="21"/>
      <c r="I497" s="21"/>
      <c r="J497" s="21"/>
    </row>
    <row r="498" spans="1:10" x14ac:dyDescent="0.3">
      <c r="A498" s="21" t="s">
        <v>220</v>
      </c>
      <c r="B498" s="21">
        <v>1</v>
      </c>
      <c r="C498" s="21" t="s">
        <v>193</v>
      </c>
      <c r="D498" s="21" t="s">
        <v>98</v>
      </c>
      <c r="E498" s="21" t="s">
        <v>78</v>
      </c>
      <c r="F498" s="21" t="s">
        <v>91</v>
      </c>
      <c r="G498" s="21" t="s">
        <v>221</v>
      </c>
      <c r="H498" s="21"/>
      <c r="I498" s="21"/>
      <c r="J498" s="21"/>
    </row>
    <row r="499" spans="1:10" x14ac:dyDescent="0.3">
      <c r="A499" s="21" t="s">
        <v>267</v>
      </c>
      <c r="B499" s="21">
        <v>0.2</v>
      </c>
      <c r="C499" s="21" t="s">
        <v>193</v>
      </c>
      <c r="D499" s="21" t="s">
        <v>268</v>
      </c>
      <c r="E499" s="21" t="s">
        <v>243</v>
      </c>
      <c r="F499" s="21" t="s">
        <v>91</v>
      </c>
      <c r="G499" s="21" t="s">
        <v>269</v>
      </c>
      <c r="H499" s="21"/>
      <c r="I499" s="21"/>
      <c r="J499" s="21"/>
    </row>
    <row r="500" spans="1:10" x14ac:dyDescent="0.3">
      <c r="A500" s="21" t="s">
        <v>270</v>
      </c>
      <c r="B500" s="21">
        <v>0.1</v>
      </c>
      <c r="C500" s="21" t="s">
        <v>193</v>
      </c>
      <c r="D500" s="21" t="s">
        <v>242</v>
      </c>
      <c r="E500" s="21" t="s">
        <v>243</v>
      </c>
      <c r="F500" s="21" t="s">
        <v>91</v>
      </c>
      <c r="G500" s="21" t="s">
        <v>271</v>
      </c>
      <c r="H500" s="21"/>
      <c r="I500" s="21"/>
      <c r="J500" s="21"/>
    </row>
    <row r="501" spans="1:10" x14ac:dyDescent="0.3">
      <c r="A501" s="21"/>
      <c r="B501" s="21"/>
      <c r="C501" s="21"/>
      <c r="D501" s="21"/>
      <c r="E501" s="21"/>
      <c r="F501" s="21"/>
      <c r="G501" s="21"/>
      <c r="H501" s="21"/>
      <c r="I501" s="21"/>
      <c r="J501" s="21"/>
    </row>
    <row r="502" spans="1:10" ht="15.6" x14ac:dyDescent="0.3">
      <c r="A502" s="11" t="s">
        <v>72</v>
      </c>
      <c r="B502" s="11" t="s">
        <v>400</v>
      </c>
      <c r="C502" s="21"/>
      <c r="D502" s="21"/>
      <c r="E502" s="21"/>
      <c r="F502" s="21"/>
      <c r="G502" s="21"/>
      <c r="H502" s="21"/>
      <c r="I502" s="21"/>
      <c r="J502" s="21"/>
    </row>
    <row r="503" spans="1:10" x14ac:dyDescent="0.3">
      <c r="A503" s="21" t="s">
        <v>202</v>
      </c>
      <c r="B503" s="21" t="s">
        <v>406</v>
      </c>
      <c r="C503" s="21"/>
      <c r="D503" s="21"/>
      <c r="E503" s="21"/>
      <c r="F503" s="21"/>
      <c r="G503" s="21"/>
      <c r="H503" s="21"/>
      <c r="I503" s="21"/>
      <c r="J503" s="21"/>
    </row>
    <row r="504" spans="1:10" x14ac:dyDescent="0.3">
      <c r="A504" s="21" t="s">
        <v>84</v>
      </c>
      <c r="B504" s="21" t="s">
        <v>86</v>
      </c>
      <c r="C504" s="21"/>
      <c r="D504" s="21"/>
      <c r="E504" s="21"/>
      <c r="F504" s="21"/>
      <c r="G504" s="21"/>
      <c r="H504" s="21"/>
      <c r="I504" s="21"/>
      <c r="J504" s="21"/>
    </row>
    <row r="505" spans="1:10" x14ac:dyDescent="0.3">
      <c r="A505" s="21" t="s">
        <v>73</v>
      </c>
      <c r="B505" s="21" t="s">
        <v>98</v>
      </c>
      <c r="C505" s="21"/>
      <c r="D505" s="21"/>
      <c r="E505" s="21"/>
      <c r="F505" s="21"/>
      <c r="G505" s="21"/>
      <c r="H505" s="21"/>
      <c r="I505" s="21"/>
      <c r="J505" s="21"/>
    </row>
    <row r="506" spans="1:10" x14ac:dyDescent="0.3">
      <c r="A506" s="21" t="s">
        <v>186</v>
      </c>
      <c r="B506" s="21">
        <v>1</v>
      </c>
      <c r="C506" s="21"/>
      <c r="D506" s="21"/>
      <c r="E506" s="21"/>
      <c r="F506" s="21"/>
      <c r="G506" s="21"/>
      <c r="H506" s="21"/>
      <c r="I506" s="21"/>
      <c r="J506" s="21"/>
    </row>
    <row r="507" spans="1:10" x14ac:dyDescent="0.3">
      <c r="A507" s="21" t="s">
        <v>74</v>
      </c>
      <c r="B507" s="21" t="s">
        <v>400</v>
      </c>
      <c r="C507" s="21"/>
      <c r="D507" s="21"/>
      <c r="E507" s="21"/>
      <c r="F507" s="21"/>
      <c r="G507" s="21"/>
      <c r="H507" s="21"/>
      <c r="I507" s="21"/>
      <c r="J507" s="21"/>
    </row>
    <row r="508" spans="1:10" x14ac:dyDescent="0.3">
      <c r="A508" s="21" t="s">
        <v>77</v>
      </c>
      <c r="B508" s="21" t="s">
        <v>78</v>
      </c>
      <c r="C508" s="21"/>
      <c r="D508" s="21"/>
      <c r="E508" s="21"/>
      <c r="F508" s="21"/>
      <c r="G508" s="21"/>
      <c r="H508" s="21"/>
      <c r="I508" s="21"/>
      <c r="J508" s="21"/>
    </row>
    <row r="509" spans="1:10" x14ac:dyDescent="0.3">
      <c r="A509" s="21" t="s">
        <v>204</v>
      </c>
      <c r="B509" s="21" t="s">
        <v>187</v>
      </c>
      <c r="C509" s="21"/>
      <c r="D509" s="21"/>
      <c r="E509" s="21"/>
      <c r="F509" s="21"/>
      <c r="G509" s="21"/>
      <c r="H509" s="21"/>
      <c r="I509" s="21"/>
      <c r="J509" s="21"/>
    </row>
    <row r="510" spans="1:10" ht="15.6" x14ac:dyDescent="0.3">
      <c r="A510" s="11" t="s">
        <v>80</v>
      </c>
      <c r="B510" s="21"/>
      <c r="C510" s="21"/>
      <c r="D510" s="21"/>
      <c r="E510" s="21"/>
      <c r="F510" s="21"/>
      <c r="G510" s="21"/>
      <c r="H510" s="21"/>
      <c r="I510" s="21"/>
      <c r="J510" s="21"/>
    </row>
    <row r="511" spans="1:10" x14ac:dyDescent="0.3">
      <c r="A511" s="21" t="s">
        <v>81</v>
      </c>
      <c r="B511" s="21" t="s">
        <v>82</v>
      </c>
      <c r="C511" s="21" t="s">
        <v>188</v>
      </c>
      <c r="D511" s="21" t="s">
        <v>73</v>
      </c>
      <c r="E511" s="21" t="s">
        <v>77</v>
      </c>
      <c r="F511" s="21" t="s">
        <v>75</v>
      </c>
      <c r="G511" s="21" t="s">
        <v>248</v>
      </c>
      <c r="H511" s="21" t="s">
        <v>74</v>
      </c>
      <c r="I511" s="21"/>
      <c r="J511" s="21"/>
    </row>
    <row r="512" spans="1:10" x14ac:dyDescent="0.3">
      <c r="A512" s="21" t="s">
        <v>400</v>
      </c>
      <c r="B512" s="21">
        <v>1</v>
      </c>
      <c r="C512" s="21" t="s">
        <v>187</v>
      </c>
      <c r="D512" s="21" t="s">
        <v>98</v>
      </c>
      <c r="E512" s="21" t="s">
        <v>78</v>
      </c>
      <c r="F512" s="21" t="s">
        <v>85</v>
      </c>
      <c r="G512" s="21"/>
      <c r="H512" s="21"/>
      <c r="I512" s="21"/>
      <c r="J512" s="21"/>
    </row>
    <row r="513" spans="1:10" x14ac:dyDescent="0.3">
      <c r="A513" s="21" t="s">
        <v>292</v>
      </c>
      <c r="B513" s="21">
        <v>1</v>
      </c>
      <c r="C513" s="21" t="s">
        <v>193</v>
      </c>
      <c r="D513" s="21" t="s">
        <v>98</v>
      </c>
      <c r="E513" s="21" t="s">
        <v>78</v>
      </c>
      <c r="F513" s="21" t="s">
        <v>91</v>
      </c>
      <c r="G513" s="21"/>
      <c r="H513" s="21" t="s">
        <v>293</v>
      </c>
      <c r="I513" s="21"/>
      <c r="J513" s="21"/>
    </row>
    <row r="514" spans="1:10" x14ac:dyDescent="0.3">
      <c r="A514" s="21" t="s">
        <v>300</v>
      </c>
      <c r="B514" s="21">
        <v>7.4000000000000003E-10</v>
      </c>
      <c r="C514" s="21" t="s">
        <v>193</v>
      </c>
      <c r="D514" s="21" t="s">
        <v>98</v>
      </c>
      <c r="E514" s="21" t="s">
        <v>77</v>
      </c>
      <c r="F514" s="21" t="s">
        <v>91</v>
      </c>
      <c r="G514" s="21"/>
      <c r="H514" s="21" t="s">
        <v>301</v>
      </c>
      <c r="I514" s="21"/>
      <c r="J514" s="21"/>
    </row>
    <row r="515" spans="1:10" x14ac:dyDescent="0.3">
      <c r="A515" s="21" t="s">
        <v>407</v>
      </c>
      <c r="B515" s="21">
        <v>0.75</v>
      </c>
      <c r="C515" s="21" t="s">
        <v>193</v>
      </c>
      <c r="D515" s="21" t="s">
        <v>98</v>
      </c>
      <c r="E515" s="21" t="s">
        <v>78</v>
      </c>
      <c r="F515" s="21" t="s">
        <v>91</v>
      </c>
      <c r="G515" s="21" t="s">
        <v>408</v>
      </c>
      <c r="H515" s="21" t="s">
        <v>409</v>
      </c>
      <c r="I515" s="21"/>
      <c r="J515" s="21"/>
    </row>
    <row r="516" spans="1:10" x14ac:dyDescent="0.3">
      <c r="A516" s="21" t="s">
        <v>280</v>
      </c>
      <c r="B516" s="21">
        <v>0.25</v>
      </c>
      <c r="C516" s="21" t="s">
        <v>193</v>
      </c>
      <c r="D516" s="21" t="s">
        <v>98</v>
      </c>
      <c r="E516" s="21" t="s">
        <v>78</v>
      </c>
      <c r="F516" s="21" t="s">
        <v>91</v>
      </c>
      <c r="G516" s="21"/>
      <c r="H516" s="21" t="s">
        <v>281</v>
      </c>
      <c r="I516" s="21"/>
      <c r="J516" s="21"/>
    </row>
    <row r="517" spans="1:10" x14ac:dyDescent="0.3">
      <c r="A517" s="21"/>
      <c r="B517" s="21"/>
      <c r="C517" s="21"/>
      <c r="D517" s="21"/>
      <c r="E517" s="21"/>
      <c r="F517" s="21"/>
      <c r="G517" s="21"/>
      <c r="H517" s="21"/>
      <c r="I517" s="21"/>
      <c r="J517" s="21"/>
    </row>
    <row r="518" spans="1:10" ht="15.6" x14ac:dyDescent="0.3">
      <c r="A518" s="11" t="s">
        <v>72</v>
      </c>
      <c r="B518" s="11" t="s">
        <v>399</v>
      </c>
      <c r="C518" s="21"/>
      <c r="D518" s="21"/>
      <c r="E518" s="21"/>
      <c r="F518" s="21"/>
      <c r="G518" s="21"/>
      <c r="H518" s="21"/>
      <c r="I518" s="21"/>
      <c r="J518" s="21"/>
    </row>
    <row r="519" spans="1:10" x14ac:dyDescent="0.3">
      <c r="A519" s="21" t="s">
        <v>202</v>
      </c>
      <c r="B519" s="21" t="s">
        <v>410</v>
      </c>
      <c r="C519" s="21"/>
      <c r="D519" s="21"/>
      <c r="E519" s="21"/>
      <c r="F519" s="21"/>
      <c r="G519" s="21"/>
      <c r="H519" s="21"/>
      <c r="I519" s="21"/>
      <c r="J519" s="21"/>
    </row>
    <row r="520" spans="1:10" x14ac:dyDescent="0.3">
      <c r="A520" s="21" t="s">
        <v>84</v>
      </c>
      <c r="B520" s="21" t="s">
        <v>86</v>
      </c>
      <c r="C520" s="21"/>
      <c r="D520" s="21"/>
      <c r="E520" s="21"/>
      <c r="F520" s="21"/>
      <c r="G520" s="21"/>
      <c r="H520" s="21"/>
      <c r="I520" s="21"/>
      <c r="J520" s="21"/>
    </row>
    <row r="521" spans="1:10" x14ac:dyDescent="0.3">
      <c r="A521" s="21" t="s">
        <v>73</v>
      </c>
      <c r="B521" s="21" t="s">
        <v>98</v>
      </c>
      <c r="C521" s="21"/>
      <c r="D521" s="21"/>
      <c r="E521" s="21"/>
      <c r="F521" s="21"/>
      <c r="G521" s="21"/>
      <c r="H521" s="21"/>
      <c r="I521" s="21"/>
      <c r="J521" s="21"/>
    </row>
    <row r="522" spans="1:10" x14ac:dyDescent="0.3">
      <c r="A522" s="21" t="s">
        <v>186</v>
      </c>
      <c r="B522" s="21">
        <v>1</v>
      </c>
      <c r="C522" s="21"/>
      <c r="D522" s="21"/>
      <c r="E522" s="21"/>
      <c r="F522" s="21"/>
      <c r="G522" s="21"/>
      <c r="H522" s="21"/>
      <c r="I522" s="21"/>
      <c r="J522" s="21"/>
    </row>
    <row r="523" spans="1:10" x14ac:dyDescent="0.3">
      <c r="A523" s="21" t="s">
        <v>74</v>
      </c>
      <c r="B523" s="21" t="s">
        <v>399</v>
      </c>
      <c r="C523" s="21"/>
      <c r="D523" s="21"/>
      <c r="E523" s="21"/>
      <c r="F523" s="21"/>
      <c r="G523" s="21"/>
      <c r="H523" s="21"/>
      <c r="I523" s="21"/>
      <c r="J523" s="21"/>
    </row>
    <row r="524" spans="1:10" x14ac:dyDescent="0.3">
      <c r="A524" s="21" t="s">
        <v>77</v>
      </c>
      <c r="B524" s="21" t="s">
        <v>78</v>
      </c>
      <c r="C524" s="21"/>
      <c r="D524" s="21"/>
      <c r="E524" s="21"/>
      <c r="F524" s="21"/>
      <c r="G524" s="21"/>
      <c r="H524" s="21"/>
      <c r="I524" s="21"/>
      <c r="J524" s="21"/>
    </row>
    <row r="525" spans="1:10" x14ac:dyDescent="0.3">
      <c r="A525" s="21" t="s">
        <v>204</v>
      </c>
      <c r="B525" s="21" t="s">
        <v>187</v>
      </c>
      <c r="C525" s="21"/>
      <c r="D525" s="21"/>
      <c r="E525" s="21"/>
      <c r="F525" s="21"/>
      <c r="G525" s="21"/>
      <c r="H525" s="21"/>
      <c r="I525" s="21"/>
      <c r="J525" s="21"/>
    </row>
    <row r="526" spans="1:10" ht="15.6" x14ac:dyDescent="0.3">
      <c r="A526" s="11" t="s">
        <v>80</v>
      </c>
      <c r="B526" s="21"/>
      <c r="C526" s="21"/>
      <c r="D526" s="21"/>
      <c r="E526" s="21"/>
      <c r="F526" s="21"/>
      <c r="G526" s="21"/>
      <c r="H526" s="21"/>
      <c r="I526" s="21"/>
      <c r="J526" s="21"/>
    </row>
    <row r="527" spans="1:10" x14ac:dyDescent="0.3">
      <c r="A527" s="21" t="s">
        <v>81</v>
      </c>
      <c r="B527" s="21" t="s">
        <v>82</v>
      </c>
      <c r="C527" s="21" t="s">
        <v>188</v>
      </c>
      <c r="D527" s="21" t="s">
        <v>73</v>
      </c>
      <c r="E527" s="21" t="s">
        <v>77</v>
      </c>
      <c r="F527" s="21" t="s">
        <v>75</v>
      </c>
      <c r="G527" s="21" t="s">
        <v>74</v>
      </c>
      <c r="H527" s="21"/>
      <c r="I527" s="21"/>
      <c r="J527" s="21"/>
    </row>
    <row r="528" spans="1:10" x14ac:dyDescent="0.3">
      <c r="A528" s="21" t="s">
        <v>399</v>
      </c>
      <c r="B528" s="21">
        <v>1</v>
      </c>
      <c r="C528" s="21" t="s">
        <v>187</v>
      </c>
      <c r="D528" s="21" t="s">
        <v>98</v>
      </c>
      <c r="E528" s="21" t="s">
        <v>78</v>
      </c>
      <c r="F528" s="21" t="s">
        <v>85</v>
      </c>
      <c r="G528" s="21"/>
      <c r="H528" s="21"/>
      <c r="I528" s="21"/>
      <c r="J528" s="21"/>
    </row>
    <row r="529" spans="1:10" x14ac:dyDescent="0.3">
      <c r="A529" s="21" t="s">
        <v>216</v>
      </c>
      <c r="B529" s="21">
        <v>1</v>
      </c>
      <c r="C529" s="21" t="s">
        <v>193</v>
      </c>
      <c r="D529" s="21" t="s">
        <v>98</v>
      </c>
      <c r="E529" s="21" t="s">
        <v>78</v>
      </c>
      <c r="F529" s="21" t="s">
        <v>91</v>
      </c>
      <c r="G529" s="21" t="s">
        <v>217</v>
      </c>
      <c r="H529" s="21"/>
      <c r="I529" s="21"/>
      <c r="J529" s="21"/>
    </row>
    <row r="530" spans="1:10" x14ac:dyDescent="0.3">
      <c r="A530" s="21" t="s">
        <v>218</v>
      </c>
      <c r="B530" s="21">
        <v>1.5E-10</v>
      </c>
      <c r="C530" s="21" t="s">
        <v>193</v>
      </c>
      <c r="D530" s="21" t="s">
        <v>98</v>
      </c>
      <c r="E530" s="21" t="s">
        <v>77</v>
      </c>
      <c r="F530" s="21" t="s">
        <v>91</v>
      </c>
      <c r="G530" s="21" t="s">
        <v>219</v>
      </c>
      <c r="H530" s="21"/>
      <c r="I530" s="21"/>
      <c r="J530" s="21"/>
    </row>
    <row r="531" spans="1:10" x14ac:dyDescent="0.3">
      <c r="A531" s="21" t="s">
        <v>296</v>
      </c>
      <c r="B531" s="21">
        <v>1</v>
      </c>
      <c r="C531" s="21" t="s">
        <v>193</v>
      </c>
      <c r="D531" s="21" t="s">
        <v>98</v>
      </c>
      <c r="E531" s="21" t="s">
        <v>78</v>
      </c>
      <c r="F531" s="21" t="s">
        <v>91</v>
      </c>
      <c r="G531" s="21" t="s">
        <v>297</v>
      </c>
      <c r="H531" s="21"/>
      <c r="I531" s="21"/>
      <c r="J531" s="21"/>
    </row>
    <row r="532" spans="1:10" x14ac:dyDescent="0.3">
      <c r="A532" s="21"/>
      <c r="B532" s="21"/>
      <c r="C532" s="21"/>
      <c r="D532" s="21"/>
      <c r="E532" s="21"/>
      <c r="F532" s="21"/>
      <c r="G532" s="21"/>
      <c r="H532" s="21"/>
      <c r="I532" s="21"/>
      <c r="J532" s="21"/>
    </row>
    <row r="533" spans="1:10" ht="15.6" x14ac:dyDescent="0.3">
      <c r="A533" s="11" t="s">
        <v>72</v>
      </c>
      <c r="B533" s="11" t="s">
        <v>398</v>
      </c>
      <c r="C533" s="21"/>
      <c r="D533" s="21"/>
      <c r="E533" s="21"/>
      <c r="F533" s="21"/>
      <c r="G533" s="21"/>
      <c r="H533" s="21"/>
      <c r="I533" s="21"/>
      <c r="J533" s="21"/>
    </row>
    <row r="534" spans="1:10" x14ac:dyDescent="0.3">
      <c r="A534" s="21" t="s">
        <v>202</v>
      </c>
      <c r="B534" s="21" t="s">
        <v>411</v>
      </c>
      <c r="C534" s="21"/>
      <c r="D534" s="21"/>
      <c r="E534" s="21"/>
      <c r="F534" s="21"/>
      <c r="G534" s="21"/>
      <c r="H534" s="21"/>
      <c r="I534" s="21"/>
      <c r="J534" s="21"/>
    </row>
    <row r="535" spans="1:10" x14ac:dyDescent="0.3">
      <c r="A535" s="21" t="s">
        <v>84</v>
      </c>
      <c r="B535" s="21" t="s">
        <v>86</v>
      </c>
      <c r="C535" s="21"/>
      <c r="D535" s="21"/>
      <c r="E535" s="21"/>
      <c r="F535" s="21"/>
      <c r="G535" s="21"/>
      <c r="H535" s="21"/>
      <c r="I535" s="21"/>
      <c r="J535" s="21"/>
    </row>
    <row r="536" spans="1:10" x14ac:dyDescent="0.3">
      <c r="A536" s="21" t="s">
        <v>73</v>
      </c>
      <c r="B536" s="21" t="s">
        <v>98</v>
      </c>
      <c r="C536" s="21"/>
      <c r="D536" s="21"/>
      <c r="E536" s="21"/>
      <c r="F536" s="21"/>
      <c r="G536" s="21"/>
      <c r="H536" s="21"/>
      <c r="I536" s="21"/>
      <c r="J536" s="21"/>
    </row>
    <row r="537" spans="1:10" x14ac:dyDescent="0.3">
      <c r="A537" s="21" t="s">
        <v>186</v>
      </c>
      <c r="B537" s="21">
        <v>1</v>
      </c>
      <c r="C537" s="21"/>
      <c r="D537" s="21"/>
      <c r="E537" s="21"/>
      <c r="F537" s="21"/>
      <c r="G537" s="21"/>
      <c r="H537" s="21"/>
      <c r="I537" s="21"/>
      <c r="J537" s="21"/>
    </row>
    <row r="538" spans="1:10" x14ac:dyDescent="0.3">
      <c r="A538" s="21" t="s">
        <v>74</v>
      </c>
      <c r="B538" s="21" t="s">
        <v>398</v>
      </c>
      <c r="C538" s="21"/>
      <c r="D538" s="21"/>
      <c r="E538" s="21"/>
      <c r="F538" s="21"/>
      <c r="G538" s="21"/>
      <c r="H538" s="21"/>
      <c r="I538" s="21"/>
      <c r="J538" s="21"/>
    </row>
    <row r="539" spans="1:10" x14ac:dyDescent="0.3">
      <c r="A539" s="21" t="s">
        <v>77</v>
      </c>
      <c r="B539" s="21" t="s">
        <v>78</v>
      </c>
      <c r="C539" s="21"/>
      <c r="D539" s="21"/>
      <c r="E539" s="21"/>
      <c r="F539" s="21"/>
      <c r="G539" s="21"/>
      <c r="H539" s="21"/>
      <c r="I539" s="21"/>
      <c r="J539" s="21"/>
    </row>
    <row r="540" spans="1:10" x14ac:dyDescent="0.3">
      <c r="A540" s="21" t="s">
        <v>204</v>
      </c>
      <c r="B540" s="21" t="s">
        <v>187</v>
      </c>
      <c r="C540" s="21"/>
      <c r="D540" s="21"/>
      <c r="E540" s="21"/>
      <c r="F540" s="21"/>
      <c r="G540" s="21"/>
      <c r="H540" s="21"/>
      <c r="I540" s="21"/>
      <c r="J540" s="21"/>
    </row>
    <row r="541" spans="1:10" ht="15.6" x14ac:dyDescent="0.3">
      <c r="A541" s="11" t="s">
        <v>80</v>
      </c>
      <c r="B541" s="21"/>
      <c r="C541" s="21"/>
      <c r="D541" s="21"/>
      <c r="E541" s="21"/>
      <c r="F541" s="21"/>
      <c r="G541" s="21"/>
      <c r="H541" s="21"/>
      <c r="I541" s="21"/>
      <c r="J541" s="21"/>
    </row>
    <row r="542" spans="1:10" x14ac:dyDescent="0.3">
      <c r="A542" s="21" t="s">
        <v>81</v>
      </c>
      <c r="B542" s="21" t="s">
        <v>82</v>
      </c>
      <c r="C542" s="21" t="s">
        <v>188</v>
      </c>
      <c r="D542" s="21" t="s">
        <v>73</v>
      </c>
      <c r="E542" s="21" t="s">
        <v>77</v>
      </c>
      <c r="F542" s="21" t="s">
        <v>75</v>
      </c>
      <c r="G542" s="21" t="s">
        <v>74</v>
      </c>
      <c r="H542" s="21"/>
      <c r="I542" s="21"/>
      <c r="J542" s="21"/>
    </row>
    <row r="543" spans="1:10" x14ac:dyDescent="0.3">
      <c r="A543" s="21" t="s">
        <v>398</v>
      </c>
      <c r="B543" s="21">
        <v>1</v>
      </c>
      <c r="C543" s="21" t="s">
        <v>187</v>
      </c>
      <c r="D543" s="21" t="s">
        <v>98</v>
      </c>
      <c r="E543" s="21" t="s">
        <v>78</v>
      </c>
      <c r="F543" s="21" t="s">
        <v>85</v>
      </c>
      <c r="G543" s="21"/>
      <c r="H543" s="21"/>
      <c r="I543" s="21"/>
      <c r="J543" s="21"/>
    </row>
    <row r="544" spans="1:10" x14ac:dyDescent="0.3">
      <c r="A544" s="21" t="s">
        <v>294</v>
      </c>
      <c r="B544" s="21">
        <v>4.6000000000000001E-10</v>
      </c>
      <c r="C544" s="21" t="s">
        <v>193</v>
      </c>
      <c r="D544" s="21" t="s">
        <v>98</v>
      </c>
      <c r="E544" s="21" t="s">
        <v>77</v>
      </c>
      <c r="F544" s="21" t="s">
        <v>91</v>
      </c>
      <c r="G544" s="21" t="s">
        <v>295</v>
      </c>
      <c r="H544" s="21"/>
      <c r="I544" s="21"/>
      <c r="J544" s="21"/>
    </row>
    <row r="545" spans="1:10" x14ac:dyDescent="0.3">
      <c r="A545" s="21" t="s">
        <v>326</v>
      </c>
      <c r="B545" s="21">
        <v>1</v>
      </c>
      <c r="C545" s="21" t="s">
        <v>193</v>
      </c>
      <c r="D545" s="21" t="s">
        <v>98</v>
      </c>
      <c r="E545" s="21" t="s">
        <v>78</v>
      </c>
      <c r="F545" s="21" t="s">
        <v>91</v>
      </c>
      <c r="G545" s="21" t="s">
        <v>327</v>
      </c>
      <c r="H545" s="21"/>
      <c r="I545" s="21"/>
      <c r="J545" s="21"/>
    </row>
    <row r="546" spans="1:10" x14ac:dyDescent="0.3">
      <c r="A546" s="21" t="s">
        <v>332</v>
      </c>
      <c r="B546" s="21">
        <v>1</v>
      </c>
      <c r="C546" s="21" t="s">
        <v>193</v>
      </c>
      <c r="D546" s="21" t="s">
        <v>98</v>
      </c>
      <c r="E546" s="21" t="s">
        <v>78</v>
      </c>
      <c r="F546" s="21" t="s">
        <v>91</v>
      </c>
      <c r="G546" s="21" t="s">
        <v>333</v>
      </c>
      <c r="H546" s="21"/>
      <c r="I546" s="21"/>
      <c r="J546" s="21"/>
    </row>
    <row r="547" spans="1:10" x14ac:dyDescent="0.3">
      <c r="A547" s="21"/>
      <c r="B547" s="21"/>
      <c r="C547" s="21"/>
      <c r="D547" s="21"/>
      <c r="E547" s="21"/>
      <c r="F547" s="21"/>
      <c r="G547" s="21"/>
      <c r="H547" s="21"/>
      <c r="I547" s="21"/>
      <c r="J547" s="21"/>
    </row>
    <row r="548" spans="1:10" ht="15.6" x14ac:dyDescent="0.3">
      <c r="A548" s="11" t="s">
        <v>72</v>
      </c>
      <c r="B548" s="11" t="s">
        <v>251</v>
      </c>
      <c r="C548" s="21"/>
      <c r="D548" s="21"/>
      <c r="E548" s="21"/>
      <c r="F548" s="21"/>
      <c r="G548" s="21"/>
      <c r="H548" s="21"/>
      <c r="I548" s="21"/>
      <c r="J548" s="21"/>
    </row>
    <row r="549" spans="1:10" x14ac:dyDescent="0.3">
      <c r="A549" s="21" t="s">
        <v>202</v>
      </c>
      <c r="B549" s="21" t="s">
        <v>412</v>
      </c>
      <c r="C549" s="21"/>
      <c r="D549" s="21"/>
      <c r="E549" s="21"/>
      <c r="F549" s="21"/>
      <c r="G549" s="21"/>
      <c r="H549" s="21"/>
      <c r="I549" s="21"/>
      <c r="J549" s="21"/>
    </row>
    <row r="550" spans="1:10" x14ac:dyDescent="0.3">
      <c r="A550" s="21" t="s">
        <v>84</v>
      </c>
      <c r="B550" s="21" t="s">
        <v>86</v>
      </c>
      <c r="C550" s="21"/>
      <c r="D550" s="21"/>
      <c r="E550" s="21"/>
      <c r="F550" s="21"/>
      <c r="G550" s="21"/>
      <c r="H550" s="21"/>
      <c r="I550" s="21"/>
      <c r="J550" s="21"/>
    </row>
    <row r="551" spans="1:10" x14ac:dyDescent="0.3">
      <c r="A551" s="21" t="s">
        <v>73</v>
      </c>
      <c r="B551" s="21" t="s">
        <v>98</v>
      </c>
      <c r="C551" s="21"/>
      <c r="D551" s="21"/>
      <c r="E551" s="21"/>
      <c r="F551" s="21"/>
      <c r="G551" s="21"/>
      <c r="H551" s="21"/>
      <c r="I551" s="21"/>
      <c r="J551" s="21"/>
    </row>
    <row r="552" spans="1:10" x14ac:dyDescent="0.3">
      <c r="A552" s="21" t="s">
        <v>186</v>
      </c>
      <c r="B552" s="21">
        <v>1</v>
      </c>
      <c r="C552" s="21"/>
      <c r="D552" s="21"/>
      <c r="E552" s="21"/>
      <c r="F552" s="21"/>
      <c r="G552" s="21"/>
      <c r="H552" s="21"/>
      <c r="I552" s="21"/>
      <c r="J552" s="21"/>
    </row>
    <row r="553" spans="1:10" x14ac:dyDescent="0.3">
      <c r="A553" s="21" t="s">
        <v>74</v>
      </c>
      <c r="B553" s="21" t="s">
        <v>251</v>
      </c>
      <c r="C553" s="21"/>
      <c r="D553" s="21"/>
      <c r="E553" s="21"/>
      <c r="F553" s="21"/>
      <c r="G553" s="21"/>
      <c r="H553" s="21"/>
      <c r="I553" s="21"/>
      <c r="J553" s="21"/>
    </row>
    <row r="554" spans="1:10" x14ac:dyDescent="0.3">
      <c r="A554" s="21" t="s">
        <v>77</v>
      </c>
      <c r="B554" s="21" t="s">
        <v>78</v>
      </c>
      <c r="C554" s="21"/>
      <c r="D554" s="21"/>
      <c r="E554" s="21"/>
      <c r="F554" s="21"/>
      <c r="G554" s="21"/>
      <c r="H554" s="21"/>
      <c r="I554" s="21"/>
      <c r="J554" s="21"/>
    </row>
    <row r="555" spans="1:10" x14ac:dyDescent="0.3">
      <c r="A555" s="21" t="s">
        <v>204</v>
      </c>
      <c r="B555" s="21" t="s">
        <v>187</v>
      </c>
      <c r="C555" s="21"/>
      <c r="D555" s="21"/>
      <c r="E555" s="21"/>
      <c r="F555" s="21"/>
      <c r="G555" s="21"/>
      <c r="H555" s="21"/>
      <c r="I555" s="21"/>
      <c r="J555" s="21"/>
    </row>
    <row r="556" spans="1:10" ht="15.6" x14ac:dyDescent="0.3">
      <c r="A556" s="11" t="s">
        <v>80</v>
      </c>
      <c r="B556" s="21"/>
      <c r="C556" s="21"/>
      <c r="D556" s="21"/>
      <c r="E556" s="21"/>
      <c r="F556" s="21"/>
      <c r="G556" s="21"/>
      <c r="H556" s="21"/>
      <c r="I556" s="21"/>
      <c r="J556" s="21"/>
    </row>
    <row r="557" spans="1:10" x14ac:dyDescent="0.3">
      <c r="A557" s="21" t="s">
        <v>81</v>
      </c>
      <c r="B557" s="21" t="s">
        <v>82</v>
      </c>
      <c r="C557" s="21" t="s">
        <v>188</v>
      </c>
      <c r="D557" s="21" t="s">
        <v>73</v>
      </c>
      <c r="E557" s="21" t="s">
        <v>77</v>
      </c>
      <c r="F557" s="21" t="s">
        <v>75</v>
      </c>
      <c r="G557" s="21" t="s">
        <v>74</v>
      </c>
      <c r="H557" s="21"/>
      <c r="I557" s="21"/>
      <c r="J557" s="21"/>
    </row>
    <row r="558" spans="1:10" x14ac:dyDescent="0.3">
      <c r="A558" s="21" t="s">
        <v>251</v>
      </c>
      <c r="B558" s="21">
        <v>1</v>
      </c>
      <c r="C558" s="21" t="s">
        <v>187</v>
      </c>
      <c r="D558" s="21" t="s">
        <v>98</v>
      </c>
      <c r="E558" s="21" t="s">
        <v>78</v>
      </c>
      <c r="F558" s="21" t="s">
        <v>85</v>
      </c>
      <c r="G558" s="21"/>
      <c r="H558" s="21"/>
      <c r="I558" s="21"/>
      <c r="J558" s="21"/>
    </row>
    <row r="559" spans="1:10" x14ac:dyDescent="0.3">
      <c r="A559" s="21" t="s">
        <v>208</v>
      </c>
      <c r="B559" s="21">
        <v>4.0000000000000001E-10</v>
      </c>
      <c r="C559" s="21" t="s">
        <v>193</v>
      </c>
      <c r="D559" s="21" t="s">
        <v>98</v>
      </c>
      <c r="E559" s="21" t="s">
        <v>77</v>
      </c>
      <c r="F559" s="21" t="s">
        <v>91</v>
      </c>
      <c r="G559" s="21" t="s">
        <v>209</v>
      </c>
      <c r="H559" s="21"/>
      <c r="I559" s="21"/>
      <c r="J559" s="21"/>
    </row>
    <row r="560" spans="1:10" x14ac:dyDescent="0.3">
      <c r="A560" s="21" t="s">
        <v>413</v>
      </c>
      <c r="B560" s="21">
        <v>0.88</v>
      </c>
      <c r="C560" s="21" t="s">
        <v>193</v>
      </c>
      <c r="D560" s="21" t="s">
        <v>98</v>
      </c>
      <c r="E560" s="21" t="s">
        <v>78</v>
      </c>
      <c r="F560" s="21" t="s">
        <v>91</v>
      </c>
      <c r="G560" s="21" t="s">
        <v>414</v>
      </c>
      <c r="H560" s="21"/>
      <c r="I560" s="21"/>
      <c r="J560" s="21"/>
    </row>
    <row r="561" spans="1:10" x14ac:dyDescent="0.3">
      <c r="A561" s="21" t="s">
        <v>415</v>
      </c>
      <c r="B561" s="21">
        <v>0.12</v>
      </c>
      <c r="C561" s="21" t="s">
        <v>193</v>
      </c>
      <c r="D561" s="21" t="s">
        <v>98</v>
      </c>
      <c r="E561" s="21" t="s">
        <v>78</v>
      </c>
      <c r="F561" s="21" t="s">
        <v>91</v>
      </c>
      <c r="G561" s="21" t="s">
        <v>416</v>
      </c>
      <c r="H561" s="21"/>
      <c r="I561" s="21"/>
      <c r="J561" s="21"/>
    </row>
    <row r="562" spans="1:10" x14ac:dyDescent="0.3">
      <c r="A562" s="21"/>
      <c r="B562" s="21"/>
      <c r="C562" s="21"/>
      <c r="D562" s="21"/>
      <c r="E562" s="21"/>
      <c r="F562" s="21"/>
      <c r="G562" s="21"/>
      <c r="H562" s="21"/>
      <c r="I562" s="21"/>
      <c r="J562" s="21"/>
    </row>
    <row r="563" spans="1:10" ht="15.6" x14ac:dyDescent="0.3">
      <c r="A563" s="11" t="s">
        <v>72</v>
      </c>
      <c r="B563" s="11" t="s">
        <v>275</v>
      </c>
      <c r="C563" s="21"/>
      <c r="D563" s="21"/>
      <c r="E563" s="21"/>
      <c r="F563" s="21"/>
      <c r="G563" s="21"/>
      <c r="H563" s="21"/>
      <c r="I563" s="21"/>
      <c r="J563" s="21"/>
    </row>
    <row r="564" spans="1:10" x14ac:dyDescent="0.3">
      <c r="A564" s="21" t="s">
        <v>202</v>
      </c>
      <c r="B564" s="21" t="s">
        <v>417</v>
      </c>
      <c r="C564" s="21"/>
      <c r="D564" s="21"/>
      <c r="E564" s="21"/>
      <c r="F564" s="21"/>
      <c r="G564" s="21"/>
      <c r="H564" s="21"/>
      <c r="I564" s="21"/>
      <c r="J564" s="21"/>
    </row>
    <row r="565" spans="1:10" x14ac:dyDescent="0.3">
      <c r="A565" s="21" t="s">
        <v>84</v>
      </c>
      <c r="B565" s="21" t="s">
        <v>86</v>
      </c>
      <c r="C565" s="21"/>
      <c r="D565" s="21"/>
      <c r="E565" s="21"/>
      <c r="F565" s="21"/>
      <c r="G565" s="21"/>
      <c r="H565" s="21"/>
      <c r="I565" s="21"/>
      <c r="J565" s="21"/>
    </row>
    <row r="566" spans="1:10" x14ac:dyDescent="0.3">
      <c r="A566" s="21" t="s">
        <v>73</v>
      </c>
      <c r="B566" s="21" t="s">
        <v>98</v>
      </c>
      <c r="C566" s="21"/>
      <c r="D566" s="21"/>
      <c r="E566" s="21"/>
      <c r="F566" s="21"/>
      <c r="G566" s="21"/>
      <c r="H566" s="21"/>
      <c r="I566" s="21"/>
      <c r="J566" s="21"/>
    </row>
    <row r="567" spans="1:10" x14ac:dyDescent="0.3">
      <c r="A567" s="21" t="s">
        <v>186</v>
      </c>
      <c r="B567" s="21">
        <v>1</v>
      </c>
      <c r="C567" s="21"/>
      <c r="D567" s="21"/>
      <c r="E567" s="21"/>
      <c r="F567" s="21"/>
      <c r="G567" s="21"/>
      <c r="H567" s="21"/>
      <c r="I567" s="21"/>
      <c r="J567" s="21"/>
    </row>
    <row r="568" spans="1:10" x14ac:dyDescent="0.3">
      <c r="A568" s="21" t="s">
        <v>74</v>
      </c>
      <c r="B568" s="21" t="s">
        <v>275</v>
      </c>
      <c r="C568" s="21"/>
      <c r="D568" s="21"/>
      <c r="E568" s="21"/>
      <c r="F568" s="21"/>
      <c r="G568" s="21"/>
      <c r="H568" s="21"/>
      <c r="I568" s="21"/>
      <c r="J568" s="21"/>
    </row>
    <row r="569" spans="1:10" x14ac:dyDescent="0.3">
      <c r="A569" s="21" t="s">
        <v>77</v>
      </c>
      <c r="B569" s="21" t="s">
        <v>78</v>
      </c>
      <c r="C569" s="21"/>
      <c r="D569" s="21"/>
      <c r="E569" s="21"/>
      <c r="F569" s="21"/>
      <c r="G569" s="21"/>
      <c r="H569" s="21"/>
      <c r="I569" s="21"/>
      <c r="J569" s="21"/>
    </row>
    <row r="570" spans="1:10" x14ac:dyDescent="0.3">
      <c r="A570" s="21" t="s">
        <v>204</v>
      </c>
      <c r="B570" s="21" t="s">
        <v>187</v>
      </c>
      <c r="C570" s="21"/>
      <c r="D570" s="21"/>
      <c r="E570" s="21"/>
      <c r="F570" s="21"/>
      <c r="G570" s="21"/>
      <c r="H570" s="21"/>
      <c r="I570" s="21"/>
      <c r="J570" s="21"/>
    </row>
    <row r="571" spans="1:10" ht="15.6" x14ac:dyDescent="0.3">
      <c r="A571" s="11" t="s">
        <v>80</v>
      </c>
      <c r="B571" s="21"/>
      <c r="C571" s="21"/>
      <c r="D571" s="21"/>
      <c r="E571" s="21"/>
      <c r="F571" s="21"/>
      <c r="G571" s="21"/>
      <c r="H571" s="21"/>
      <c r="I571" s="21"/>
      <c r="J571" s="21"/>
    </row>
    <row r="572" spans="1:10" x14ac:dyDescent="0.3">
      <c r="A572" s="21" t="s">
        <v>81</v>
      </c>
      <c r="B572" s="21" t="s">
        <v>82</v>
      </c>
      <c r="C572" s="21" t="s">
        <v>188</v>
      </c>
      <c r="D572" s="21" t="s">
        <v>73</v>
      </c>
      <c r="E572" s="21" t="s">
        <v>77</v>
      </c>
      <c r="F572" s="21" t="s">
        <v>75</v>
      </c>
      <c r="G572" s="21" t="s">
        <v>74</v>
      </c>
      <c r="H572" s="21"/>
      <c r="I572" s="21"/>
      <c r="J572" s="21"/>
    </row>
    <row r="573" spans="1:10" x14ac:dyDescent="0.3">
      <c r="A573" s="21" t="s">
        <v>275</v>
      </c>
      <c r="B573" s="21">
        <v>1</v>
      </c>
      <c r="C573" s="21" t="s">
        <v>187</v>
      </c>
      <c r="D573" s="21" t="s">
        <v>98</v>
      </c>
      <c r="E573" s="21" t="s">
        <v>78</v>
      </c>
      <c r="F573" s="21" t="s">
        <v>85</v>
      </c>
      <c r="G573" s="21"/>
      <c r="H573" s="21"/>
      <c r="I573" s="21"/>
      <c r="J573" s="21"/>
    </row>
    <row r="574" spans="1:10" x14ac:dyDescent="0.3">
      <c r="A574" s="21" t="s">
        <v>286</v>
      </c>
      <c r="B574" s="21">
        <v>3.4000000000000002E-2</v>
      </c>
      <c r="C574" s="21" t="s">
        <v>187</v>
      </c>
      <c r="D574" s="21" t="s">
        <v>98</v>
      </c>
      <c r="E574" s="21" t="s">
        <v>78</v>
      </c>
      <c r="F574" s="21" t="s">
        <v>91</v>
      </c>
      <c r="G574" s="21"/>
      <c r="H574" s="21"/>
      <c r="I574" s="21"/>
      <c r="J574" s="21"/>
    </row>
    <row r="575" spans="1:10" x14ac:dyDescent="0.3">
      <c r="A575" s="21" t="s">
        <v>418</v>
      </c>
      <c r="B575" s="21">
        <v>1.6000000000000001E-3</v>
      </c>
      <c r="C575" s="21" t="s">
        <v>187</v>
      </c>
      <c r="D575" s="21" t="s">
        <v>98</v>
      </c>
      <c r="E575" s="21" t="s">
        <v>78</v>
      </c>
      <c r="F575" s="21" t="s">
        <v>91</v>
      </c>
      <c r="G575" s="21"/>
      <c r="H575" s="21"/>
      <c r="I575" s="21"/>
      <c r="J575" s="21"/>
    </row>
    <row r="576" spans="1:10" x14ac:dyDescent="0.3">
      <c r="A576" s="21" t="s">
        <v>419</v>
      </c>
      <c r="B576" s="21">
        <v>4.8999999999999998E-3</v>
      </c>
      <c r="C576" s="21" t="s">
        <v>187</v>
      </c>
      <c r="D576" s="21" t="s">
        <v>98</v>
      </c>
      <c r="E576" s="21" t="s">
        <v>78</v>
      </c>
      <c r="F576" s="21" t="s">
        <v>91</v>
      </c>
      <c r="G576" s="21"/>
      <c r="H576" s="21"/>
      <c r="I576" s="21"/>
      <c r="J576" s="21"/>
    </row>
    <row r="577" spans="1:10" x14ac:dyDescent="0.3">
      <c r="A577" s="21" t="s">
        <v>420</v>
      </c>
      <c r="B577" s="21">
        <v>0.4</v>
      </c>
      <c r="C577" s="21" t="s">
        <v>187</v>
      </c>
      <c r="D577" s="21" t="s">
        <v>98</v>
      </c>
      <c r="E577" s="21" t="s">
        <v>78</v>
      </c>
      <c r="F577" s="21" t="s">
        <v>91</v>
      </c>
      <c r="G577" s="21"/>
      <c r="H577" s="21"/>
      <c r="I577" s="21"/>
      <c r="J577" s="21"/>
    </row>
    <row r="578" spans="1:10" x14ac:dyDescent="0.3">
      <c r="A578" s="21" t="s">
        <v>421</v>
      </c>
      <c r="B578" s="21">
        <v>4.8000000000000001E-2</v>
      </c>
      <c r="C578" s="21" t="s">
        <v>187</v>
      </c>
      <c r="D578" s="21" t="s">
        <v>98</v>
      </c>
      <c r="E578" s="21" t="s">
        <v>78</v>
      </c>
      <c r="F578" s="21" t="s">
        <v>91</v>
      </c>
      <c r="G578" s="21"/>
      <c r="H578" s="21"/>
      <c r="I578" s="21"/>
      <c r="J578" s="21"/>
    </row>
    <row r="579" spans="1:10" x14ac:dyDescent="0.3">
      <c r="A579" s="21" t="s">
        <v>422</v>
      </c>
      <c r="B579" s="21">
        <v>2.8000000000000001E-2</v>
      </c>
      <c r="C579" s="21" t="s">
        <v>187</v>
      </c>
      <c r="D579" s="21" t="s">
        <v>98</v>
      </c>
      <c r="E579" s="21" t="s">
        <v>78</v>
      </c>
      <c r="F579" s="21" t="s">
        <v>91</v>
      </c>
      <c r="G579" s="21"/>
      <c r="H579" s="21"/>
      <c r="I579" s="21"/>
      <c r="J579" s="21"/>
    </row>
    <row r="580" spans="1:10" x14ac:dyDescent="0.3">
      <c r="A580" s="21" t="s">
        <v>423</v>
      </c>
      <c r="B580" s="21">
        <v>0.48</v>
      </c>
      <c r="C580" s="21" t="s">
        <v>187</v>
      </c>
      <c r="D580" s="21" t="s">
        <v>98</v>
      </c>
      <c r="E580" s="21" t="s">
        <v>78</v>
      </c>
      <c r="F580" s="21" t="s">
        <v>91</v>
      </c>
      <c r="G580" s="21"/>
      <c r="H580" s="21"/>
      <c r="I580" s="21"/>
      <c r="J580" s="21"/>
    </row>
    <row r="581" spans="1:10" x14ac:dyDescent="0.3">
      <c r="A581" s="21" t="s">
        <v>239</v>
      </c>
      <c r="B581" s="21">
        <v>1.9000000000000001E-8</v>
      </c>
      <c r="C581" s="21" t="s">
        <v>193</v>
      </c>
      <c r="D581" s="21" t="s">
        <v>98</v>
      </c>
      <c r="E581" s="21" t="s">
        <v>77</v>
      </c>
      <c r="F581" s="21" t="s">
        <v>91</v>
      </c>
      <c r="G581" s="21" t="s">
        <v>240</v>
      </c>
      <c r="H581" s="21"/>
      <c r="I581" s="21"/>
      <c r="J581" s="21"/>
    </row>
    <row r="582" spans="1:10" x14ac:dyDescent="0.3">
      <c r="A582" s="21" t="s">
        <v>267</v>
      </c>
      <c r="B582" s="21">
        <v>0.2</v>
      </c>
      <c r="C582" s="21" t="s">
        <v>193</v>
      </c>
      <c r="D582" s="21" t="s">
        <v>268</v>
      </c>
      <c r="E582" s="21" t="s">
        <v>243</v>
      </c>
      <c r="F582" s="21" t="s">
        <v>91</v>
      </c>
      <c r="G582" s="21" t="s">
        <v>269</v>
      </c>
      <c r="H582" s="21"/>
      <c r="I582" s="21"/>
      <c r="J582" s="21"/>
    </row>
    <row r="583" spans="1:10" x14ac:dyDescent="0.3">
      <c r="A583" s="21" t="s">
        <v>270</v>
      </c>
      <c r="B583" s="21">
        <v>0.1</v>
      </c>
      <c r="C583" s="21" t="s">
        <v>193</v>
      </c>
      <c r="D583" s="21" t="s">
        <v>242</v>
      </c>
      <c r="E583" s="21" t="s">
        <v>243</v>
      </c>
      <c r="F583" s="21" t="s">
        <v>91</v>
      </c>
      <c r="G583" s="21" t="s">
        <v>271</v>
      </c>
      <c r="H583" s="21"/>
      <c r="I583" s="21"/>
      <c r="J583" s="21"/>
    </row>
    <row r="584" spans="1:10" x14ac:dyDescent="0.3">
      <c r="A584" s="21"/>
      <c r="B584" s="21"/>
      <c r="C584" s="21"/>
      <c r="D584" s="21"/>
      <c r="E584" s="21"/>
      <c r="F584" s="21"/>
      <c r="G584" s="21"/>
      <c r="H584" s="21"/>
      <c r="I584" s="21"/>
      <c r="J584" s="21"/>
    </row>
    <row r="585" spans="1:10" ht="15.6" x14ac:dyDescent="0.3">
      <c r="A585" s="11" t="s">
        <v>72</v>
      </c>
      <c r="B585" s="11" t="s">
        <v>418</v>
      </c>
      <c r="C585" s="21"/>
      <c r="D585" s="21"/>
      <c r="E585" s="21"/>
      <c r="F585" s="21"/>
      <c r="G585" s="21"/>
      <c r="H585" s="21"/>
      <c r="I585" s="21"/>
      <c r="J585" s="21"/>
    </row>
    <row r="586" spans="1:10" x14ac:dyDescent="0.3">
      <c r="A586" s="21" t="s">
        <v>202</v>
      </c>
      <c r="B586" s="21" t="s">
        <v>424</v>
      </c>
      <c r="C586" s="21"/>
      <c r="D586" s="21"/>
      <c r="E586" s="21"/>
      <c r="F586" s="21"/>
      <c r="G586" s="21"/>
      <c r="H586" s="21"/>
      <c r="I586" s="21"/>
      <c r="J586" s="21"/>
    </row>
    <row r="587" spans="1:10" x14ac:dyDescent="0.3">
      <c r="A587" s="21" t="s">
        <v>84</v>
      </c>
      <c r="B587" s="21" t="s">
        <v>86</v>
      </c>
      <c r="C587" s="21"/>
      <c r="D587" s="21"/>
      <c r="E587" s="21"/>
      <c r="F587" s="21"/>
      <c r="G587" s="21"/>
      <c r="H587" s="21"/>
      <c r="I587" s="21"/>
      <c r="J587" s="21"/>
    </row>
    <row r="588" spans="1:10" x14ac:dyDescent="0.3">
      <c r="A588" s="21" t="s">
        <v>73</v>
      </c>
      <c r="B588" s="21" t="s">
        <v>98</v>
      </c>
      <c r="C588" s="21"/>
      <c r="D588" s="21"/>
      <c r="E588" s="21"/>
      <c r="F588" s="21"/>
      <c r="G588" s="21"/>
      <c r="H588" s="21"/>
      <c r="I588" s="21"/>
      <c r="J588" s="21"/>
    </row>
    <row r="589" spans="1:10" x14ac:dyDescent="0.3">
      <c r="A589" s="21" t="s">
        <v>186</v>
      </c>
      <c r="B589" s="21">
        <v>1</v>
      </c>
      <c r="C589" s="21"/>
      <c r="D589" s="21"/>
      <c r="E589" s="21"/>
      <c r="F589" s="21"/>
      <c r="G589" s="21"/>
      <c r="H589" s="21"/>
      <c r="I589" s="21"/>
      <c r="J589" s="21"/>
    </row>
    <row r="590" spans="1:10" x14ac:dyDescent="0.3">
      <c r="A590" s="21" t="s">
        <v>74</v>
      </c>
      <c r="B590" s="21" t="s">
        <v>418</v>
      </c>
      <c r="C590" s="21"/>
      <c r="D590" s="21"/>
      <c r="E590" s="21"/>
      <c r="F590" s="21"/>
      <c r="G590" s="21"/>
      <c r="H590" s="21"/>
      <c r="I590" s="21"/>
      <c r="J590" s="21"/>
    </row>
    <row r="591" spans="1:10" x14ac:dyDescent="0.3">
      <c r="A591" s="21" t="s">
        <v>77</v>
      </c>
      <c r="B591" s="21" t="s">
        <v>78</v>
      </c>
      <c r="C591" s="21"/>
      <c r="D591" s="21"/>
      <c r="E591" s="21"/>
      <c r="F591" s="21"/>
      <c r="G591" s="21"/>
      <c r="H591" s="21"/>
      <c r="I591" s="21"/>
      <c r="J591" s="21"/>
    </row>
    <row r="592" spans="1:10" x14ac:dyDescent="0.3">
      <c r="A592" s="21" t="s">
        <v>204</v>
      </c>
      <c r="B592" s="21" t="s">
        <v>187</v>
      </c>
      <c r="C592" s="21"/>
      <c r="D592" s="21"/>
      <c r="E592" s="21"/>
      <c r="F592" s="21"/>
      <c r="G592" s="21"/>
      <c r="H592" s="21"/>
      <c r="I592" s="21"/>
      <c r="J592" s="21"/>
    </row>
    <row r="593" spans="1:10" ht="15.6" x14ac:dyDescent="0.3">
      <c r="A593" s="11" t="s">
        <v>80</v>
      </c>
      <c r="B593" s="21"/>
      <c r="C593" s="21"/>
      <c r="D593" s="21"/>
      <c r="E593" s="21"/>
      <c r="F593" s="21"/>
      <c r="G593" s="21"/>
      <c r="H593" s="21"/>
      <c r="I593" s="21"/>
      <c r="J593" s="21"/>
    </row>
    <row r="594" spans="1:10" x14ac:dyDescent="0.3">
      <c r="A594" s="21" t="s">
        <v>81</v>
      </c>
      <c r="B594" s="21" t="s">
        <v>82</v>
      </c>
      <c r="C594" s="21" t="s">
        <v>188</v>
      </c>
      <c r="D594" s="21" t="s">
        <v>73</v>
      </c>
      <c r="E594" s="21" t="s">
        <v>77</v>
      </c>
      <c r="F594" s="21" t="s">
        <v>75</v>
      </c>
      <c r="G594" s="21" t="s">
        <v>74</v>
      </c>
      <c r="H594" s="21"/>
      <c r="I594" s="21"/>
      <c r="J594" s="21"/>
    </row>
    <row r="595" spans="1:10" x14ac:dyDescent="0.3">
      <c r="A595" s="21" t="s">
        <v>418</v>
      </c>
      <c r="B595" s="21">
        <v>1</v>
      </c>
      <c r="C595" s="21" t="s">
        <v>187</v>
      </c>
      <c r="D595" s="21" t="s">
        <v>98</v>
      </c>
      <c r="E595" s="21" t="s">
        <v>78</v>
      </c>
      <c r="F595" s="21" t="s">
        <v>85</v>
      </c>
      <c r="G595" s="21"/>
      <c r="H595" s="21"/>
      <c r="I595" s="21"/>
      <c r="J595" s="21"/>
    </row>
    <row r="596" spans="1:10" x14ac:dyDescent="0.3">
      <c r="A596" s="21" t="s">
        <v>216</v>
      </c>
      <c r="B596" s="21">
        <v>1</v>
      </c>
      <c r="C596" s="21" t="s">
        <v>193</v>
      </c>
      <c r="D596" s="21" t="s">
        <v>98</v>
      </c>
      <c r="E596" s="21" t="s">
        <v>78</v>
      </c>
      <c r="F596" s="21" t="s">
        <v>91</v>
      </c>
      <c r="G596" s="21" t="s">
        <v>217</v>
      </c>
      <c r="H596" s="21"/>
      <c r="I596" s="21"/>
      <c r="J596" s="21"/>
    </row>
    <row r="597" spans="1:10" x14ac:dyDescent="0.3">
      <c r="A597" s="21" t="s">
        <v>288</v>
      </c>
      <c r="B597" s="21">
        <v>9.0999999999999998E-2</v>
      </c>
      <c r="C597" s="21" t="s">
        <v>193</v>
      </c>
      <c r="D597" s="21" t="s">
        <v>98</v>
      </c>
      <c r="E597" s="21" t="s">
        <v>78</v>
      </c>
      <c r="F597" s="21" t="s">
        <v>91</v>
      </c>
      <c r="G597" s="21" t="s">
        <v>289</v>
      </c>
      <c r="H597" s="21"/>
      <c r="I597" s="21"/>
      <c r="J597" s="21"/>
    </row>
    <row r="598" spans="1:10" x14ac:dyDescent="0.3">
      <c r="A598" s="21" t="s">
        <v>218</v>
      </c>
      <c r="B598" s="21">
        <v>1.4000000000000001E-10</v>
      </c>
      <c r="C598" s="21" t="s">
        <v>193</v>
      </c>
      <c r="D598" s="21" t="s">
        <v>98</v>
      </c>
      <c r="E598" s="21" t="s">
        <v>77</v>
      </c>
      <c r="F598" s="21" t="s">
        <v>91</v>
      </c>
      <c r="G598" s="21" t="s">
        <v>219</v>
      </c>
      <c r="H598" s="21"/>
      <c r="I598" s="21"/>
      <c r="J598" s="21"/>
    </row>
    <row r="599" spans="1:10" x14ac:dyDescent="0.3">
      <c r="A599" s="21" t="s">
        <v>292</v>
      </c>
      <c r="B599" s="21">
        <v>9.0999999999999998E-2</v>
      </c>
      <c r="C599" s="21" t="s">
        <v>193</v>
      </c>
      <c r="D599" s="21" t="s">
        <v>98</v>
      </c>
      <c r="E599" s="21" t="s">
        <v>78</v>
      </c>
      <c r="F599" s="21" t="s">
        <v>91</v>
      </c>
      <c r="G599" s="21" t="s">
        <v>293</v>
      </c>
      <c r="H599" s="21"/>
      <c r="I599" s="21"/>
      <c r="J599" s="21"/>
    </row>
    <row r="600" spans="1:10" x14ac:dyDescent="0.3">
      <c r="A600" s="21" t="s">
        <v>296</v>
      </c>
      <c r="B600" s="21">
        <v>0.91</v>
      </c>
      <c r="C600" s="21" t="s">
        <v>193</v>
      </c>
      <c r="D600" s="21" t="s">
        <v>98</v>
      </c>
      <c r="E600" s="21" t="s">
        <v>78</v>
      </c>
      <c r="F600" s="21" t="s">
        <v>91</v>
      </c>
      <c r="G600" s="21" t="s">
        <v>297</v>
      </c>
      <c r="H600" s="21"/>
      <c r="I600" s="21"/>
      <c r="J600" s="21"/>
    </row>
    <row r="601" spans="1:10" x14ac:dyDescent="0.3">
      <c r="A601" s="21" t="s">
        <v>300</v>
      </c>
      <c r="B601" s="21">
        <v>6.7000000000000001E-11</v>
      </c>
      <c r="C601" s="21" t="s">
        <v>193</v>
      </c>
      <c r="D601" s="21" t="s">
        <v>98</v>
      </c>
      <c r="E601" s="21" t="s">
        <v>77</v>
      </c>
      <c r="F601" s="21" t="s">
        <v>91</v>
      </c>
      <c r="G601" s="21" t="s">
        <v>301</v>
      </c>
      <c r="H601" s="21"/>
      <c r="I601" s="21"/>
      <c r="J601" s="21"/>
    </row>
    <row r="602" spans="1:10" x14ac:dyDescent="0.3">
      <c r="A602" s="21"/>
      <c r="B602" s="21"/>
      <c r="C602" s="21"/>
      <c r="D602" s="21"/>
      <c r="E602" s="21"/>
      <c r="F602" s="21"/>
      <c r="G602" s="21"/>
      <c r="H602" s="21"/>
      <c r="I602" s="21"/>
      <c r="J602" s="21"/>
    </row>
    <row r="603" spans="1:10" ht="15.6" x14ac:dyDescent="0.3">
      <c r="A603" s="11" t="s">
        <v>72</v>
      </c>
      <c r="B603" s="11" t="s">
        <v>419</v>
      </c>
      <c r="C603" s="21"/>
      <c r="D603" s="21"/>
      <c r="E603" s="21"/>
      <c r="F603" s="21"/>
      <c r="G603" s="21"/>
      <c r="H603" s="21"/>
      <c r="I603" s="21"/>
      <c r="J603" s="21"/>
    </row>
    <row r="604" spans="1:10" x14ac:dyDescent="0.3">
      <c r="A604" s="21" t="s">
        <v>202</v>
      </c>
      <c r="B604" s="21" t="s">
        <v>425</v>
      </c>
      <c r="C604" s="21"/>
      <c r="D604" s="21"/>
      <c r="E604" s="21"/>
      <c r="F604" s="21"/>
      <c r="G604" s="21"/>
      <c r="H604" s="21"/>
      <c r="I604" s="21"/>
      <c r="J604" s="21"/>
    </row>
    <row r="605" spans="1:10" x14ac:dyDescent="0.3">
      <c r="A605" s="21" t="s">
        <v>84</v>
      </c>
      <c r="B605" s="21" t="s">
        <v>86</v>
      </c>
      <c r="C605" s="21"/>
      <c r="D605" s="21"/>
      <c r="E605" s="21"/>
      <c r="F605" s="21"/>
      <c r="G605" s="21"/>
      <c r="H605" s="21"/>
      <c r="I605" s="21"/>
      <c r="J605" s="21"/>
    </row>
    <row r="606" spans="1:10" x14ac:dyDescent="0.3">
      <c r="A606" s="21" t="s">
        <v>73</v>
      </c>
      <c r="B606" s="21" t="s">
        <v>98</v>
      </c>
      <c r="C606" s="21"/>
      <c r="D606" s="21"/>
      <c r="E606" s="21"/>
      <c r="F606" s="21"/>
      <c r="G606" s="21"/>
      <c r="H606" s="21"/>
      <c r="I606" s="21"/>
      <c r="J606" s="21"/>
    </row>
    <row r="607" spans="1:10" x14ac:dyDescent="0.3">
      <c r="A607" s="21" t="s">
        <v>186</v>
      </c>
      <c r="B607" s="21">
        <v>1</v>
      </c>
      <c r="C607" s="21"/>
      <c r="D607" s="21"/>
      <c r="E607" s="21"/>
      <c r="F607" s="21"/>
      <c r="G607" s="21"/>
      <c r="H607" s="21"/>
      <c r="I607" s="21"/>
      <c r="J607" s="21"/>
    </row>
    <row r="608" spans="1:10" x14ac:dyDescent="0.3">
      <c r="A608" s="21" t="s">
        <v>74</v>
      </c>
      <c r="B608" s="21" t="s">
        <v>419</v>
      </c>
      <c r="C608" s="21"/>
      <c r="D608" s="21"/>
      <c r="E608" s="21"/>
      <c r="F608" s="21"/>
      <c r="G608" s="21"/>
      <c r="H608" s="21"/>
      <c r="I608" s="21"/>
      <c r="J608" s="21"/>
    </row>
    <row r="609" spans="1:10" x14ac:dyDescent="0.3">
      <c r="A609" s="21" t="s">
        <v>77</v>
      </c>
      <c r="B609" s="21" t="s">
        <v>78</v>
      </c>
      <c r="C609" s="21"/>
      <c r="D609" s="21"/>
      <c r="E609" s="21"/>
      <c r="F609" s="21"/>
      <c r="G609" s="21"/>
      <c r="H609" s="21"/>
      <c r="I609" s="21"/>
      <c r="J609" s="21"/>
    </row>
    <row r="610" spans="1:10" x14ac:dyDescent="0.3">
      <c r="A610" s="21" t="s">
        <v>204</v>
      </c>
      <c r="B610" s="21" t="s">
        <v>187</v>
      </c>
      <c r="C610" s="21"/>
      <c r="D610" s="21"/>
      <c r="E610" s="21"/>
      <c r="F610" s="21"/>
      <c r="G610" s="21"/>
      <c r="H610" s="21"/>
      <c r="I610" s="21"/>
      <c r="J610" s="21"/>
    </row>
    <row r="611" spans="1:10" ht="15.6" x14ac:dyDescent="0.3">
      <c r="A611" s="11" t="s">
        <v>80</v>
      </c>
      <c r="B611" s="21"/>
      <c r="C611" s="21"/>
      <c r="D611" s="21"/>
      <c r="E611" s="21"/>
      <c r="F611" s="21"/>
      <c r="G611" s="21"/>
      <c r="H611" s="21"/>
      <c r="I611" s="21"/>
      <c r="J611" s="21"/>
    </row>
    <row r="612" spans="1:10" x14ac:dyDescent="0.3">
      <c r="A612" s="21" t="s">
        <v>81</v>
      </c>
      <c r="B612" s="21" t="s">
        <v>82</v>
      </c>
      <c r="C612" s="21" t="s">
        <v>188</v>
      </c>
      <c r="D612" s="21" t="s">
        <v>73</v>
      </c>
      <c r="E612" s="21" t="s">
        <v>77</v>
      </c>
      <c r="F612" s="21" t="s">
        <v>75</v>
      </c>
      <c r="G612" s="21" t="s">
        <v>74</v>
      </c>
      <c r="H612" s="21"/>
      <c r="I612" s="21"/>
      <c r="J612" s="21"/>
    </row>
    <row r="613" spans="1:10" x14ac:dyDescent="0.3">
      <c r="A613" s="21" t="s">
        <v>419</v>
      </c>
      <c r="B613" s="21">
        <v>1</v>
      </c>
      <c r="C613" s="21" t="s">
        <v>187</v>
      </c>
      <c r="D613" s="21" t="s">
        <v>98</v>
      </c>
      <c r="E613" s="21" t="s">
        <v>78</v>
      </c>
      <c r="F613" s="21" t="s">
        <v>85</v>
      </c>
      <c r="G613" s="21"/>
      <c r="H613" s="21"/>
      <c r="I613" s="21"/>
      <c r="J613" s="21"/>
    </row>
    <row r="614" spans="1:10" x14ac:dyDescent="0.3">
      <c r="A614" s="21" t="s">
        <v>288</v>
      </c>
      <c r="B614" s="21">
        <v>3.1E-2</v>
      </c>
      <c r="C614" s="21" t="s">
        <v>193</v>
      </c>
      <c r="D614" s="21" t="s">
        <v>98</v>
      </c>
      <c r="E614" s="21" t="s">
        <v>78</v>
      </c>
      <c r="F614" s="21" t="s">
        <v>91</v>
      </c>
      <c r="G614" s="21" t="s">
        <v>289</v>
      </c>
      <c r="H614" s="21"/>
      <c r="I614" s="21"/>
      <c r="J614" s="21"/>
    </row>
    <row r="615" spans="1:10" x14ac:dyDescent="0.3">
      <c r="A615" s="21" t="s">
        <v>290</v>
      </c>
      <c r="B615" s="21">
        <v>0.82</v>
      </c>
      <c r="C615" s="21" t="s">
        <v>193</v>
      </c>
      <c r="D615" s="21" t="s">
        <v>98</v>
      </c>
      <c r="E615" s="21" t="s">
        <v>78</v>
      </c>
      <c r="F615" s="21" t="s">
        <v>91</v>
      </c>
      <c r="G615" s="21" t="s">
        <v>291</v>
      </c>
      <c r="H615" s="21"/>
      <c r="I615" s="21"/>
      <c r="J615" s="21"/>
    </row>
    <row r="616" spans="1:10" x14ac:dyDescent="0.3">
      <c r="A616" s="21" t="s">
        <v>290</v>
      </c>
      <c r="B616" s="21">
        <v>0.15</v>
      </c>
      <c r="C616" s="21" t="s">
        <v>193</v>
      </c>
      <c r="D616" s="21" t="s">
        <v>98</v>
      </c>
      <c r="E616" s="21" t="s">
        <v>78</v>
      </c>
      <c r="F616" s="21" t="s">
        <v>91</v>
      </c>
      <c r="G616" s="21" t="s">
        <v>291</v>
      </c>
      <c r="H616" s="21"/>
      <c r="I616" s="21"/>
      <c r="J616" s="21"/>
    </row>
    <row r="617" spans="1:10" x14ac:dyDescent="0.3">
      <c r="A617" s="21" t="s">
        <v>292</v>
      </c>
      <c r="B617" s="21">
        <v>3.1E-2</v>
      </c>
      <c r="C617" s="21" t="s">
        <v>193</v>
      </c>
      <c r="D617" s="21" t="s">
        <v>98</v>
      </c>
      <c r="E617" s="21" t="s">
        <v>78</v>
      </c>
      <c r="F617" s="21" t="s">
        <v>91</v>
      </c>
      <c r="G617" s="21" t="s">
        <v>293</v>
      </c>
      <c r="H617" s="21"/>
      <c r="I617" s="21"/>
      <c r="J617" s="21"/>
    </row>
    <row r="618" spans="1:10" x14ac:dyDescent="0.3">
      <c r="A618" s="21" t="s">
        <v>294</v>
      </c>
      <c r="B618" s="21">
        <v>4.3999999999999998E-10</v>
      </c>
      <c r="C618" s="21" t="s">
        <v>193</v>
      </c>
      <c r="D618" s="21" t="s">
        <v>98</v>
      </c>
      <c r="E618" s="21" t="s">
        <v>77</v>
      </c>
      <c r="F618" s="21" t="s">
        <v>91</v>
      </c>
      <c r="G618" s="21" t="s">
        <v>295</v>
      </c>
      <c r="H618" s="21"/>
      <c r="I618" s="21"/>
      <c r="J618" s="21"/>
    </row>
    <row r="619" spans="1:10" x14ac:dyDescent="0.3">
      <c r="A619" s="21" t="s">
        <v>298</v>
      </c>
      <c r="B619" s="21">
        <v>0.97</v>
      </c>
      <c r="C619" s="21" t="s">
        <v>193</v>
      </c>
      <c r="D619" s="21" t="s">
        <v>98</v>
      </c>
      <c r="E619" s="21" t="s">
        <v>78</v>
      </c>
      <c r="F619" s="21" t="s">
        <v>91</v>
      </c>
      <c r="G619" s="21" t="s">
        <v>299</v>
      </c>
      <c r="H619" s="21"/>
      <c r="I619" s="21"/>
      <c r="J619" s="21"/>
    </row>
    <row r="620" spans="1:10" x14ac:dyDescent="0.3">
      <c r="A620" s="21" t="s">
        <v>300</v>
      </c>
      <c r="B620" s="21">
        <v>2.3000000000000001E-11</v>
      </c>
      <c r="C620" s="21" t="s">
        <v>193</v>
      </c>
      <c r="D620" s="21" t="s">
        <v>98</v>
      </c>
      <c r="E620" s="21" t="s">
        <v>77</v>
      </c>
      <c r="F620" s="21" t="s">
        <v>91</v>
      </c>
      <c r="G620" s="21" t="s">
        <v>301</v>
      </c>
      <c r="H620" s="21"/>
      <c r="I620" s="21"/>
      <c r="J620" s="21"/>
    </row>
    <row r="621" spans="1:10" x14ac:dyDescent="0.3">
      <c r="A621" s="21"/>
      <c r="B621" s="21"/>
      <c r="C621" s="21"/>
      <c r="D621" s="21"/>
      <c r="E621" s="21"/>
      <c r="F621" s="21"/>
      <c r="G621" s="21"/>
      <c r="H621" s="21"/>
      <c r="I621" s="21"/>
      <c r="J621" s="21"/>
    </row>
    <row r="622" spans="1:10" ht="15.6" x14ac:dyDescent="0.3">
      <c r="A622" s="11" t="s">
        <v>72</v>
      </c>
      <c r="B622" s="11" t="s">
        <v>277</v>
      </c>
      <c r="C622" s="21"/>
      <c r="D622" s="21"/>
      <c r="E622" s="21"/>
      <c r="F622" s="21"/>
      <c r="G622" s="21"/>
      <c r="H622" s="21"/>
      <c r="I622" s="21"/>
      <c r="J622" s="21"/>
    </row>
    <row r="623" spans="1:10" x14ac:dyDescent="0.3">
      <c r="A623" s="21" t="s">
        <v>202</v>
      </c>
      <c r="B623" s="21" t="s">
        <v>426</v>
      </c>
      <c r="C623" s="21"/>
      <c r="D623" s="21"/>
      <c r="E623" s="21"/>
      <c r="F623" s="21"/>
      <c r="G623" s="21"/>
      <c r="H623" s="21"/>
      <c r="I623" s="21"/>
      <c r="J623" s="21"/>
    </row>
    <row r="624" spans="1:10" x14ac:dyDescent="0.3">
      <c r="A624" s="21" t="s">
        <v>84</v>
      </c>
      <c r="B624" s="21" t="s">
        <v>86</v>
      </c>
      <c r="C624" s="21"/>
      <c r="D624" s="21"/>
      <c r="E624" s="21"/>
      <c r="F624" s="21"/>
      <c r="G624" s="21"/>
      <c r="H624" s="21"/>
      <c r="I624" s="21"/>
      <c r="J624" s="21"/>
    </row>
    <row r="625" spans="1:10" x14ac:dyDescent="0.3">
      <c r="A625" s="21" t="s">
        <v>73</v>
      </c>
      <c r="B625" s="21" t="s">
        <v>98</v>
      </c>
      <c r="C625" s="21"/>
      <c r="D625" s="21"/>
      <c r="E625" s="21"/>
      <c r="F625" s="21"/>
      <c r="G625" s="21"/>
      <c r="H625" s="21"/>
      <c r="I625" s="21"/>
      <c r="J625" s="21"/>
    </row>
    <row r="626" spans="1:10" x14ac:dyDescent="0.3">
      <c r="A626" s="21" t="s">
        <v>186</v>
      </c>
      <c r="B626" s="21">
        <v>1</v>
      </c>
      <c r="C626" s="21"/>
      <c r="D626" s="21"/>
      <c r="E626" s="21"/>
      <c r="F626" s="21"/>
      <c r="G626" s="21"/>
      <c r="H626" s="21"/>
      <c r="I626" s="21"/>
      <c r="J626" s="21"/>
    </row>
    <row r="627" spans="1:10" x14ac:dyDescent="0.3">
      <c r="A627" s="21" t="s">
        <v>74</v>
      </c>
      <c r="B627" s="21" t="s">
        <v>277</v>
      </c>
      <c r="C627" s="21"/>
      <c r="D627" s="21"/>
      <c r="E627" s="21"/>
      <c r="F627" s="21"/>
      <c r="G627" s="21"/>
      <c r="H627" s="21"/>
      <c r="I627" s="21"/>
      <c r="J627" s="21"/>
    </row>
    <row r="628" spans="1:10" x14ac:dyDescent="0.3">
      <c r="A628" s="21" t="s">
        <v>77</v>
      </c>
      <c r="B628" s="21" t="s">
        <v>78</v>
      </c>
      <c r="C628" s="21"/>
      <c r="D628" s="21"/>
      <c r="E628" s="21"/>
      <c r="F628" s="21"/>
      <c r="G628" s="21"/>
      <c r="H628" s="21"/>
      <c r="I628" s="21"/>
      <c r="J628" s="21"/>
    </row>
    <row r="629" spans="1:10" x14ac:dyDescent="0.3">
      <c r="A629" s="21" t="s">
        <v>204</v>
      </c>
      <c r="B629" s="21" t="s">
        <v>187</v>
      </c>
      <c r="C629" s="21"/>
      <c r="D629" s="21"/>
      <c r="E629" s="21"/>
      <c r="F629" s="21"/>
      <c r="G629" s="21"/>
      <c r="H629" s="21"/>
      <c r="I629" s="21"/>
      <c r="J629" s="21"/>
    </row>
    <row r="630" spans="1:10" ht="15.6" x14ac:dyDescent="0.3">
      <c r="A630" s="11" t="s">
        <v>80</v>
      </c>
      <c r="B630" s="21"/>
      <c r="C630" s="21"/>
      <c r="D630" s="21"/>
      <c r="E630" s="21"/>
      <c r="F630" s="21"/>
      <c r="G630" s="21"/>
      <c r="H630" s="21"/>
      <c r="I630" s="21"/>
      <c r="J630" s="21"/>
    </row>
    <row r="631" spans="1:10" x14ac:dyDescent="0.3">
      <c r="A631" s="21" t="s">
        <v>81</v>
      </c>
      <c r="B631" s="21" t="s">
        <v>82</v>
      </c>
      <c r="C631" s="21" t="s">
        <v>188</v>
      </c>
      <c r="D631" s="21" t="s">
        <v>73</v>
      </c>
      <c r="E631" s="21" t="s">
        <v>77</v>
      </c>
      <c r="F631" s="21" t="s">
        <v>75</v>
      </c>
      <c r="G631" s="21" t="s">
        <v>74</v>
      </c>
      <c r="H631" s="21"/>
      <c r="I631" s="21"/>
      <c r="J631" s="21"/>
    </row>
    <row r="632" spans="1:10" x14ac:dyDescent="0.3">
      <c r="A632" s="21" t="s">
        <v>277</v>
      </c>
      <c r="B632" s="21">
        <v>1</v>
      </c>
      <c r="C632" s="21" t="s">
        <v>187</v>
      </c>
      <c r="D632" s="21" t="s">
        <v>98</v>
      </c>
      <c r="E632" s="21" t="s">
        <v>78</v>
      </c>
      <c r="F632" s="21" t="s">
        <v>85</v>
      </c>
      <c r="G632" s="21"/>
      <c r="H632" s="21"/>
      <c r="I632" s="21"/>
      <c r="J632" s="21"/>
    </row>
    <row r="633" spans="1:10" x14ac:dyDescent="0.3">
      <c r="A633" s="21" t="s">
        <v>294</v>
      </c>
      <c r="B633" s="21">
        <v>4.6000000000000001E-10</v>
      </c>
      <c r="C633" s="21" t="s">
        <v>193</v>
      </c>
      <c r="D633" s="21" t="s">
        <v>98</v>
      </c>
      <c r="E633" s="21" t="s">
        <v>77</v>
      </c>
      <c r="F633" s="21" t="s">
        <v>91</v>
      </c>
      <c r="G633" s="21" t="s">
        <v>295</v>
      </c>
      <c r="H633" s="21"/>
      <c r="I633" s="21"/>
      <c r="J633" s="21"/>
    </row>
    <row r="634" spans="1:10" x14ac:dyDescent="0.3">
      <c r="A634" s="21" t="s">
        <v>326</v>
      </c>
      <c r="B634" s="21">
        <v>1</v>
      </c>
      <c r="C634" s="21" t="s">
        <v>193</v>
      </c>
      <c r="D634" s="21" t="s">
        <v>98</v>
      </c>
      <c r="E634" s="21" t="s">
        <v>78</v>
      </c>
      <c r="F634" s="21" t="s">
        <v>91</v>
      </c>
      <c r="G634" s="21" t="s">
        <v>327</v>
      </c>
      <c r="H634" s="21"/>
      <c r="I634" s="21"/>
      <c r="J634" s="21"/>
    </row>
    <row r="635" spans="1:10" x14ac:dyDescent="0.3">
      <c r="A635" s="21" t="s">
        <v>332</v>
      </c>
      <c r="B635" s="21">
        <v>1</v>
      </c>
      <c r="C635" s="21" t="s">
        <v>193</v>
      </c>
      <c r="D635" s="21" t="s">
        <v>98</v>
      </c>
      <c r="E635" s="21" t="s">
        <v>78</v>
      </c>
      <c r="F635" s="21" t="s">
        <v>91</v>
      </c>
      <c r="G635" s="21" t="s">
        <v>333</v>
      </c>
      <c r="H635" s="21"/>
      <c r="I635" s="21"/>
      <c r="J635" s="21"/>
    </row>
    <row r="636" spans="1:10" x14ac:dyDescent="0.3">
      <c r="A636" s="21"/>
      <c r="B636" s="21"/>
      <c r="C636" s="21"/>
      <c r="D636" s="21"/>
      <c r="E636" s="21"/>
      <c r="F636" s="21"/>
      <c r="G636" s="21"/>
      <c r="H636" s="21"/>
      <c r="I636" s="21"/>
      <c r="J636" s="21"/>
    </row>
    <row r="637" spans="1:10" ht="15.6" x14ac:dyDescent="0.3">
      <c r="A637" s="11" t="s">
        <v>72</v>
      </c>
      <c r="B637" s="11" t="s">
        <v>420</v>
      </c>
      <c r="C637" s="21"/>
      <c r="D637" s="21"/>
      <c r="E637" s="21"/>
      <c r="F637" s="21"/>
      <c r="G637" s="21"/>
      <c r="H637" s="21"/>
      <c r="I637" s="21"/>
      <c r="J637" s="21"/>
    </row>
    <row r="638" spans="1:10" x14ac:dyDescent="0.3">
      <c r="A638" s="21" t="s">
        <v>202</v>
      </c>
      <c r="B638" s="21" t="s">
        <v>427</v>
      </c>
      <c r="C638" s="21"/>
      <c r="D638" s="21"/>
      <c r="E638" s="21"/>
      <c r="F638" s="21"/>
      <c r="G638" s="21"/>
      <c r="H638" s="21"/>
      <c r="I638" s="21"/>
      <c r="J638" s="21"/>
    </row>
    <row r="639" spans="1:10" x14ac:dyDescent="0.3">
      <c r="A639" s="21" t="s">
        <v>84</v>
      </c>
      <c r="B639" s="21" t="s">
        <v>86</v>
      </c>
      <c r="C639" s="21"/>
      <c r="D639" s="21"/>
      <c r="E639" s="21"/>
      <c r="F639" s="21"/>
      <c r="G639" s="21"/>
      <c r="H639" s="21"/>
      <c r="I639" s="21"/>
      <c r="J639" s="21"/>
    </row>
    <row r="640" spans="1:10" x14ac:dyDescent="0.3">
      <c r="A640" s="21" t="s">
        <v>73</v>
      </c>
      <c r="B640" s="21" t="s">
        <v>98</v>
      </c>
      <c r="C640" s="21"/>
      <c r="D640" s="21"/>
      <c r="E640" s="21"/>
      <c r="F640" s="21"/>
      <c r="G640" s="21"/>
      <c r="H640" s="21"/>
      <c r="I640" s="21"/>
      <c r="J640" s="21"/>
    </row>
    <row r="641" spans="1:10" x14ac:dyDescent="0.3">
      <c r="A641" s="21" t="s">
        <v>186</v>
      </c>
      <c r="B641" s="21">
        <v>1</v>
      </c>
      <c r="C641" s="21"/>
      <c r="D641" s="21"/>
      <c r="E641" s="21"/>
      <c r="F641" s="21"/>
      <c r="G641" s="21"/>
      <c r="H641" s="21"/>
      <c r="I641" s="21"/>
      <c r="J641" s="21"/>
    </row>
    <row r="642" spans="1:10" x14ac:dyDescent="0.3">
      <c r="A642" s="21" t="s">
        <v>74</v>
      </c>
      <c r="B642" s="21" t="s">
        <v>420</v>
      </c>
      <c r="C642" s="21"/>
      <c r="D642" s="21"/>
      <c r="E642" s="21"/>
      <c r="F642" s="21"/>
      <c r="G642" s="21"/>
      <c r="H642" s="21"/>
      <c r="I642" s="21"/>
      <c r="J642" s="21"/>
    </row>
    <row r="643" spans="1:10" x14ac:dyDescent="0.3">
      <c r="A643" s="21" t="s">
        <v>77</v>
      </c>
      <c r="B643" s="21" t="s">
        <v>78</v>
      </c>
      <c r="C643" s="21"/>
      <c r="D643" s="21"/>
      <c r="E643" s="21"/>
      <c r="F643" s="21"/>
      <c r="G643" s="21"/>
      <c r="H643" s="21"/>
      <c r="I643" s="21"/>
      <c r="J643" s="21"/>
    </row>
    <row r="644" spans="1:10" x14ac:dyDescent="0.3">
      <c r="A644" s="21" t="s">
        <v>204</v>
      </c>
      <c r="B644" s="21" t="s">
        <v>187</v>
      </c>
      <c r="C644" s="21"/>
      <c r="D644" s="21"/>
      <c r="E644" s="21"/>
      <c r="F644" s="21"/>
      <c r="G644" s="21"/>
      <c r="H644" s="21"/>
      <c r="I644" s="21"/>
      <c r="J644" s="21"/>
    </row>
    <row r="645" spans="1:10" ht="15.6" x14ac:dyDescent="0.3">
      <c r="A645" s="11" t="s">
        <v>80</v>
      </c>
      <c r="B645" s="21"/>
      <c r="C645" s="21"/>
      <c r="D645" s="21"/>
      <c r="E645" s="21"/>
      <c r="F645" s="21"/>
      <c r="G645" s="21"/>
      <c r="H645" s="21"/>
      <c r="I645" s="21"/>
      <c r="J645" s="21"/>
    </row>
    <row r="646" spans="1:10" x14ac:dyDescent="0.3">
      <c r="A646" s="21" t="s">
        <v>81</v>
      </c>
      <c r="B646" s="21" t="s">
        <v>82</v>
      </c>
      <c r="C646" s="21" t="s">
        <v>188</v>
      </c>
      <c r="D646" s="21" t="s">
        <v>73</v>
      </c>
      <c r="E646" s="21" t="s">
        <v>77</v>
      </c>
      <c r="F646" s="21" t="s">
        <v>75</v>
      </c>
      <c r="G646" s="21" t="s">
        <v>74</v>
      </c>
      <c r="H646" s="21"/>
      <c r="I646" s="21"/>
      <c r="J646" s="21"/>
    </row>
    <row r="647" spans="1:10" x14ac:dyDescent="0.3">
      <c r="A647" s="21" t="s">
        <v>420</v>
      </c>
      <c r="B647" s="21">
        <v>1</v>
      </c>
      <c r="C647" s="21" t="s">
        <v>187</v>
      </c>
      <c r="D647" s="21" t="s">
        <v>98</v>
      </c>
      <c r="E647" s="21" t="s">
        <v>78</v>
      </c>
      <c r="F647" s="21" t="s">
        <v>85</v>
      </c>
      <c r="G647" s="21"/>
      <c r="H647" s="21"/>
      <c r="I647" s="21"/>
      <c r="J647" s="21"/>
    </row>
    <row r="648" spans="1:10" x14ac:dyDescent="0.3">
      <c r="A648" s="21" t="s">
        <v>216</v>
      </c>
      <c r="B648" s="21">
        <v>1</v>
      </c>
      <c r="C648" s="21" t="s">
        <v>193</v>
      </c>
      <c r="D648" s="21" t="s">
        <v>98</v>
      </c>
      <c r="E648" s="21" t="s">
        <v>78</v>
      </c>
      <c r="F648" s="21" t="s">
        <v>91</v>
      </c>
      <c r="G648" s="21" t="s">
        <v>217</v>
      </c>
      <c r="H648" s="21"/>
      <c r="I648" s="21"/>
      <c r="J648" s="21"/>
    </row>
    <row r="649" spans="1:10" x14ac:dyDescent="0.3">
      <c r="A649" s="21" t="s">
        <v>218</v>
      </c>
      <c r="B649" s="21">
        <v>1E-10</v>
      </c>
      <c r="C649" s="21" t="s">
        <v>193</v>
      </c>
      <c r="D649" s="21" t="s">
        <v>98</v>
      </c>
      <c r="E649" s="21" t="s">
        <v>77</v>
      </c>
      <c r="F649" s="21" t="s">
        <v>91</v>
      </c>
      <c r="G649" s="21" t="s">
        <v>219</v>
      </c>
      <c r="H649" s="21"/>
      <c r="I649" s="21"/>
      <c r="J649" s="21"/>
    </row>
    <row r="650" spans="1:10" x14ac:dyDescent="0.3">
      <c r="A650" s="21" t="s">
        <v>428</v>
      </c>
      <c r="B650" s="21">
        <v>0.03</v>
      </c>
      <c r="C650" s="21" t="s">
        <v>193</v>
      </c>
      <c r="D650" s="21" t="s">
        <v>98</v>
      </c>
      <c r="E650" s="21" t="s">
        <v>429</v>
      </c>
      <c r="F650" s="21" t="s">
        <v>91</v>
      </c>
      <c r="G650" s="21" t="s">
        <v>430</v>
      </c>
      <c r="H650" s="21"/>
      <c r="I650" s="21"/>
      <c r="J650" s="21"/>
    </row>
    <row r="651" spans="1:10" x14ac:dyDescent="0.3">
      <c r="A651" s="21" t="s">
        <v>292</v>
      </c>
      <c r="B651" s="21">
        <v>0.35</v>
      </c>
      <c r="C651" s="21" t="s">
        <v>193</v>
      </c>
      <c r="D651" s="21" t="s">
        <v>98</v>
      </c>
      <c r="E651" s="21" t="s">
        <v>78</v>
      </c>
      <c r="F651" s="21" t="s">
        <v>91</v>
      </c>
      <c r="G651" s="21" t="s">
        <v>293</v>
      </c>
      <c r="H651" s="21"/>
      <c r="I651" s="21"/>
      <c r="J651" s="21"/>
    </row>
    <row r="652" spans="1:10" x14ac:dyDescent="0.3">
      <c r="A652" s="21" t="s">
        <v>431</v>
      </c>
      <c r="B652" s="21">
        <v>0.35</v>
      </c>
      <c r="C652" s="21" t="s">
        <v>193</v>
      </c>
      <c r="D652" s="21" t="s">
        <v>242</v>
      </c>
      <c r="E652" s="21" t="s">
        <v>78</v>
      </c>
      <c r="F652" s="21" t="s">
        <v>91</v>
      </c>
      <c r="G652" s="21" t="s">
        <v>432</v>
      </c>
      <c r="H652" s="21"/>
      <c r="I652" s="21"/>
      <c r="J652" s="21"/>
    </row>
    <row r="653" spans="1:10" x14ac:dyDescent="0.3">
      <c r="A653" s="21" t="s">
        <v>300</v>
      </c>
      <c r="B653" s="21">
        <v>2.5999999999999998E-10</v>
      </c>
      <c r="C653" s="21" t="s">
        <v>193</v>
      </c>
      <c r="D653" s="21" t="s">
        <v>98</v>
      </c>
      <c r="E653" s="21" t="s">
        <v>77</v>
      </c>
      <c r="F653" s="21" t="s">
        <v>91</v>
      </c>
      <c r="G653" s="21" t="s">
        <v>301</v>
      </c>
      <c r="H653" s="21"/>
      <c r="I653" s="21"/>
      <c r="J653" s="21"/>
    </row>
    <row r="654" spans="1:10" x14ac:dyDescent="0.3">
      <c r="A654" s="21" t="s">
        <v>220</v>
      </c>
      <c r="B654" s="21">
        <v>0.65</v>
      </c>
      <c r="C654" s="21" t="s">
        <v>193</v>
      </c>
      <c r="D654" s="21" t="s">
        <v>98</v>
      </c>
      <c r="E654" s="21" t="s">
        <v>78</v>
      </c>
      <c r="F654" s="21" t="s">
        <v>91</v>
      </c>
      <c r="G654" s="21" t="s">
        <v>221</v>
      </c>
      <c r="H654" s="21"/>
      <c r="I654" s="21"/>
      <c r="J654" s="21"/>
    </row>
    <row r="655" spans="1:10" x14ac:dyDescent="0.3">
      <c r="A655" s="21"/>
      <c r="B655" s="21"/>
      <c r="C655" s="21"/>
      <c r="D655" s="21"/>
      <c r="E655" s="21"/>
      <c r="F655" s="21"/>
      <c r="G655" s="21"/>
      <c r="H655" s="21"/>
      <c r="I655" s="21"/>
      <c r="J655" s="21"/>
    </row>
    <row r="656" spans="1:10" ht="15.6" x14ac:dyDescent="0.3">
      <c r="A656" s="11" t="s">
        <v>72</v>
      </c>
      <c r="B656" s="11" t="s">
        <v>263</v>
      </c>
      <c r="C656" s="21"/>
      <c r="D656" s="21"/>
      <c r="E656" s="21"/>
      <c r="F656" s="21"/>
      <c r="G656" s="21"/>
      <c r="H656" s="21"/>
      <c r="I656" s="21"/>
      <c r="J656" s="21"/>
    </row>
    <row r="657" spans="1:10" x14ac:dyDescent="0.3">
      <c r="A657" s="21" t="s">
        <v>202</v>
      </c>
      <c r="B657" s="21" t="s">
        <v>433</v>
      </c>
      <c r="C657" s="21"/>
      <c r="D657" s="21"/>
      <c r="E657" s="21"/>
      <c r="F657" s="21"/>
      <c r="G657" s="21"/>
      <c r="H657" s="21"/>
      <c r="I657" s="21"/>
      <c r="J657" s="21"/>
    </row>
    <row r="658" spans="1:10" x14ac:dyDescent="0.3">
      <c r="A658" s="21" t="s">
        <v>84</v>
      </c>
      <c r="B658" s="21" t="s">
        <v>86</v>
      </c>
      <c r="C658" s="21"/>
      <c r="D658" s="21"/>
      <c r="E658" s="21"/>
      <c r="F658" s="21"/>
      <c r="G658" s="21"/>
      <c r="H658" s="21"/>
      <c r="I658" s="21"/>
      <c r="J658" s="21"/>
    </row>
    <row r="659" spans="1:10" x14ac:dyDescent="0.3">
      <c r="A659" s="21" t="s">
        <v>73</v>
      </c>
      <c r="B659" s="21" t="s">
        <v>98</v>
      </c>
      <c r="C659" s="21"/>
      <c r="D659" s="21"/>
      <c r="E659" s="21"/>
      <c r="F659" s="21"/>
      <c r="G659" s="21"/>
      <c r="H659" s="21"/>
      <c r="I659" s="21"/>
      <c r="J659" s="21"/>
    </row>
    <row r="660" spans="1:10" x14ac:dyDescent="0.3">
      <c r="A660" s="21" t="s">
        <v>186</v>
      </c>
      <c r="B660" s="21">
        <v>1</v>
      </c>
      <c r="C660" s="21"/>
      <c r="D660" s="21"/>
      <c r="E660" s="21"/>
      <c r="F660" s="21"/>
      <c r="G660" s="21"/>
      <c r="H660" s="21"/>
      <c r="I660" s="21"/>
      <c r="J660" s="21"/>
    </row>
    <row r="661" spans="1:10" x14ac:dyDescent="0.3">
      <c r="A661" s="21" t="s">
        <v>74</v>
      </c>
      <c r="B661" s="21" t="s">
        <v>263</v>
      </c>
      <c r="C661" s="21"/>
      <c r="D661" s="21"/>
      <c r="E661" s="21"/>
      <c r="F661" s="21"/>
      <c r="G661" s="21"/>
      <c r="H661" s="21"/>
      <c r="I661" s="21"/>
      <c r="J661" s="21"/>
    </row>
    <row r="662" spans="1:10" x14ac:dyDescent="0.3">
      <c r="A662" s="21" t="s">
        <v>77</v>
      </c>
      <c r="B662" s="21" t="s">
        <v>78</v>
      </c>
      <c r="C662" s="21"/>
      <c r="D662" s="21"/>
      <c r="E662" s="21"/>
      <c r="F662" s="21"/>
      <c r="G662" s="21"/>
      <c r="H662" s="21"/>
      <c r="I662" s="21"/>
      <c r="J662" s="21"/>
    </row>
    <row r="663" spans="1:10" x14ac:dyDescent="0.3">
      <c r="A663" s="21" t="s">
        <v>204</v>
      </c>
      <c r="B663" s="21" t="s">
        <v>187</v>
      </c>
      <c r="C663" s="21"/>
      <c r="D663" s="21"/>
      <c r="E663" s="21"/>
      <c r="F663" s="21"/>
      <c r="G663" s="21"/>
      <c r="H663" s="21"/>
      <c r="I663" s="21"/>
      <c r="J663" s="21"/>
    </row>
    <row r="664" spans="1:10" ht="15.6" x14ac:dyDescent="0.3">
      <c r="A664" s="11" t="s">
        <v>80</v>
      </c>
      <c r="B664" s="21"/>
      <c r="C664" s="21"/>
      <c r="D664" s="21"/>
      <c r="E664" s="21"/>
      <c r="F664" s="21"/>
      <c r="G664" s="21"/>
      <c r="H664" s="21"/>
      <c r="I664" s="21"/>
      <c r="J664" s="21"/>
    </row>
    <row r="665" spans="1:10" x14ac:dyDescent="0.3">
      <c r="A665" s="21" t="s">
        <v>81</v>
      </c>
      <c r="B665" s="21" t="s">
        <v>82</v>
      </c>
      <c r="C665" s="21" t="s">
        <v>188</v>
      </c>
      <c r="D665" s="21" t="s">
        <v>73</v>
      </c>
      <c r="E665" s="21" t="s">
        <v>77</v>
      </c>
      <c r="F665" s="21" t="s">
        <v>75</v>
      </c>
      <c r="G665" s="21" t="s">
        <v>74</v>
      </c>
      <c r="H665" s="21"/>
      <c r="I665" s="21"/>
      <c r="J665" s="21"/>
    </row>
    <row r="666" spans="1:10" x14ac:dyDescent="0.3">
      <c r="A666" s="21" t="s">
        <v>263</v>
      </c>
      <c r="B666" s="21">
        <v>1</v>
      </c>
      <c r="C666" s="21" t="s">
        <v>187</v>
      </c>
      <c r="D666" s="21" t="s">
        <v>98</v>
      </c>
      <c r="E666" s="21" t="s">
        <v>78</v>
      </c>
      <c r="F666" s="21" t="s">
        <v>85</v>
      </c>
      <c r="G666" s="21"/>
      <c r="H666" s="21"/>
      <c r="I666" s="21"/>
      <c r="J666" s="21"/>
    </row>
    <row r="667" spans="1:10" x14ac:dyDescent="0.3">
      <c r="A667" s="21" t="s">
        <v>322</v>
      </c>
      <c r="B667" s="21">
        <v>2E-8</v>
      </c>
      <c r="C667" s="21" t="s">
        <v>193</v>
      </c>
      <c r="D667" s="21" t="s">
        <v>98</v>
      </c>
      <c r="E667" s="21" t="s">
        <v>77</v>
      </c>
      <c r="F667" s="21" t="s">
        <v>91</v>
      </c>
      <c r="G667" s="21" t="s">
        <v>323</v>
      </c>
      <c r="H667" s="21"/>
      <c r="I667" s="21"/>
      <c r="J667" s="21"/>
    </row>
    <row r="668" spans="1:10" x14ac:dyDescent="0.3">
      <c r="A668" s="21" t="s">
        <v>434</v>
      </c>
      <c r="B668" s="21">
        <v>0.97</v>
      </c>
      <c r="C668" s="21" t="s">
        <v>193</v>
      </c>
      <c r="D668" s="21" t="s">
        <v>98</v>
      </c>
      <c r="E668" s="21" t="s">
        <v>78</v>
      </c>
      <c r="F668" s="21" t="s">
        <v>91</v>
      </c>
      <c r="G668" s="21" t="s">
        <v>435</v>
      </c>
      <c r="H668" s="21"/>
      <c r="I668" s="21"/>
      <c r="J668" s="21"/>
    </row>
    <row r="669" spans="1:10" x14ac:dyDescent="0.3">
      <c r="A669" s="21" t="s">
        <v>292</v>
      </c>
      <c r="B669" s="21">
        <v>2.9000000000000001E-2</v>
      </c>
      <c r="C669" s="21" t="s">
        <v>193</v>
      </c>
      <c r="D669" s="21" t="s">
        <v>98</v>
      </c>
      <c r="E669" s="21" t="s">
        <v>78</v>
      </c>
      <c r="F669" s="21" t="s">
        <v>91</v>
      </c>
      <c r="G669" s="21" t="s">
        <v>293</v>
      </c>
      <c r="H669" s="21"/>
      <c r="I669" s="21"/>
      <c r="J669" s="21"/>
    </row>
    <row r="670" spans="1:10" x14ac:dyDescent="0.3">
      <c r="A670" s="21" t="s">
        <v>328</v>
      </c>
      <c r="B670" s="21">
        <v>2.9000000000000001E-2</v>
      </c>
      <c r="C670" s="21" t="s">
        <v>193</v>
      </c>
      <c r="D670" s="21" t="s">
        <v>242</v>
      </c>
      <c r="E670" s="21" t="s">
        <v>78</v>
      </c>
      <c r="F670" s="21" t="s">
        <v>91</v>
      </c>
      <c r="G670" s="21" t="s">
        <v>329</v>
      </c>
      <c r="H670" s="21"/>
      <c r="I670" s="21"/>
      <c r="J670" s="21"/>
    </row>
    <row r="671" spans="1:10" x14ac:dyDescent="0.3">
      <c r="A671" s="21"/>
      <c r="B671" s="21"/>
      <c r="C671" s="21"/>
      <c r="D671" s="21"/>
      <c r="E671" s="21"/>
      <c r="F671" s="21"/>
      <c r="G671" s="21"/>
      <c r="H671" s="21"/>
      <c r="I671" s="21"/>
      <c r="J671" s="21"/>
    </row>
    <row r="672" spans="1:10" ht="15.6" x14ac:dyDescent="0.3">
      <c r="A672" s="11" t="s">
        <v>72</v>
      </c>
      <c r="B672" s="11" t="s">
        <v>278</v>
      </c>
      <c r="C672" s="21"/>
      <c r="D672" s="21"/>
      <c r="E672" s="21"/>
      <c r="F672" s="21"/>
      <c r="G672" s="21"/>
      <c r="H672" s="21"/>
      <c r="I672" s="21"/>
      <c r="J672" s="21"/>
    </row>
    <row r="673" spans="1:10" x14ac:dyDescent="0.3">
      <c r="A673" s="21" t="s">
        <v>202</v>
      </c>
      <c r="B673" s="21" t="s">
        <v>436</v>
      </c>
      <c r="C673" s="21"/>
      <c r="D673" s="21"/>
      <c r="E673" s="21"/>
      <c r="F673" s="21"/>
      <c r="G673" s="21"/>
      <c r="H673" s="21"/>
      <c r="I673" s="21"/>
      <c r="J673" s="21"/>
    </row>
    <row r="674" spans="1:10" x14ac:dyDescent="0.3">
      <c r="A674" s="21" t="s">
        <v>84</v>
      </c>
      <c r="B674" s="21" t="s">
        <v>86</v>
      </c>
      <c r="C674" s="21"/>
      <c r="D674" s="21"/>
      <c r="E674" s="21"/>
      <c r="F674" s="21"/>
      <c r="G674" s="21"/>
      <c r="H674" s="21"/>
      <c r="I674" s="21"/>
      <c r="J674" s="21"/>
    </row>
    <row r="675" spans="1:10" x14ac:dyDescent="0.3">
      <c r="A675" s="21" t="s">
        <v>73</v>
      </c>
      <c r="B675" s="21" t="s">
        <v>98</v>
      </c>
      <c r="C675" s="21"/>
      <c r="D675" s="21"/>
      <c r="E675" s="21"/>
      <c r="F675" s="21"/>
      <c r="G675" s="21"/>
      <c r="H675" s="21"/>
      <c r="I675" s="21"/>
      <c r="J675" s="21"/>
    </row>
    <row r="676" spans="1:10" x14ac:dyDescent="0.3">
      <c r="A676" s="21" t="s">
        <v>186</v>
      </c>
      <c r="B676" s="21">
        <v>1</v>
      </c>
      <c r="C676" s="21"/>
      <c r="D676" s="21"/>
      <c r="E676" s="21"/>
      <c r="F676" s="21"/>
      <c r="G676" s="21"/>
      <c r="H676" s="21"/>
      <c r="I676" s="21"/>
      <c r="J676" s="21"/>
    </row>
    <row r="677" spans="1:10" x14ac:dyDescent="0.3">
      <c r="A677" s="21" t="s">
        <v>74</v>
      </c>
      <c r="B677" s="21" t="s">
        <v>278</v>
      </c>
      <c r="C677" s="21"/>
      <c r="D677" s="21"/>
      <c r="E677" s="21"/>
      <c r="F677" s="21"/>
      <c r="G677" s="21"/>
      <c r="H677" s="21"/>
      <c r="I677" s="21"/>
      <c r="J677" s="21"/>
    </row>
    <row r="678" spans="1:10" x14ac:dyDescent="0.3">
      <c r="A678" s="21" t="s">
        <v>77</v>
      </c>
      <c r="B678" s="21" t="s">
        <v>78</v>
      </c>
      <c r="C678" s="21"/>
      <c r="D678" s="21"/>
      <c r="E678" s="21"/>
      <c r="F678" s="21"/>
      <c r="G678" s="21"/>
      <c r="H678" s="21"/>
      <c r="I678" s="21"/>
      <c r="J678" s="21"/>
    </row>
    <row r="679" spans="1:10" x14ac:dyDescent="0.3">
      <c r="A679" s="21" t="s">
        <v>204</v>
      </c>
      <c r="B679" s="21" t="s">
        <v>187</v>
      </c>
      <c r="C679" s="21"/>
      <c r="D679" s="21"/>
      <c r="E679" s="21"/>
      <c r="F679" s="21"/>
      <c r="G679" s="21"/>
      <c r="H679" s="21"/>
      <c r="I679" s="21"/>
      <c r="J679" s="21"/>
    </row>
    <row r="680" spans="1:10" ht="15.6" x14ac:dyDescent="0.3">
      <c r="A680" s="11" t="s">
        <v>80</v>
      </c>
      <c r="B680" s="21"/>
      <c r="C680" s="21"/>
      <c r="D680" s="21"/>
      <c r="E680" s="21"/>
      <c r="F680" s="21"/>
      <c r="G680" s="21"/>
      <c r="H680" s="21"/>
      <c r="I680" s="21"/>
      <c r="J680" s="21"/>
    </row>
    <row r="681" spans="1:10" x14ac:dyDescent="0.3">
      <c r="A681" s="21" t="s">
        <v>81</v>
      </c>
      <c r="B681" s="21" t="s">
        <v>82</v>
      </c>
      <c r="C681" s="21" t="s">
        <v>188</v>
      </c>
      <c r="D681" s="21" t="s">
        <v>73</v>
      </c>
      <c r="E681" s="21" t="s">
        <v>77</v>
      </c>
      <c r="F681" s="21" t="s">
        <v>75</v>
      </c>
      <c r="G681" s="21" t="s">
        <v>74</v>
      </c>
      <c r="H681" s="21"/>
      <c r="I681" s="21"/>
      <c r="J681" s="21"/>
    </row>
    <row r="682" spans="1:10" x14ac:dyDescent="0.3">
      <c r="A682" s="21" t="s">
        <v>278</v>
      </c>
      <c r="B682" s="21">
        <v>1</v>
      </c>
      <c r="C682" s="21" t="s">
        <v>187</v>
      </c>
      <c r="D682" s="21" t="s">
        <v>98</v>
      </c>
      <c r="E682" s="21" t="s">
        <v>78</v>
      </c>
      <c r="F682" s="21" t="s">
        <v>85</v>
      </c>
      <c r="G682" s="21"/>
      <c r="H682" s="21"/>
      <c r="I682" s="21"/>
      <c r="J682" s="21"/>
    </row>
    <row r="683" spans="1:10" x14ac:dyDescent="0.3">
      <c r="A683" s="21" t="s">
        <v>294</v>
      </c>
      <c r="B683" s="21">
        <v>4.6000000000000001E-10</v>
      </c>
      <c r="C683" s="21" t="s">
        <v>193</v>
      </c>
      <c r="D683" s="21" t="s">
        <v>98</v>
      </c>
      <c r="E683" s="21" t="s">
        <v>77</v>
      </c>
      <c r="F683" s="21" t="s">
        <v>91</v>
      </c>
      <c r="G683" s="21" t="s">
        <v>295</v>
      </c>
      <c r="H683" s="21"/>
      <c r="I683" s="21"/>
      <c r="J683" s="21"/>
    </row>
    <row r="684" spans="1:10" x14ac:dyDescent="0.3">
      <c r="A684" s="21" t="s">
        <v>326</v>
      </c>
      <c r="B684" s="21">
        <v>1</v>
      </c>
      <c r="C684" s="21" t="s">
        <v>193</v>
      </c>
      <c r="D684" s="21" t="s">
        <v>98</v>
      </c>
      <c r="E684" s="21" t="s">
        <v>78</v>
      </c>
      <c r="F684" s="21" t="s">
        <v>91</v>
      </c>
      <c r="G684" s="21" t="s">
        <v>327</v>
      </c>
      <c r="H684" s="21"/>
      <c r="I684" s="21"/>
      <c r="J684" s="21"/>
    </row>
    <row r="685" spans="1:10" x14ac:dyDescent="0.3">
      <c r="A685" s="21" t="s">
        <v>332</v>
      </c>
      <c r="B685" s="21">
        <v>1</v>
      </c>
      <c r="C685" s="21" t="s">
        <v>193</v>
      </c>
      <c r="D685" s="21" t="s">
        <v>98</v>
      </c>
      <c r="E685" s="21" t="s">
        <v>78</v>
      </c>
      <c r="F685" s="21" t="s">
        <v>91</v>
      </c>
      <c r="G685" s="21" t="s">
        <v>333</v>
      </c>
      <c r="H685" s="21"/>
      <c r="I685" s="21"/>
      <c r="J685" s="21"/>
    </row>
    <row r="686" spans="1:10" x14ac:dyDescent="0.3">
      <c r="A686" s="21"/>
      <c r="B686" s="21"/>
      <c r="C686" s="21"/>
      <c r="D686" s="21"/>
      <c r="E686" s="21"/>
      <c r="F686" s="21"/>
      <c r="G686" s="21"/>
      <c r="H686" s="21"/>
      <c r="I686" s="21"/>
      <c r="J686" s="21"/>
    </row>
    <row r="687" spans="1:10" ht="15.6" x14ac:dyDescent="0.3">
      <c r="A687" s="11" t="s">
        <v>72</v>
      </c>
      <c r="B687" s="11" t="s">
        <v>421</v>
      </c>
      <c r="C687" s="21"/>
      <c r="D687" s="21"/>
      <c r="E687" s="21"/>
      <c r="F687" s="21"/>
      <c r="G687" s="21"/>
      <c r="H687" s="21"/>
      <c r="I687" s="21"/>
      <c r="J687" s="21"/>
    </row>
    <row r="688" spans="1:10" x14ac:dyDescent="0.3">
      <c r="A688" s="21" t="s">
        <v>202</v>
      </c>
      <c r="B688" s="21" t="s">
        <v>437</v>
      </c>
      <c r="C688" s="21"/>
      <c r="D688" s="21"/>
      <c r="E688" s="21"/>
      <c r="F688" s="21"/>
      <c r="G688" s="21"/>
      <c r="H688" s="21"/>
      <c r="I688" s="21"/>
      <c r="J688" s="21"/>
    </row>
    <row r="689" spans="1:10" x14ac:dyDescent="0.3">
      <c r="A689" s="21" t="s">
        <v>84</v>
      </c>
      <c r="B689" s="21" t="s">
        <v>86</v>
      </c>
      <c r="C689" s="21"/>
      <c r="D689" s="21"/>
      <c r="E689" s="21"/>
      <c r="F689" s="21"/>
      <c r="G689" s="21"/>
      <c r="H689" s="21"/>
      <c r="I689" s="21"/>
      <c r="J689" s="21"/>
    </row>
    <row r="690" spans="1:10" x14ac:dyDescent="0.3">
      <c r="A690" s="21" t="s">
        <v>73</v>
      </c>
      <c r="B690" s="21" t="s">
        <v>98</v>
      </c>
      <c r="C690" s="21"/>
      <c r="D690" s="21"/>
      <c r="E690" s="21"/>
      <c r="F690" s="21"/>
      <c r="G690" s="21"/>
      <c r="H690" s="21"/>
      <c r="I690" s="21"/>
      <c r="J690" s="21"/>
    </row>
    <row r="691" spans="1:10" x14ac:dyDescent="0.3">
      <c r="A691" s="21" t="s">
        <v>186</v>
      </c>
      <c r="B691" s="21">
        <v>1</v>
      </c>
      <c r="C691" s="21"/>
      <c r="D691" s="21"/>
      <c r="E691" s="21"/>
      <c r="F691" s="21"/>
      <c r="G691" s="21"/>
      <c r="H691" s="21"/>
      <c r="I691" s="21"/>
      <c r="J691" s="21"/>
    </row>
    <row r="692" spans="1:10" x14ac:dyDescent="0.3">
      <c r="A692" s="21" t="s">
        <v>74</v>
      </c>
      <c r="B692" s="21" t="s">
        <v>421</v>
      </c>
      <c r="C692" s="21"/>
      <c r="D692" s="21"/>
      <c r="E692" s="21"/>
      <c r="F692" s="21"/>
      <c r="G692" s="21"/>
      <c r="H692" s="21"/>
      <c r="I692" s="21"/>
      <c r="J692" s="21"/>
    </row>
    <row r="693" spans="1:10" x14ac:dyDescent="0.3">
      <c r="A693" s="21" t="s">
        <v>77</v>
      </c>
      <c r="B693" s="21" t="s">
        <v>78</v>
      </c>
      <c r="C693" s="21"/>
      <c r="D693" s="21"/>
      <c r="E693" s="21"/>
      <c r="F693" s="21"/>
      <c r="G693" s="21"/>
      <c r="H693" s="21"/>
      <c r="I693" s="21"/>
      <c r="J693" s="21"/>
    </row>
    <row r="694" spans="1:10" x14ac:dyDescent="0.3">
      <c r="A694" s="21" t="s">
        <v>204</v>
      </c>
      <c r="B694" s="21" t="s">
        <v>187</v>
      </c>
      <c r="C694" s="21"/>
      <c r="D694" s="21"/>
      <c r="E694" s="21"/>
      <c r="F694" s="21"/>
      <c r="G694" s="21"/>
      <c r="H694" s="21"/>
      <c r="I694" s="21"/>
      <c r="J694" s="21"/>
    </row>
    <row r="695" spans="1:10" ht="15.6" x14ac:dyDescent="0.3">
      <c r="A695" s="11" t="s">
        <v>80</v>
      </c>
      <c r="B695" s="21"/>
      <c r="C695" s="21"/>
      <c r="D695" s="21"/>
      <c r="E695" s="21"/>
      <c r="F695" s="21"/>
      <c r="G695" s="21"/>
      <c r="H695" s="21"/>
      <c r="I695" s="21"/>
      <c r="J695" s="21"/>
    </row>
    <row r="696" spans="1:10" x14ac:dyDescent="0.3">
      <c r="A696" s="21" t="s">
        <v>81</v>
      </c>
      <c r="B696" s="21" t="s">
        <v>82</v>
      </c>
      <c r="C696" s="21" t="s">
        <v>188</v>
      </c>
      <c r="D696" s="21" t="s">
        <v>73</v>
      </c>
      <c r="E696" s="21" t="s">
        <v>77</v>
      </c>
      <c r="F696" s="21" t="s">
        <v>75</v>
      </c>
      <c r="G696" s="21" t="s">
        <v>74</v>
      </c>
      <c r="H696" s="21"/>
      <c r="I696" s="21"/>
      <c r="J696" s="21"/>
    </row>
    <row r="697" spans="1:10" x14ac:dyDescent="0.3">
      <c r="A697" s="21" t="s">
        <v>421</v>
      </c>
      <c r="B697" s="21">
        <v>1</v>
      </c>
      <c r="C697" s="21" t="s">
        <v>187</v>
      </c>
      <c r="D697" s="21" t="s">
        <v>98</v>
      </c>
      <c r="E697" s="21" t="s">
        <v>78</v>
      </c>
      <c r="F697" s="21" t="s">
        <v>85</v>
      </c>
      <c r="G697" s="21"/>
      <c r="H697" s="21"/>
      <c r="I697" s="21"/>
      <c r="J697" s="21"/>
    </row>
    <row r="698" spans="1:10" x14ac:dyDescent="0.3">
      <c r="A698" s="21" t="s">
        <v>292</v>
      </c>
      <c r="B698" s="21">
        <v>4.2000000000000003E-2</v>
      </c>
      <c r="C698" s="21" t="s">
        <v>193</v>
      </c>
      <c r="D698" s="21" t="s">
        <v>98</v>
      </c>
      <c r="E698" s="21" t="s">
        <v>78</v>
      </c>
      <c r="F698" s="21" t="s">
        <v>91</v>
      </c>
      <c r="G698" s="21" t="s">
        <v>293</v>
      </c>
      <c r="H698" s="21"/>
      <c r="I698" s="21"/>
      <c r="J698" s="21"/>
    </row>
    <row r="699" spans="1:10" x14ac:dyDescent="0.3">
      <c r="A699" s="21" t="s">
        <v>294</v>
      </c>
      <c r="B699" s="21">
        <v>4.3999999999999998E-10</v>
      </c>
      <c r="C699" s="21" t="s">
        <v>193</v>
      </c>
      <c r="D699" s="21" t="s">
        <v>98</v>
      </c>
      <c r="E699" s="21" t="s">
        <v>77</v>
      </c>
      <c r="F699" s="21" t="s">
        <v>91</v>
      </c>
      <c r="G699" s="21" t="s">
        <v>295</v>
      </c>
      <c r="H699" s="21"/>
      <c r="I699" s="21"/>
      <c r="J699" s="21"/>
    </row>
    <row r="700" spans="1:10" x14ac:dyDescent="0.3">
      <c r="A700" s="21" t="s">
        <v>326</v>
      </c>
      <c r="B700" s="21">
        <v>0.96</v>
      </c>
      <c r="C700" s="21" t="s">
        <v>193</v>
      </c>
      <c r="D700" s="21" t="s">
        <v>98</v>
      </c>
      <c r="E700" s="21" t="s">
        <v>78</v>
      </c>
      <c r="F700" s="21" t="s">
        <v>91</v>
      </c>
      <c r="G700" s="21" t="s">
        <v>327</v>
      </c>
      <c r="H700" s="21"/>
      <c r="I700" s="21"/>
      <c r="J700" s="21"/>
    </row>
    <row r="701" spans="1:10" x14ac:dyDescent="0.3">
      <c r="A701" s="21" t="s">
        <v>328</v>
      </c>
      <c r="B701" s="21">
        <v>4.2000000000000003E-2</v>
      </c>
      <c r="C701" s="21" t="s">
        <v>193</v>
      </c>
      <c r="D701" s="21" t="s">
        <v>242</v>
      </c>
      <c r="E701" s="21" t="s">
        <v>78</v>
      </c>
      <c r="F701" s="21" t="s">
        <v>91</v>
      </c>
      <c r="G701" s="21" t="s">
        <v>329</v>
      </c>
      <c r="H701" s="21"/>
      <c r="I701" s="21"/>
      <c r="J701" s="21"/>
    </row>
    <row r="702" spans="1:10" x14ac:dyDescent="0.3">
      <c r="A702" s="21" t="s">
        <v>300</v>
      </c>
      <c r="B702" s="21">
        <v>3.1000000000000003E-11</v>
      </c>
      <c r="C702" s="21" t="s">
        <v>193</v>
      </c>
      <c r="D702" s="21" t="s">
        <v>98</v>
      </c>
      <c r="E702" s="21" t="s">
        <v>77</v>
      </c>
      <c r="F702" s="21" t="s">
        <v>91</v>
      </c>
      <c r="G702" s="21" t="s">
        <v>301</v>
      </c>
      <c r="H702" s="21"/>
      <c r="I702" s="21"/>
      <c r="J702" s="21"/>
    </row>
    <row r="703" spans="1:10" x14ac:dyDescent="0.3">
      <c r="A703" s="21" t="s">
        <v>332</v>
      </c>
      <c r="B703" s="21">
        <v>0.96</v>
      </c>
      <c r="C703" s="21" t="s">
        <v>193</v>
      </c>
      <c r="D703" s="21" t="s">
        <v>98</v>
      </c>
      <c r="E703" s="21" t="s">
        <v>78</v>
      </c>
      <c r="F703" s="21" t="s">
        <v>91</v>
      </c>
      <c r="G703" s="21" t="s">
        <v>333</v>
      </c>
      <c r="H703" s="21"/>
      <c r="I703" s="21"/>
      <c r="J703" s="21"/>
    </row>
    <row r="704" spans="1:10" x14ac:dyDescent="0.3">
      <c r="A704" s="21"/>
      <c r="B704" s="21"/>
      <c r="C704" s="21"/>
      <c r="D704" s="21"/>
      <c r="E704" s="21"/>
      <c r="F704" s="21"/>
      <c r="G704" s="21"/>
      <c r="H704" s="21"/>
      <c r="I704" s="21"/>
      <c r="J704" s="21"/>
    </row>
    <row r="705" spans="1:10" ht="15.6" x14ac:dyDescent="0.3">
      <c r="A705" s="11" t="s">
        <v>72</v>
      </c>
      <c r="B705" s="11" t="s">
        <v>422</v>
      </c>
      <c r="C705" s="21"/>
      <c r="D705" s="21"/>
      <c r="E705" s="21"/>
      <c r="F705" s="21"/>
      <c r="G705" s="21"/>
      <c r="H705" s="21"/>
      <c r="I705" s="21"/>
      <c r="J705" s="21"/>
    </row>
    <row r="706" spans="1:10" x14ac:dyDescent="0.3">
      <c r="A706" s="21" t="s">
        <v>202</v>
      </c>
      <c r="B706" s="21" t="s">
        <v>438</v>
      </c>
      <c r="C706" s="21"/>
      <c r="D706" s="21"/>
      <c r="E706" s="21"/>
      <c r="F706" s="21"/>
      <c r="G706" s="21"/>
      <c r="H706" s="21"/>
      <c r="I706" s="21"/>
      <c r="J706" s="21"/>
    </row>
    <row r="707" spans="1:10" x14ac:dyDescent="0.3">
      <c r="A707" s="21" t="s">
        <v>84</v>
      </c>
      <c r="B707" s="21" t="s">
        <v>86</v>
      </c>
      <c r="C707" s="21"/>
      <c r="D707" s="21"/>
      <c r="E707" s="21"/>
      <c r="F707" s="21"/>
      <c r="G707" s="21"/>
      <c r="H707" s="21"/>
      <c r="I707" s="21"/>
      <c r="J707" s="21"/>
    </row>
    <row r="708" spans="1:10" x14ac:dyDescent="0.3">
      <c r="A708" s="21" t="s">
        <v>73</v>
      </c>
      <c r="B708" s="21" t="s">
        <v>98</v>
      </c>
      <c r="C708" s="21"/>
      <c r="D708" s="21"/>
      <c r="E708" s="21"/>
      <c r="F708" s="21"/>
      <c r="G708" s="21"/>
      <c r="H708" s="21"/>
      <c r="I708" s="21"/>
      <c r="J708" s="21"/>
    </row>
    <row r="709" spans="1:10" x14ac:dyDescent="0.3">
      <c r="A709" s="21" t="s">
        <v>186</v>
      </c>
      <c r="B709" s="21">
        <v>1</v>
      </c>
      <c r="C709" s="21"/>
      <c r="D709" s="21"/>
      <c r="E709" s="21"/>
      <c r="F709" s="21"/>
      <c r="G709" s="21"/>
      <c r="H709" s="21"/>
      <c r="I709" s="21"/>
      <c r="J709" s="21"/>
    </row>
    <row r="710" spans="1:10" x14ac:dyDescent="0.3">
      <c r="A710" s="21" t="s">
        <v>74</v>
      </c>
      <c r="B710" s="21" t="s">
        <v>422</v>
      </c>
      <c r="C710" s="21"/>
      <c r="D710" s="21"/>
      <c r="E710" s="21"/>
      <c r="F710" s="21"/>
      <c r="G710" s="21"/>
      <c r="H710" s="21"/>
      <c r="I710" s="21"/>
      <c r="J710" s="21"/>
    </row>
    <row r="711" spans="1:10" x14ac:dyDescent="0.3">
      <c r="A711" s="21" t="s">
        <v>77</v>
      </c>
      <c r="B711" s="21" t="s">
        <v>78</v>
      </c>
      <c r="C711" s="21"/>
      <c r="D711" s="21"/>
      <c r="E711" s="21"/>
      <c r="F711" s="21"/>
      <c r="G711" s="21"/>
      <c r="H711" s="21"/>
      <c r="I711" s="21"/>
      <c r="J711" s="21"/>
    </row>
    <row r="712" spans="1:10" x14ac:dyDescent="0.3">
      <c r="A712" s="21" t="s">
        <v>204</v>
      </c>
      <c r="B712" s="21" t="s">
        <v>187</v>
      </c>
      <c r="C712" s="21"/>
      <c r="D712" s="21"/>
      <c r="E712" s="21"/>
      <c r="F712" s="21"/>
      <c r="G712" s="21"/>
      <c r="H712" s="21"/>
      <c r="I712" s="21"/>
      <c r="J712" s="21"/>
    </row>
    <row r="713" spans="1:10" ht="15.6" x14ac:dyDescent="0.3">
      <c r="A713" s="11" t="s">
        <v>80</v>
      </c>
      <c r="B713" s="21"/>
      <c r="C713" s="21"/>
      <c r="D713" s="21"/>
      <c r="E713" s="21"/>
      <c r="F713" s="21"/>
      <c r="G713" s="21"/>
      <c r="H713" s="21"/>
      <c r="I713" s="21"/>
      <c r="J713" s="21"/>
    </row>
    <row r="714" spans="1:10" x14ac:dyDescent="0.3">
      <c r="A714" s="21" t="s">
        <v>81</v>
      </c>
      <c r="B714" s="21" t="s">
        <v>82</v>
      </c>
      <c r="C714" s="21" t="s">
        <v>188</v>
      </c>
      <c r="D714" s="21" t="s">
        <v>73</v>
      </c>
      <c r="E714" s="21" t="s">
        <v>77</v>
      </c>
      <c r="F714" s="21" t="s">
        <v>75</v>
      </c>
      <c r="G714" s="21" t="s">
        <v>74</v>
      </c>
      <c r="H714" s="21"/>
      <c r="I714" s="21"/>
      <c r="J714" s="21"/>
    </row>
    <row r="715" spans="1:10" x14ac:dyDescent="0.3">
      <c r="A715" s="21" t="s">
        <v>422</v>
      </c>
      <c r="B715" s="21">
        <v>1</v>
      </c>
      <c r="C715" s="21" t="s">
        <v>187</v>
      </c>
      <c r="D715" s="21" t="s">
        <v>98</v>
      </c>
      <c r="E715" s="21" t="s">
        <v>78</v>
      </c>
      <c r="F715" s="21" t="s">
        <v>85</v>
      </c>
      <c r="G715" s="21"/>
      <c r="H715" s="21"/>
      <c r="I715" s="21"/>
      <c r="J715" s="21"/>
    </row>
    <row r="716" spans="1:10" x14ac:dyDescent="0.3">
      <c r="A716" s="21" t="s">
        <v>288</v>
      </c>
      <c r="B716" s="21">
        <v>1</v>
      </c>
      <c r="C716" s="21" t="s">
        <v>193</v>
      </c>
      <c r="D716" s="21" t="s">
        <v>98</v>
      </c>
      <c r="E716" s="21" t="s">
        <v>78</v>
      </c>
      <c r="F716" s="21" t="s">
        <v>91</v>
      </c>
      <c r="G716" s="21" t="s">
        <v>289</v>
      </c>
      <c r="H716" s="21"/>
      <c r="I716" s="21"/>
      <c r="J716" s="21"/>
    </row>
    <row r="717" spans="1:10" x14ac:dyDescent="0.3">
      <c r="A717" s="21" t="s">
        <v>292</v>
      </c>
      <c r="B717" s="21">
        <v>1</v>
      </c>
      <c r="C717" s="21" t="s">
        <v>193</v>
      </c>
      <c r="D717" s="21" t="s">
        <v>98</v>
      </c>
      <c r="E717" s="21" t="s">
        <v>78</v>
      </c>
      <c r="F717" s="21" t="s">
        <v>91</v>
      </c>
      <c r="G717" s="21" t="s">
        <v>293</v>
      </c>
      <c r="H717" s="21"/>
      <c r="I717" s="21"/>
      <c r="J717" s="21"/>
    </row>
    <row r="718" spans="1:10" x14ac:dyDescent="0.3">
      <c r="A718" s="21" t="s">
        <v>300</v>
      </c>
      <c r="B718" s="21">
        <v>7.4000000000000003E-10</v>
      </c>
      <c r="C718" s="21" t="s">
        <v>193</v>
      </c>
      <c r="D718" s="21" t="s">
        <v>98</v>
      </c>
      <c r="E718" s="21" t="s">
        <v>77</v>
      </c>
      <c r="F718" s="21" t="s">
        <v>91</v>
      </c>
      <c r="G718" s="21" t="s">
        <v>301</v>
      </c>
      <c r="H718" s="21"/>
      <c r="I718" s="21"/>
      <c r="J718" s="21"/>
    </row>
    <row r="719" spans="1:10" x14ac:dyDescent="0.3">
      <c r="A719" s="21"/>
      <c r="B719" s="21"/>
      <c r="C719" s="21"/>
      <c r="D719" s="21"/>
      <c r="E719" s="21"/>
      <c r="F719" s="21"/>
      <c r="G719" s="21"/>
      <c r="H719" s="21"/>
      <c r="I719" s="21"/>
      <c r="J719" s="21"/>
    </row>
    <row r="720" spans="1:10" ht="15.6" x14ac:dyDescent="0.3">
      <c r="A720" s="11" t="s">
        <v>72</v>
      </c>
      <c r="B720" s="11" t="s">
        <v>260</v>
      </c>
      <c r="C720" s="21"/>
      <c r="D720" s="21"/>
      <c r="E720" s="21"/>
      <c r="F720" s="21"/>
      <c r="G720" s="21"/>
      <c r="H720" s="21"/>
      <c r="I720" s="21"/>
      <c r="J720" s="21"/>
    </row>
    <row r="721" spans="1:10" x14ac:dyDescent="0.3">
      <c r="A721" s="21" t="s">
        <v>202</v>
      </c>
      <c r="B721" s="21" t="s">
        <v>439</v>
      </c>
      <c r="C721" s="21"/>
      <c r="D721" s="21"/>
      <c r="E721" s="21"/>
      <c r="F721" s="21"/>
      <c r="G721" s="21"/>
      <c r="H721" s="21"/>
      <c r="I721" s="21"/>
      <c r="J721" s="21"/>
    </row>
    <row r="722" spans="1:10" x14ac:dyDescent="0.3">
      <c r="A722" s="21" t="s">
        <v>84</v>
      </c>
      <c r="B722" s="21" t="s">
        <v>86</v>
      </c>
      <c r="C722" s="21"/>
      <c r="D722" s="21"/>
      <c r="E722" s="21"/>
      <c r="F722" s="21"/>
      <c r="G722" s="21"/>
      <c r="H722" s="21"/>
      <c r="I722" s="21"/>
      <c r="J722" s="21"/>
    </row>
    <row r="723" spans="1:10" x14ac:dyDescent="0.3">
      <c r="A723" s="21" t="s">
        <v>73</v>
      </c>
      <c r="B723" s="21" t="s">
        <v>98</v>
      </c>
      <c r="C723" s="21"/>
      <c r="D723" s="21"/>
      <c r="E723" s="21"/>
      <c r="F723" s="21"/>
      <c r="G723" s="21"/>
      <c r="H723" s="21"/>
      <c r="I723" s="21"/>
      <c r="J723" s="21"/>
    </row>
    <row r="724" spans="1:10" x14ac:dyDescent="0.3">
      <c r="A724" s="21" t="s">
        <v>186</v>
      </c>
      <c r="B724" s="21">
        <v>1</v>
      </c>
      <c r="C724" s="21"/>
      <c r="D724" s="21"/>
      <c r="E724" s="21"/>
      <c r="F724" s="21"/>
      <c r="G724" s="21"/>
      <c r="H724" s="21"/>
      <c r="I724" s="21"/>
      <c r="J724" s="21"/>
    </row>
    <row r="725" spans="1:10" x14ac:dyDescent="0.3">
      <c r="A725" s="21" t="s">
        <v>74</v>
      </c>
      <c r="B725" s="21" t="s">
        <v>260</v>
      </c>
      <c r="C725" s="21"/>
      <c r="D725" s="21"/>
      <c r="E725" s="21"/>
      <c r="F725" s="21"/>
      <c r="G725" s="21"/>
      <c r="H725" s="21"/>
      <c r="I725" s="21"/>
      <c r="J725" s="21"/>
    </row>
    <row r="726" spans="1:10" x14ac:dyDescent="0.3">
      <c r="A726" s="21" t="s">
        <v>77</v>
      </c>
      <c r="B726" s="21" t="s">
        <v>78</v>
      </c>
      <c r="C726" s="21"/>
      <c r="D726" s="21"/>
      <c r="E726" s="21"/>
      <c r="F726" s="21"/>
      <c r="G726" s="21"/>
      <c r="H726" s="21"/>
      <c r="I726" s="21"/>
      <c r="J726" s="21"/>
    </row>
    <row r="727" spans="1:10" x14ac:dyDescent="0.3">
      <c r="A727" s="21" t="s">
        <v>204</v>
      </c>
      <c r="B727" s="21" t="s">
        <v>187</v>
      </c>
      <c r="C727" s="21"/>
      <c r="D727" s="21"/>
      <c r="E727" s="21"/>
      <c r="F727" s="21"/>
      <c r="G727" s="21"/>
      <c r="H727" s="21"/>
      <c r="I727" s="21"/>
      <c r="J727" s="21"/>
    </row>
    <row r="728" spans="1:10" ht="15.6" x14ac:dyDescent="0.3">
      <c r="A728" s="11" t="s">
        <v>80</v>
      </c>
      <c r="B728" s="21"/>
      <c r="C728" s="21"/>
      <c r="D728" s="21"/>
      <c r="E728" s="21"/>
      <c r="F728" s="21"/>
      <c r="G728" s="21"/>
      <c r="H728" s="21"/>
      <c r="I728" s="21"/>
      <c r="J728" s="21"/>
    </row>
    <row r="729" spans="1:10" x14ac:dyDescent="0.3">
      <c r="A729" s="21" t="s">
        <v>81</v>
      </c>
      <c r="B729" s="21" t="s">
        <v>82</v>
      </c>
      <c r="C729" s="21" t="s">
        <v>188</v>
      </c>
      <c r="D729" s="21" t="s">
        <v>73</v>
      </c>
      <c r="E729" s="21" t="s">
        <v>77</v>
      </c>
      <c r="F729" s="21" t="s">
        <v>75</v>
      </c>
      <c r="G729" s="21" t="s">
        <v>74</v>
      </c>
      <c r="H729" s="21"/>
      <c r="I729" s="21"/>
      <c r="J729" s="21"/>
    </row>
    <row r="730" spans="1:10" x14ac:dyDescent="0.3">
      <c r="A730" s="21" t="s">
        <v>260</v>
      </c>
      <c r="B730" s="21">
        <v>1</v>
      </c>
      <c r="C730" s="21" t="s">
        <v>187</v>
      </c>
      <c r="D730" s="21" t="s">
        <v>98</v>
      </c>
      <c r="E730" s="21" t="s">
        <v>78</v>
      </c>
      <c r="F730" s="21" t="s">
        <v>85</v>
      </c>
      <c r="G730" s="21"/>
      <c r="H730" s="21"/>
      <c r="I730" s="21"/>
      <c r="J730" s="21"/>
    </row>
    <row r="731" spans="1:10" x14ac:dyDescent="0.3">
      <c r="A731" s="21" t="s">
        <v>216</v>
      </c>
      <c r="B731" s="21">
        <v>1</v>
      </c>
      <c r="C731" s="21" t="s">
        <v>193</v>
      </c>
      <c r="D731" s="21" t="s">
        <v>98</v>
      </c>
      <c r="E731" s="21" t="s">
        <v>78</v>
      </c>
      <c r="F731" s="21" t="s">
        <v>91</v>
      </c>
      <c r="G731" s="21" t="s">
        <v>217</v>
      </c>
      <c r="H731" s="21"/>
      <c r="I731" s="21"/>
      <c r="J731" s="21"/>
    </row>
    <row r="732" spans="1:10" x14ac:dyDescent="0.3">
      <c r="A732" s="21" t="s">
        <v>440</v>
      </c>
      <c r="B732" s="21">
        <v>0.45</v>
      </c>
      <c r="C732" s="21" t="s">
        <v>193</v>
      </c>
      <c r="D732" s="21" t="s">
        <v>98</v>
      </c>
      <c r="E732" s="21" t="s">
        <v>78</v>
      </c>
      <c r="F732" s="21" t="s">
        <v>91</v>
      </c>
      <c r="G732" s="21" t="s">
        <v>441</v>
      </c>
      <c r="H732" s="21"/>
      <c r="I732" s="21"/>
      <c r="J732" s="21"/>
    </row>
    <row r="733" spans="1:10" x14ac:dyDescent="0.3">
      <c r="A733" s="21" t="s">
        <v>290</v>
      </c>
      <c r="B733" s="21">
        <v>0.23</v>
      </c>
      <c r="C733" s="21" t="s">
        <v>193</v>
      </c>
      <c r="D733" s="21" t="s">
        <v>98</v>
      </c>
      <c r="E733" s="21" t="s">
        <v>78</v>
      </c>
      <c r="F733" s="21" t="s">
        <v>91</v>
      </c>
      <c r="G733" s="21" t="s">
        <v>291</v>
      </c>
      <c r="H733" s="21"/>
      <c r="I733" s="21"/>
      <c r="J733" s="21"/>
    </row>
    <row r="734" spans="1:10" x14ac:dyDescent="0.3">
      <c r="A734" s="21" t="s">
        <v>290</v>
      </c>
      <c r="B734" s="21">
        <v>4.1000000000000002E-2</v>
      </c>
      <c r="C734" s="21" t="s">
        <v>193</v>
      </c>
      <c r="D734" s="21" t="s">
        <v>98</v>
      </c>
      <c r="E734" s="21" t="s">
        <v>78</v>
      </c>
      <c r="F734" s="21" t="s">
        <v>91</v>
      </c>
      <c r="G734" s="21" t="s">
        <v>291</v>
      </c>
      <c r="H734" s="21"/>
      <c r="I734" s="21"/>
      <c r="J734" s="21"/>
    </row>
    <row r="735" spans="1:10" x14ac:dyDescent="0.3">
      <c r="A735" s="21" t="s">
        <v>322</v>
      </c>
      <c r="B735" s="21">
        <v>2E-8</v>
      </c>
      <c r="C735" s="21" t="s">
        <v>193</v>
      </c>
      <c r="D735" s="21" t="s">
        <v>98</v>
      </c>
      <c r="E735" s="21" t="s">
        <v>77</v>
      </c>
      <c r="F735" s="21" t="s">
        <v>91</v>
      </c>
      <c r="G735" s="21" t="s">
        <v>323</v>
      </c>
      <c r="H735" s="21"/>
      <c r="I735" s="21"/>
      <c r="J735" s="21"/>
    </row>
    <row r="736" spans="1:10" x14ac:dyDescent="0.3">
      <c r="A736" s="21" t="s">
        <v>292</v>
      </c>
      <c r="B736" s="21">
        <v>0.14000000000000001</v>
      </c>
      <c r="C736" s="21" t="s">
        <v>193</v>
      </c>
      <c r="D736" s="21" t="s">
        <v>98</v>
      </c>
      <c r="E736" s="21" t="s">
        <v>78</v>
      </c>
      <c r="F736" s="21" t="s">
        <v>91</v>
      </c>
      <c r="G736" s="21" t="s">
        <v>293</v>
      </c>
      <c r="H736" s="21"/>
      <c r="I736" s="21"/>
      <c r="J736" s="21"/>
    </row>
    <row r="737" spans="1:10" x14ac:dyDescent="0.3">
      <c r="A737" s="21" t="s">
        <v>296</v>
      </c>
      <c r="B737" s="21">
        <v>0.12</v>
      </c>
      <c r="C737" s="21" t="s">
        <v>193</v>
      </c>
      <c r="D737" s="21" t="s">
        <v>98</v>
      </c>
      <c r="E737" s="21" t="s">
        <v>78</v>
      </c>
      <c r="F737" s="21" t="s">
        <v>91</v>
      </c>
      <c r="G737" s="21" t="s">
        <v>297</v>
      </c>
      <c r="H737" s="21"/>
      <c r="I737" s="21"/>
      <c r="J737" s="21"/>
    </row>
    <row r="738" spans="1:10" x14ac:dyDescent="0.3">
      <c r="A738" s="21" t="s">
        <v>298</v>
      </c>
      <c r="B738" s="21">
        <v>0.27</v>
      </c>
      <c r="C738" s="21" t="s">
        <v>193</v>
      </c>
      <c r="D738" s="21" t="s">
        <v>98</v>
      </c>
      <c r="E738" s="21" t="s">
        <v>78</v>
      </c>
      <c r="F738" s="21" t="s">
        <v>91</v>
      </c>
      <c r="G738" s="21" t="s">
        <v>299</v>
      </c>
      <c r="H738" s="21"/>
      <c r="I738" s="21"/>
      <c r="J738" s="21"/>
    </row>
    <row r="739" spans="1:10" x14ac:dyDescent="0.3">
      <c r="A739" s="21" t="s">
        <v>442</v>
      </c>
      <c r="B739" s="21">
        <v>1.6E-2</v>
      </c>
      <c r="C739" s="21" t="s">
        <v>193</v>
      </c>
      <c r="D739" s="21" t="s">
        <v>98</v>
      </c>
      <c r="E739" s="21" t="s">
        <v>78</v>
      </c>
      <c r="F739" s="21" t="s">
        <v>91</v>
      </c>
      <c r="G739" s="21" t="s">
        <v>443</v>
      </c>
      <c r="H739" s="21"/>
      <c r="I739" s="21"/>
      <c r="J739" s="21"/>
    </row>
    <row r="740" spans="1:10" x14ac:dyDescent="0.3">
      <c r="A740" s="21" t="s">
        <v>326</v>
      </c>
      <c r="B740" s="21">
        <v>1.4E-3</v>
      </c>
      <c r="C740" s="21" t="s">
        <v>193</v>
      </c>
      <c r="D740" s="21" t="s">
        <v>98</v>
      </c>
      <c r="E740" s="21" t="s">
        <v>78</v>
      </c>
      <c r="F740" s="21" t="s">
        <v>91</v>
      </c>
      <c r="G740" s="21" t="s">
        <v>327</v>
      </c>
      <c r="H740" s="21"/>
      <c r="I740" s="21"/>
      <c r="J740" s="21"/>
    </row>
    <row r="741" spans="1:10" x14ac:dyDescent="0.3">
      <c r="A741" s="21" t="s">
        <v>328</v>
      </c>
      <c r="B741" s="21">
        <v>4.3999999999999997E-2</v>
      </c>
      <c r="C741" s="21" t="s">
        <v>193</v>
      </c>
      <c r="D741" s="21" t="s">
        <v>242</v>
      </c>
      <c r="E741" s="21" t="s">
        <v>78</v>
      </c>
      <c r="F741" s="21" t="s">
        <v>91</v>
      </c>
      <c r="G741" s="21" t="s">
        <v>329</v>
      </c>
      <c r="H741" s="21"/>
      <c r="I741" s="21"/>
      <c r="J741" s="21"/>
    </row>
    <row r="742" spans="1:10" x14ac:dyDescent="0.3">
      <c r="A742" s="21" t="s">
        <v>330</v>
      </c>
      <c r="B742" s="21">
        <v>5.7000000000000002E-2</v>
      </c>
      <c r="C742" s="21" t="s">
        <v>193</v>
      </c>
      <c r="D742" s="21" t="s">
        <v>98</v>
      </c>
      <c r="E742" s="21" t="s">
        <v>78</v>
      </c>
      <c r="F742" s="21" t="s">
        <v>91</v>
      </c>
      <c r="G742" s="21" t="s">
        <v>331</v>
      </c>
      <c r="H742" s="21"/>
      <c r="I742" s="21"/>
      <c r="J742" s="21"/>
    </row>
    <row r="743" spans="1:10" x14ac:dyDescent="0.3">
      <c r="A743" s="21" t="s">
        <v>444</v>
      </c>
      <c r="B743" s="21">
        <v>3.2000000000000001E-2</v>
      </c>
      <c r="C743" s="21" t="s">
        <v>193</v>
      </c>
      <c r="D743" s="21" t="s">
        <v>98</v>
      </c>
      <c r="E743" s="21" t="s">
        <v>78</v>
      </c>
      <c r="F743" s="21" t="s">
        <v>91</v>
      </c>
      <c r="G743" s="21" t="s">
        <v>445</v>
      </c>
      <c r="H743" s="21"/>
      <c r="I743" s="21"/>
      <c r="J743" s="21"/>
    </row>
    <row r="744" spans="1:10" x14ac:dyDescent="0.3">
      <c r="A744" s="21" t="s">
        <v>332</v>
      </c>
      <c r="B744" s="21">
        <v>1.4E-3</v>
      </c>
      <c r="C744" s="21" t="s">
        <v>193</v>
      </c>
      <c r="D744" s="21" t="s">
        <v>98</v>
      </c>
      <c r="E744" s="21" t="s">
        <v>78</v>
      </c>
      <c r="F744" s="21" t="s">
        <v>91</v>
      </c>
      <c r="G744" s="21" t="s">
        <v>333</v>
      </c>
      <c r="H744" s="21"/>
      <c r="I744" s="21"/>
      <c r="J744" s="21"/>
    </row>
    <row r="745" spans="1:10" x14ac:dyDescent="0.3">
      <c r="A745" s="21" t="s">
        <v>280</v>
      </c>
      <c r="B745" s="21">
        <v>3.5999999999999999E-3</v>
      </c>
      <c r="C745" s="21" t="s">
        <v>193</v>
      </c>
      <c r="D745" s="21" t="s">
        <v>98</v>
      </c>
      <c r="E745" s="21" t="s">
        <v>78</v>
      </c>
      <c r="F745" s="21" t="s">
        <v>91</v>
      </c>
      <c r="G745" s="21" t="s">
        <v>281</v>
      </c>
      <c r="H745" s="21"/>
      <c r="I745" s="21"/>
      <c r="J745" s="21"/>
    </row>
    <row r="746" spans="1:10" x14ac:dyDescent="0.3">
      <c r="A746" s="21" t="s">
        <v>446</v>
      </c>
      <c r="B746" s="21">
        <v>1.6E-2</v>
      </c>
      <c r="C746" s="21" t="s">
        <v>193</v>
      </c>
      <c r="D746" s="21" t="s">
        <v>98</v>
      </c>
      <c r="E746" s="21" t="s">
        <v>78</v>
      </c>
      <c r="F746" s="21" t="s">
        <v>91</v>
      </c>
      <c r="G746" s="21" t="s">
        <v>447</v>
      </c>
      <c r="H746" s="21"/>
      <c r="I746" s="21"/>
      <c r="J746" s="21"/>
    </row>
    <row r="747" spans="1:10" x14ac:dyDescent="0.3">
      <c r="A747" s="21"/>
      <c r="B747" s="21"/>
      <c r="C747" s="21"/>
      <c r="D747" s="21"/>
      <c r="E747" s="21"/>
      <c r="F747" s="21"/>
      <c r="G747" s="21"/>
      <c r="H747" s="21"/>
      <c r="I747" s="21"/>
      <c r="J747" s="21"/>
    </row>
    <row r="748" spans="1:10" x14ac:dyDescent="0.3">
      <c r="A748" s="21"/>
      <c r="B748" s="21"/>
      <c r="C748" s="21"/>
      <c r="D748" s="21"/>
      <c r="E748" s="21"/>
      <c r="F748" s="21"/>
      <c r="G748" s="21"/>
      <c r="H748" s="21"/>
      <c r="I748" s="21"/>
      <c r="J748" s="21"/>
    </row>
    <row r="749" spans="1:10" ht="15.6" x14ac:dyDescent="0.3">
      <c r="A749" s="11" t="s">
        <v>72</v>
      </c>
      <c r="B749" s="11" t="s">
        <v>423</v>
      </c>
      <c r="C749" s="21"/>
      <c r="D749" s="21"/>
      <c r="E749" s="21"/>
      <c r="F749" s="21"/>
      <c r="G749" s="21"/>
      <c r="H749" s="21"/>
      <c r="I749" s="21"/>
      <c r="J749" s="21"/>
    </row>
    <row r="750" spans="1:10" x14ac:dyDescent="0.3">
      <c r="A750" s="21" t="s">
        <v>202</v>
      </c>
      <c r="B750" s="21" t="s">
        <v>448</v>
      </c>
      <c r="C750" s="21"/>
      <c r="D750" s="21"/>
      <c r="E750" s="21"/>
      <c r="F750" s="21"/>
      <c r="G750" s="21"/>
      <c r="H750" s="21"/>
      <c r="I750" s="21"/>
      <c r="J750" s="21"/>
    </row>
    <row r="751" spans="1:10" x14ac:dyDescent="0.3">
      <c r="A751" s="21" t="s">
        <v>84</v>
      </c>
      <c r="B751" s="21" t="s">
        <v>86</v>
      </c>
      <c r="C751" s="21"/>
      <c r="D751" s="21"/>
      <c r="E751" s="21"/>
      <c r="F751" s="21"/>
      <c r="G751" s="21"/>
      <c r="H751" s="21"/>
      <c r="I751" s="21"/>
      <c r="J751" s="21"/>
    </row>
    <row r="752" spans="1:10" x14ac:dyDescent="0.3">
      <c r="A752" s="21" t="s">
        <v>73</v>
      </c>
      <c r="B752" s="21" t="s">
        <v>98</v>
      </c>
      <c r="C752" s="21"/>
      <c r="D752" s="21"/>
      <c r="E752" s="21"/>
      <c r="F752" s="21"/>
      <c r="G752" s="21"/>
      <c r="H752" s="21"/>
      <c r="I752" s="21"/>
      <c r="J752" s="21"/>
    </row>
    <row r="753" spans="1:10" x14ac:dyDescent="0.3">
      <c r="A753" s="21" t="s">
        <v>186</v>
      </c>
      <c r="B753" s="21">
        <v>1</v>
      </c>
      <c r="C753" s="21"/>
      <c r="D753" s="21"/>
      <c r="E753" s="21"/>
      <c r="F753" s="21"/>
      <c r="G753" s="21"/>
      <c r="H753" s="21"/>
      <c r="I753" s="21"/>
      <c r="J753" s="21"/>
    </row>
    <row r="754" spans="1:10" x14ac:dyDescent="0.3">
      <c r="A754" s="21" t="s">
        <v>74</v>
      </c>
      <c r="B754" s="21" t="s">
        <v>423</v>
      </c>
      <c r="C754" s="21"/>
      <c r="D754" s="21"/>
      <c r="E754" s="21"/>
      <c r="F754" s="21"/>
      <c r="G754" s="21"/>
      <c r="H754" s="21"/>
      <c r="I754" s="21"/>
      <c r="J754" s="21"/>
    </row>
    <row r="755" spans="1:10" x14ac:dyDescent="0.3">
      <c r="A755" s="21" t="s">
        <v>77</v>
      </c>
      <c r="B755" s="21" t="s">
        <v>78</v>
      </c>
      <c r="C755" s="21"/>
      <c r="D755" s="21"/>
      <c r="E755" s="21"/>
      <c r="F755" s="21"/>
      <c r="G755" s="21"/>
      <c r="H755" s="21"/>
      <c r="I755" s="21"/>
      <c r="J755" s="21"/>
    </row>
    <row r="756" spans="1:10" x14ac:dyDescent="0.3">
      <c r="A756" s="21" t="s">
        <v>204</v>
      </c>
      <c r="B756" s="21" t="s">
        <v>187</v>
      </c>
      <c r="C756" s="21"/>
      <c r="D756" s="21"/>
      <c r="E756" s="21"/>
      <c r="F756" s="21"/>
      <c r="G756" s="21"/>
      <c r="H756" s="21"/>
      <c r="I756" s="21"/>
      <c r="J756" s="21"/>
    </row>
    <row r="757" spans="1:10" ht="15.6" x14ac:dyDescent="0.3">
      <c r="A757" s="11" t="s">
        <v>80</v>
      </c>
      <c r="B757" s="21"/>
      <c r="C757" s="21"/>
      <c r="D757" s="21"/>
      <c r="E757" s="21"/>
      <c r="F757" s="21"/>
      <c r="G757" s="21"/>
      <c r="H757" s="21"/>
      <c r="I757" s="21"/>
      <c r="J757" s="21"/>
    </row>
    <row r="758" spans="1:10" x14ac:dyDescent="0.3">
      <c r="A758" s="21" t="s">
        <v>81</v>
      </c>
      <c r="B758" s="21" t="s">
        <v>82</v>
      </c>
      <c r="C758" s="21" t="s">
        <v>188</v>
      </c>
      <c r="D758" s="21" t="s">
        <v>73</v>
      </c>
      <c r="E758" s="21" t="s">
        <v>77</v>
      </c>
      <c r="F758" s="21" t="s">
        <v>75</v>
      </c>
      <c r="G758" s="21" t="s">
        <v>74</v>
      </c>
      <c r="H758" s="21"/>
      <c r="I758" s="21"/>
      <c r="J758" s="21"/>
    </row>
    <row r="759" spans="1:10" x14ac:dyDescent="0.3">
      <c r="A759" s="21" t="s">
        <v>423</v>
      </c>
      <c r="B759" s="21">
        <v>1</v>
      </c>
      <c r="C759" s="21" t="s">
        <v>187</v>
      </c>
      <c r="D759" s="21" t="s">
        <v>98</v>
      </c>
      <c r="E759" s="21" t="s">
        <v>78</v>
      </c>
      <c r="F759" s="21" t="s">
        <v>85</v>
      </c>
      <c r="G759" s="21"/>
      <c r="H759" s="21"/>
      <c r="I759" s="21"/>
      <c r="J759" s="21"/>
    </row>
    <row r="760" spans="1:10" x14ac:dyDescent="0.3">
      <c r="A760" s="21" t="s">
        <v>218</v>
      </c>
      <c r="B760" s="21">
        <v>1.0999999999999999E-10</v>
      </c>
      <c r="C760" s="21" t="s">
        <v>193</v>
      </c>
      <c r="D760" s="21" t="s">
        <v>98</v>
      </c>
      <c r="E760" s="21" t="s">
        <v>77</v>
      </c>
      <c r="F760" s="21" t="s">
        <v>91</v>
      </c>
      <c r="G760" s="21" t="s">
        <v>219</v>
      </c>
      <c r="H760" s="21"/>
      <c r="I760" s="21"/>
      <c r="J760" s="21"/>
    </row>
    <row r="761" spans="1:10" x14ac:dyDescent="0.3">
      <c r="A761" s="21" t="s">
        <v>449</v>
      </c>
      <c r="B761" s="21">
        <v>0.7</v>
      </c>
      <c r="C761" s="21" t="s">
        <v>193</v>
      </c>
      <c r="D761" s="21" t="s">
        <v>94</v>
      </c>
      <c r="E761" s="21" t="s">
        <v>78</v>
      </c>
      <c r="F761" s="21" t="s">
        <v>91</v>
      </c>
      <c r="G761" s="21" t="s">
        <v>450</v>
      </c>
      <c r="H761" s="21"/>
      <c r="I761" s="21"/>
      <c r="J761" s="21"/>
    </row>
    <row r="762" spans="1:10" x14ac:dyDescent="0.3">
      <c r="A762" s="21" t="s">
        <v>428</v>
      </c>
      <c r="B762" s="21">
        <v>0.03</v>
      </c>
      <c r="C762" s="21" t="s">
        <v>193</v>
      </c>
      <c r="D762" s="21" t="s">
        <v>98</v>
      </c>
      <c r="E762" s="21" t="s">
        <v>429</v>
      </c>
      <c r="F762" s="21" t="s">
        <v>91</v>
      </c>
      <c r="G762" s="21" t="s">
        <v>430</v>
      </c>
      <c r="H762" s="21"/>
      <c r="I762" s="21"/>
      <c r="J762" s="21"/>
    </row>
    <row r="763" spans="1:10" x14ac:dyDescent="0.3">
      <c r="A763" s="21" t="s">
        <v>292</v>
      </c>
      <c r="B763" s="21">
        <v>0.3</v>
      </c>
      <c r="C763" s="21" t="s">
        <v>193</v>
      </c>
      <c r="D763" s="21" t="s">
        <v>98</v>
      </c>
      <c r="E763" s="21" t="s">
        <v>78</v>
      </c>
      <c r="F763" s="21" t="s">
        <v>91</v>
      </c>
      <c r="G763" s="21" t="s">
        <v>293</v>
      </c>
      <c r="H763" s="21"/>
      <c r="I763" s="21"/>
      <c r="J763" s="21"/>
    </row>
    <row r="764" spans="1:10" x14ac:dyDescent="0.3">
      <c r="A764" s="21" t="s">
        <v>431</v>
      </c>
      <c r="B764" s="21">
        <v>0.3</v>
      </c>
      <c r="C764" s="21" t="s">
        <v>193</v>
      </c>
      <c r="D764" s="21" t="s">
        <v>242</v>
      </c>
      <c r="E764" s="21" t="s">
        <v>78</v>
      </c>
      <c r="F764" s="21" t="s">
        <v>91</v>
      </c>
      <c r="G764" s="21" t="s">
        <v>432</v>
      </c>
      <c r="H764" s="21"/>
      <c r="I764" s="21"/>
      <c r="J764" s="21"/>
    </row>
    <row r="765" spans="1:10" x14ac:dyDescent="0.3">
      <c r="A765" s="21" t="s">
        <v>300</v>
      </c>
      <c r="B765" s="21">
        <v>2.1999999999999999E-10</v>
      </c>
      <c r="C765" s="21" t="s">
        <v>193</v>
      </c>
      <c r="D765" s="21" t="s">
        <v>98</v>
      </c>
      <c r="E765" s="21" t="s">
        <v>77</v>
      </c>
      <c r="F765" s="21" t="s">
        <v>91</v>
      </c>
      <c r="G765" s="21" t="s">
        <v>301</v>
      </c>
      <c r="H765" s="21"/>
      <c r="I765" s="21"/>
      <c r="J765" s="21"/>
    </row>
    <row r="766" spans="1:10" x14ac:dyDescent="0.3">
      <c r="A766" s="21" t="s">
        <v>220</v>
      </c>
      <c r="B766" s="21">
        <v>0.7</v>
      </c>
      <c r="C766" s="21" t="s">
        <v>193</v>
      </c>
      <c r="D766" s="21" t="s">
        <v>98</v>
      </c>
      <c r="E766" s="21" t="s">
        <v>78</v>
      </c>
      <c r="F766" s="21" t="s">
        <v>91</v>
      </c>
      <c r="G766" s="21" t="s">
        <v>221</v>
      </c>
      <c r="H766" s="21"/>
      <c r="I766" s="21"/>
      <c r="J766" s="21"/>
    </row>
    <row r="767" spans="1:10" x14ac:dyDescent="0.3">
      <c r="A767" s="21"/>
      <c r="B767" s="21"/>
      <c r="C767" s="21"/>
      <c r="D767" s="21"/>
      <c r="E767" s="21"/>
      <c r="F767" s="21"/>
      <c r="G767" s="21"/>
      <c r="H767" s="21"/>
      <c r="I767" s="21"/>
      <c r="J767" s="21"/>
    </row>
    <row r="768" spans="1:10" ht="15.6" x14ac:dyDescent="0.3">
      <c r="A768" s="11" t="s">
        <v>72</v>
      </c>
      <c r="B768" s="11" t="s">
        <v>252</v>
      </c>
      <c r="C768" s="21"/>
      <c r="D768" s="21"/>
      <c r="E768" s="21"/>
      <c r="F768" s="21"/>
      <c r="G768" s="21"/>
      <c r="H768" s="21"/>
      <c r="I768" s="21"/>
      <c r="J768" s="21"/>
    </row>
    <row r="769" spans="1:10" x14ac:dyDescent="0.3">
      <c r="A769" s="21" t="s">
        <v>202</v>
      </c>
      <c r="B769" s="21" t="s">
        <v>451</v>
      </c>
      <c r="C769" s="21"/>
      <c r="D769" s="21"/>
      <c r="E769" s="21"/>
      <c r="F769" s="21"/>
      <c r="G769" s="21"/>
      <c r="H769" s="21"/>
      <c r="I769" s="21"/>
      <c r="J769" s="21"/>
    </row>
    <row r="770" spans="1:10" x14ac:dyDescent="0.3">
      <c r="A770" s="21" t="s">
        <v>84</v>
      </c>
      <c r="B770" s="21" t="s">
        <v>86</v>
      </c>
      <c r="C770" s="21"/>
      <c r="D770" s="21"/>
      <c r="E770" s="21"/>
      <c r="F770" s="21"/>
      <c r="G770" s="21"/>
      <c r="H770" s="21"/>
      <c r="I770" s="21"/>
      <c r="J770" s="21"/>
    </row>
    <row r="771" spans="1:10" x14ac:dyDescent="0.3">
      <c r="A771" s="21" t="s">
        <v>73</v>
      </c>
      <c r="B771" s="21" t="s">
        <v>98</v>
      </c>
      <c r="C771" s="21"/>
      <c r="D771" s="21"/>
      <c r="E771" s="21"/>
      <c r="F771" s="21"/>
      <c r="G771" s="21"/>
      <c r="H771" s="21"/>
      <c r="I771" s="21"/>
      <c r="J771" s="21"/>
    </row>
    <row r="772" spans="1:10" x14ac:dyDescent="0.3">
      <c r="A772" s="21" t="s">
        <v>186</v>
      </c>
      <c r="B772" s="21">
        <v>1</v>
      </c>
      <c r="C772" s="21"/>
      <c r="D772" s="21"/>
      <c r="E772" s="21"/>
      <c r="F772" s="21"/>
      <c r="G772" s="21"/>
      <c r="H772" s="21"/>
      <c r="I772" s="21"/>
      <c r="J772" s="21"/>
    </row>
    <row r="773" spans="1:10" x14ac:dyDescent="0.3">
      <c r="A773" s="21" t="s">
        <v>74</v>
      </c>
      <c r="B773" s="21" t="s">
        <v>252</v>
      </c>
      <c r="C773" s="21"/>
      <c r="D773" s="21"/>
      <c r="E773" s="21"/>
      <c r="F773" s="21"/>
      <c r="G773" s="21"/>
      <c r="H773" s="21"/>
      <c r="I773" s="21"/>
      <c r="J773" s="21"/>
    </row>
    <row r="774" spans="1:10" x14ac:dyDescent="0.3">
      <c r="A774" s="21" t="s">
        <v>77</v>
      </c>
      <c r="B774" s="21" t="s">
        <v>78</v>
      </c>
      <c r="C774" s="21"/>
      <c r="D774" s="21"/>
      <c r="E774" s="21"/>
      <c r="F774" s="21"/>
      <c r="G774" s="21"/>
      <c r="H774" s="21"/>
      <c r="I774" s="21"/>
      <c r="J774" s="21"/>
    </row>
    <row r="775" spans="1:10" x14ac:dyDescent="0.3">
      <c r="A775" s="21" t="s">
        <v>204</v>
      </c>
      <c r="B775" s="21" t="s">
        <v>187</v>
      </c>
      <c r="C775" s="21"/>
      <c r="D775" s="21"/>
      <c r="E775" s="21"/>
      <c r="F775" s="21"/>
      <c r="G775" s="21"/>
      <c r="H775" s="21"/>
      <c r="I775" s="21"/>
      <c r="J775" s="21"/>
    </row>
    <row r="776" spans="1:10" ht="15.6" x14ac:dyDescent="0.3">
      <c r="A776" s="11" t="s">
        <v>80</v>
      </c>
      <c r="B776" s="21"/>
      <c r="C776" s="21"/>
      <c r="D776" s="21"/>
      <c r="E776" s="21"/>
      <c r="F776" s="21"/>
      <c r="G776" s="21"/>
      <c r="H776" s="21"/>
      <c r="I776" s="21"/>
      <c r="J776" s="21"/>
    </row>
    <row r="777" spans="1:10" x14ac:dyDescent="0.3">
      <c r="A777" s="21" t="s">
        <v>81</v>
      </c>
      <c r="B777" s="21" t="s">
        <v>82</v>
      </c>
      <c r="C777" s="21" t="s">
        <v>188</v>
      </c>
      <c r="D777" s="21" t="s">
        <v>73</v>
      </c>
      <c r="E777" s="21" t="s">
        <v>77</v>
      </c>
      <c r="F777" s="21" t="s">
        <v>75</v>
      </c>
      <c r="G777" s="21" t="s">
        <v>74</v>
      </c>
      <c r="H777" s="21"/>
      <c r="I777" s="21"/>
      <c r="J777" s="21"/>
    </row>
    <row r="778" spans="1:10" x14ac:dyDescent="0.3">
      <c r="A778" s="21" t="s">
        <v>252</v>
      </c>
      <c r="B778" s="21">
        <v>1</v>
      </c>
      <c r="C778" s="21" t="s">
        <v>187</v>
      </c>
      <c r="D778" s="21" t="s">
        <v>98</v>
      </c>
      <c r="E778" s="21" t="s">
        <v>78</v>
      </c>
      <c r="F778" s="21" t="s">
        <v>85</v>
      </c>
      <c r="G778" s="21"/>
      <c r="H778" s="21"/>
      <c r="I778" s="21"/>
      <c r="J778" s="21"/>
    </row>
    <row r="779" spans="1:10" x14ac:dyDescent="0.3">
      <c r="A779" s="21" t="s">
        <v>292</v>
      </c>
      <c r="B779" s="21">
        <v>1</v>
      </c>
      <c r="C779" s="21" t="s">
        <v>193</v>
      </c>
      <c r="D779" s="21" t="s">
        <v>98</v>
      </c>
      <c r="E779" s="21" t="s">
        <v>78</v>
      </c>
      <c r="F779" s="21" t="s">
        <v>91</v>
      </c>
      <c r="G779" s="21" t="s">
        <v>293</v>
      </c>
      <c r="H779" s="21"/>
      <c r="I779" s="21"/>
      <c r="J779" s="21"/>
    </row>
    <row r="780" spans="1:10" x14ac:dyDescent="0.3">
      <c r="A780" s="21" t="s">
        <v>300</v>
      </c>
      <c r="B780" s="21">
        <v>7.4000000000000003E-10</v>
      </c>
      <c r="C780" s="21" t="s">
        <v>193</v>
      </c>
      <c r="D780" s="21" t="s">
        <v>98</v>
      </c>
      <c r="E780" s="21" t="s">
        <v>77</v>
      </c>
      <c r="F780" s="21" t="s">
        <v>91</v>
      </c>
      <c r="G780" s="21" t="s">
        <v>301</v>
      </c>
      <c r="H780" s="21"/>
      <c r="I780" s="21"/>
      <c r="J780" s="21"/>
    </row>
    <row r="781" spans="1:10" x14ac:dyDescent="0.3">
      <c r="A781" s="21" t="s">
        <v>393</v>
      </c>
      <c r="B781" s="21">
        <v>1</v>
      </c>
      <c r="C781" s="21" t="s">
        <v>193</v>
      </c>
      <c r="D781" s="21" t="s">
        <v>98</v>
      </c>
      <c r="E781" s="21" t="s">
        <v>78</v>
      </c>
      <c r="F781" s="21" t="s">
        <v>91</v>
      </c>
      <c r="G781" s="21" t="s">
        <v>394</v>
      </c>
      <c r="H781" s="21"/>
      <c r="I781" s="21"/>
      <c r="J781" s="21"/>
    </row>
    <row r="782" spans="1:10" x14ac:dyDescent="0.3">
      <c r="A782" s="21"/>
      <c r="B782" s="21"/>
      <c r="C782" s="21"/>
      <c r="D782" s="21"/>
      <c r="E782" s="21"/>
      <c r="F782" s="21"/>
      <c r="G782" s="21"/>
      <c r="H782" s="21"/>
      <c r="I782" s="21"/>
      <c r="J782" s="21"/>
    </row>
    <row r="783" spans="1:10" ht="15.6" x14ac:dyDescent="0.3">
      <c r="A783" s="11" t="s">
        <v>72</v>
      </c>
      <c r="B783" s="11" t="s">
        <v>279</v>
      </c>
      <c r="C783" s="21"/>
      <c r="D783" s="21"/>
      <c r="E783" s="21"/>
      <c r="F783" s="21"/>
      <c r="G783" s="21"/>
      <c r="H783" s="21"/>
      <c r="I783" s="21"/>
      <c r="J783" s="21"/>
    </row>
    <row r="784" spans="1:10" x14ac:dyDescent="0.3">
      <c r="A784" s="21" t="s">
        <v>202</v>
      </c>
      <c r="B784" s="21" t="s">
        <v>452</v>
      </c>
      <c r="C784" s="21"/>
      <c r="D784" s="21"/>
      <c r="E784" s="21"/>
      <c r="F784" s="21"/>
      <c r="G784" s="21"/>
      <c r="H784" s="21"/>
      <c r="I784" s="21"/>
      <c r="J784" s="21"/>
    </row>
    <row r="785" spans="1:10" x14ac:dyDescent="0.3">
      <c r="A785" s="21" t="s">
        <v>84</v>
      </c>
      <c r="B785" s="21" t="s">
        <v>86</v>
      </c>
      <c r="C785" s="21"/>
      <c r="D785" s="21"/>
      <c r="E785" s="21"/>
      <c r="F785" s="21"/>
      <c r="G785" s="21"/>
      <c r="H785" s="21"/>
      <c r="I785" s="21"/>
      <c r="J785" s="21"/>
    </row>
    <row r="786" spans="1:10" x14ac:dyDescent="0.3">
      <c r="A786" s="21" t="s">
        <v>73</v>
      </c>
      <c r="B786" s="21" t="s">
        <v>98</v>
      </c>
      <c r="C786" s="21"/>
      <c r="D786" s="21"/>
      <c r="E786" s="21"/>
      <c r="F786" s="21"/>
      <c r="G786" s="21"/>
      <c r="H786" s="21"/>
      <c r="I786" s="21"/>
      <c r="J786" s="21"/>
    </row>
    <row r="787" spans="1:10" x14ac:dyDescent="0.3">
      <c r="A787" s="21" t="s">
        <v>186</v>
      </c>
      <c r="B787" s="21">
        <v>1</v>
      </c>
      <c r="C787" s="21"/>
      <c r="D787" s="21"/>
      <c r="E787" s="21"/>
      <c r="F787" s="21"/>
      <c r="G787" s="21"/>
      <c r="H787" s="21"/>
      <c r="I787" s="21"/>
      <c r="J787" s="21"/>
    </row>
    <row r="788" spans="1:10" x14ac:dyDescent="0.3">
      <c r="A788" s="21" t="s">
        <v>74</v>
      </c>
      <c r="B788" s="21" t="s">
        <v>279</v>
      </c>
      <c r="C788" s="21"/>
      <c r="D788" s="21"/>
      <c r="E788" s="21"/>
      <c r="F788" s="21"/>
      <c r="G788" s="21"/>
      <c r="H788" s="21"/>
      <c r="I788" s="21"/>
      <c r="J788" s="21"/>
    </row>
    <row r="789" spans="1:10" x14ac:dyDescent="0.3">
      <c r="A789" s="21" t="s">
        <v>77</v>
      </c>
      <c r="B789" s="21" t="s">
        <v>78</v>
      </c>
      <c r="C789" s="21"/>
      <c r="D789" s="21"/>
      <c r="E789" s="21"/>
      <c r="F789" s="21"/>
      <c r="G789" s="21"/>
      <c r="H789" s="21"/>
      <c r="I789" s="21"/>
      <c r="J789" s="21"/>
    </row>
    <row r="790" spans="1:10" x14ac:dyDescent="0.3">
      <c r="A790" s="21" t="s">
        <v>204</v>
      </c>
      <c r="B790" s="21" t="s">
        <v>187</v>
      </c>
      <c r="C790" s="21"/>
      <c r="D790" s="21"/>
      <c r="E790" s="21"/>
      <c r="F790" s="21"/>
      <c r="G790" s="21"/>
      <c r="H790" s="21"/>
      <c r="I790" s="21"/>
      <c r="J790" s="21"/>
    </row>
    <row r="791" spans="1:10" ht="15.6" x14ac:dyDescent="0.3">
      <c r="A791" s="11" t="s">
        <v>80</v>
      </c>
      <c r="B791" s="21"/>
      <c r="C791" s="21"/>
      <c r="D791" s="21"/>
      <c r="E791" s="21"/>
      <c r="F791" s="21"/>
      <c r="G791" s="21"/>
      <c r="H791" s="21"/>
      <c r="I791" s="21"/>
      <c r="J791" s="21"/>
    </row>
    <row r="792" spans="1:10" x14ac:dyDescent="0.3">
      <c r="A792" s="21" t="s">
        <v>81</v>
      </c>
      <c r="B792" s="21" t="s">
        <v>82</v>
      </c>
      <c r="C792" s="21" t="s">
        <v>188</v>
      </c>
      <c r="D792" s="21" t="s">
        <v>73</v>
      </c>
      <c r="E792" s="21" t="s">
        <v>77</v>
      </c>
      <c r="F792" s="21" t="s">
        <v>75</v>
      </c>
      <c r="G792" s="21" t="s">
        <v>74</v>
      </c>
      <c r="H792" s="21"/>
      <c r="I792" s="21"/>
      <c r="J792" s="21"/>
    </row>
    <row r="793" spans="1:10" x14ac:dyDescent="0.3">
      <c r="A793" s="21" t="s">
        <v>279</v>
      </c>
      <c r="B793" s="21">
        <v>1</v>
      </c>
      <c r="C793" s="21" t="s">
        <v>187</v>
      </c>
      <c r="D793" s="21" t="s">
        <v>98</v>
      </c>
      <c r="E793" s="21" t="s">
        <v>78</v>
      </c>
      <c r="F793" s="21" t="s">
        <v>85</v>
      </c>
      <c r="G793" s="21"/>
      <c r="H793" s="21"/>
      <c r="I793" s="21"/>
      <c r="J793" s="21"/>
    </row>
    <row r="794" spans="1:10" x14ac:dyDescent="0.3">
      <c r="A794" s="21" t="s">
        <v>292</v>
      </c>
      <c r="B794" s="21">
        <v>0.51</v>
      </c>
      <c r="C794" s="21" t="s">
        <v>193</v>
      </c>
      <c r="D794" s="21" t="s">
        <v>98</v>
      </c>
      <c r="E794" s="21" t="s">
        <v>78</v>
      </c>
      <c r="F794" s="21" t="s">
        <v>91</v>
      </c>
      <c r="G794" s="21" t="s">
        <v>293</v>
      </c>
      <c r="H794" s="21"/>
      <c r="I794" s="21"/>
      <c r="J794" s="21"/>
    </row>
    <row r="795" spans="1:10" x14ac:dyDescent="0.3">
      <c r="A795" s="21" t="s">
        <v>294</v>
      </c>
      <c r="B795" s="21">
        <v>2.1999999999999999E-10</v>
      </c>
      <c r="C795" s="21" t="s">
        <v>193</v>
      </c>
      <c r="D795" s="21" t="s">
        <v>98</v>
      </c>
      <c r="E795" s="21" t="s">
        <v>77</v>
      </c>
      <c r="F795" s="21" t="s">
        <v>91</v>
      </c>
      <c r="G795" s="21" t="s">
        <v>295</v>
      </c>
      <c r="H795" s="21"/>
      <c r="I795" s="21"/>
      <c r="J795" s="21"/>
    </row>
    <row r="796" spans="1:10" x14ac:dyDescent="0.3">
      <c r="A796" s="21" t="s">
        <v>326</v>
      </c>
      <c r="B796" s="21">
        <v>0.49</v>
      </c>
      <c r="C796" s="21" t="s">
        <v>193</v>
      </c>
      <c r="D796" s="21" t="s">
        <v>98</v>
      </c>
      <c r="E796" s="21" t="s">
        <v>78</v>
      </c>
      <c r="F796" s="21" t="s">
        <v>91</v>
      </c>
      <c r="G796" s="21" t="s">
        <v>327</v>
      </c>
      <c r="H796" s="21"/>
      <c r="I796" s="21"/>
      <c r="J796" s="21"/>
    </row>
    <row r="797" spans="1:10" x14ac:dyDescent="0.3">
      <c r="A797" s="21" t="s">
        <v>328</v>
      </c>
      <c r="B797" s="21">
        <v>0.13</v>
      </c>
      <c r="C797" s="21" t="s">
        <v>193</v>
      </c>
      <c r="D797" s="21" t="s">
        <v>242</v>
      </c>
      <c r="E797" s="21" t="s">
        <v>78</v>
      </c>
      <c r="F797" s="21" t="s">
        <v>91</v>
      </c>
      <c r="G797" s="21" t="s">
        <v>329</v>
      </c>
      <c r="H797" s="21"/>
      <c r="I797" s="21"/>
      <c r="J797" s="21"/>
    </row>
    <row r="798" spans="1:10" x14ac:dyDescent="0.3">
      <c r="A798" s="21" t="s">
        <v>300</v>
      </c>
      <c r="B798" s="21">
        <v>3.7999999999999998E-10</v>
      </c>
      <c r="C798" s="21" t="s">
        <v>193</v>
      </c>
      <c r="D798" s="21" t="s">
        <v>98</v>
      </c>
      <c r="E798" s="21" t="s">
        <v>77</v>
      </c>
      <c r="F798" s="21" t="s">
        <v>91</v>
      </c>
      <c r="G798" s="21" t="s">
        <v>301</v>
      </c>
      <c r="H798" s="21"/>
      <c r="I798" s="21"/>
      <c r="J798" s="21"/>
    </row>
    <row r="799" spans="1:10" x14ac:dyDescent="0.3">
      <c r="A799" s="21" t="s">
        <v>393</v>
      </c>
      <c r="B799" s="21">
        <v>0.38</v>
      </c>
      <c r="C799" s="21" t="s">
        <v>193</v>
      </c>
      <c r="D799" s="21" t="s">
        <v>98</v>
      </c>
      <c r="E799" s="21" t="s">
        <v>78</v>
      </c>
      <c r="F799" s="21" t="s">
        <v>91</v>
      </c>
      <c r="G799" s="21" t="s">
        <v>394</v>
      </c>
      <c r="H799" s="21"/>
      <c r="I799" s="21"/>
      <c r="J799" s="21"/>
    </row>
    <row r="800" spans="1:10" x14ac:dyDescent="0.3">
      <c r="A800" s="21" t="s">
        <v>332</v>
      </c>
      <c r="B800" s="21">
        <v>0.49</v>
      </c>
      <c r="C800" s="21" t="s">
        <v>193</v>
      </c>
      <c r="D800" s="21" t="s">
        <v>98</v>
      </c>
      <c r="E800" s="21" t="s">
        <v>78</v>
      </c>
      <c r="F800" s="21" t="s">
        <v>91</v>
      </c>
      <c r="G800" s="21" t="s">
        <v>333</v>
      </c>
      <c r="H800" s="21"/>
      <c r="I800" s="21"/>
      <c r="J800" s="21"/>
    </row>
    <row r="801" spans="1:10" x14ac:dyDescent="0.3">
      <c r="A801" s="21"/>
      <c r="B801" s="21"/>
      <c r="C801" s="21"/>
      <c r="D801" s="21"/>
      <c r="E801" s="21"/>
      <c r="F801" s="21"/>
      <c r="G801" s="21"/>
      <c r="H801" s="21"/>
      <c r="I801" s="21"/>
      <c r="J801" s="21"/>
    </row>
    <row r="802" spans="1:10" ht="15.6" x14ac:dyDescent="0.3">
      <c r="A802" s="11" t="s">
        <v>72</v>
      </c>
      <c r="B802" s="11" t="s">
        <v>402</v>
      </c>
      <c r="C802" s="21"/>
      <c r="D802" s="21"/>
      <c r="E802" s="21"/>
      <c r="F802" s="21"/>
      <c r="G802" s="21"/>
      <c r="H802" s="21"/>
      <c r="I802" s="21"/>
      <c r="J802" s="21"/>
    </row>
    <row r="803" spans="1:10" x14ac:dyDescent="0.3">
      <c r="A803" s="21" t="s">
        <v>202</v>
      </c>
      <c r="B803" s="21" t="s">
        <v>453</v>
      </c>
      <c r="C803" s="21"/>
      <c r="D803" s="21"/>
      <c r="E803" s="21"/>
      <c r="F803" s="21"/>
      <c r="G803" s="21"/>
      <c r="H803" s="21"/>
      <c r="I803" s="21"/>
      <c r="J803" s="21"/>
    </row>
    <row r="804" spans="1:10" x14ac:dyDescent="0.3">
      <c r="A804" s="21" t="s">
        <v>84</v>
      </c>
      <c r="B804" s="21" t="s">
        <v>86</v>
      </c>
      <c r="C804" s="21"/>
      <c r="D804" s="21"/>
      <c r="E804" s="21"/>
      <c r="F804" s="21"/>
      <c r="G804" s="21"/>
      <c r="H804" s="21"/>
      <c r="I804" s="21"/>
      <c r="J804" s="21"/>
    </row>
    <row r="805" spans="1:10" x14ac:dyDescent="0.3">
      <c r="A805" s="21" t="s">
        <v>73</v>
      </c>
      <c r="B805" s="21" t="s">
        <v>98</v>
      </c>
      <c r="C805" s="21"/>
      <c r="D805" s="21"/>
      <c r="E805" s="21"/>
      <c r="F805" s="21"/>
      <c r="G805" s="21"/>
      <c r="H805" s="21"/>
      <c r="I805" s="21"/>
      <c r="J805" s="21"/>
    </row>
    <row r="806" spans="1:10" x14ac:dyDescent="0.3">
      <c r="A806" s="21" t="s">
        <v>186</v>
      </c>
      <c r="B806" s="21">
        <v>1</v>
      </c>
      <c r="C806" s="21"/>
      <c r="D806" s="21"/>
      <c r="E806" s="21"/>
      <c r="F806" s="21"/>
      <c r="G806" s="21"/>
      <c r="H806" s="21"/>
      <c r="I806" s="21"/>
      <c r="J806" s="21"/>
    </row>
    <row r="807" spans="1:10" x14ac:dyDescent="0.3">
      <c r="A807" s="21" t="s">
        <v>74</v>
      </c>
      <c r="B807" s="21" t="s">
        <v>402</v>
      </c>
      <c r="C807" s="21"/>
      <c r="D807" s="21"/>
      <c r="E807" s="21"/>
      <c r="F807" s="21"/>
      <c r="G807" s="21"/>
      <c r="H807" s="21"/>
      <c r="I807" s="21"/>
      <c r="J807" s="21"/>
    </row>
    <row r="808" spans="1:10" x14ac:dyDescent="0.3">
      <c r="A808" s="21" t="s">
        <v>77</v>
      </c>
      <c r="B808" s="21" t="s">
        <v>78</v>
      </c>
      <c r="C808" s="21"/>
      <c r="D808" s="21"/>
      <c r="E808" s="21"/>
      <c r="F808" s="21"/>
      <c r="G808" s="21"/>
      <c r="H808" s="21"/>
      <c r="I808" s="21"/>
      <c r="J808" s="21"/>
    </row>
    <row r="809" spans="1:10" x14ac:dyDescent="0.3">
      <c r="A809" s="21" t="s">
        <v>204</v>
      </c>
      <c r="B809" s="21" t="s">
        <v>187</v>
      </c>
      <c r="C809" s="21"/>
      <c r="D809" s="21"/>
      <c r="E809" s="21"/>
      <c r="F809" s="21"/>
      <c r="G809" s="21"/>
      <c r="H809" s="21"/>
      <c r="I809" s="21"/>
      <c r="J809" s="21"/>
    </row>
    <row r="810" spans="1:10" ht="15.6" x14ac:dyDescent="0.3">
      <c r="A810" s="11" t="s">
        <v>80</v>
      </c>
      <c r="B810" s="21"/>
      <c r="C810" s="21"/>
      <c r="D810" s="21"/>
      <c r="E810" s="21"/>
      <c r="F810" s="21"/>
      <c r="G810" s="21"/>
      <c r="H810" s="21"/>
      <c r="I810" s="21"/>
      <c r="J810" s="21"/>
    </row>
    <row r="811" spans="1:10" x14ac:dyDescent="0.3">
      <c r="A811" s="21" t="s">
        <v>81</v>
      </c>
      <c r="B811" s="21" t="s">
        <v>82</v>
      </c>
      <c r="C811" s="21" t="s">
        <v>188</v>
      </c>
      <c r="D811" s="21" t="s">
        <v>73</v>
      </c>
      <c r="E811" s="21" t="s">
        <v>77</v>
      </c>
      <c r="F811" s="21" t="s">
        <v>75</v>
      </c>
      <c r="G811" s="21" t="s">
        <v>74</v>
      </c>
      <c r="H811" s="21"/>
      <c r="I811" s="21"/>
      <c r="J811" s="21"/>
    </row>
    <row r="812" spans="1:10" x14ac:dyDescent="0.3">
      <c r="A812" s="21" t="s">
        <v>402</v>
      </c>
      <c r="B812" s="21">
        <v>1</v>
      </c>
      <c r="C812" s="21" t="s">
        <v>187</v>
      </c>
      <c r="D812" s="21" t="s">
        <v>98</v>
      </c>
      <c r="E812" s="21" t="s">
        <v>78</v>
      </c>
      <c r="F812" s="21" t="s">
        <v>85</v>
      </c>
      <c r="G812" s="21"/>
      <c r="H812" s="21"/>
      <c r="I812" s="21"/>
      <c r="J812" s="21"/>
    </row>
    <row r="813" spans="1:10" x14ac:dyDescent="0.3">
      <c r="A813" s="21" t="s">
        <v>288</v>
      </c>
      <c r="B813" s="21">
        <v>0.6</v>
      </c>
      <c r="C813" s="21" t="s">
        <v>193</v>
      </c>
      <c r="D813" s="21" t="s">
        <v>98</v>
      </c>
      <c r="E813" s="21" t="s">
        <v>78</v>
      </c>
      <c r="F813" s="21" t="s">
        <v>91</v>
      </c>
      <c r="G813" s="21" t="s">
        <v>289</v>
      </c>
      <c r="H813" s="21"/>
      <c r="I813" s="21"/>
      <c r="J813" s="21"/>
    </row>
    <row r="814" spans="1:10" x14ac:dyDescent="0.3">
      <c r="A814" s="21" t="s">
        <v>454</v>
      </c>
      <c r="B814" s="21">
        <v>0.1</v>
      </c>
      <c r="C814" s="21" t="s">
        <v>193</v>
      </c>
      <c r="D814" s="21" t="s">
        <v>98</v>
      </c>
      <c r="E814" s="21" t="s">
        <v>78</v>
      </c>
      <c r="F814" s="21" t="s">
        <v>91</v>
      </c>
      <c r="G814" s="21" t="s">
        <v>455</v>
      </c>
      <c r="H814" s="21"/>
      <c r="I814" s="21"/>
      <c r="J814" s="21"/>
    </row>
    <row r="815" spans="1:10" x14ac:dyDescent="0.3">
      <c r="A815" s="21" t="s">
        <v>292</v>
      </c>
      <c r="B815" s="21">
        <v>1</v>
      </c>
      <c r="C815" s="21" t="s">
        <v>193</v>
      </c>
      <c r="D815" s="21" t="s">
        <v>98</v>
      </c>
      <c r="E815" s="21" t="s">
        <v>78</v>
      </c>
      <c r="F815" s="21" t="s">
        <v>91</v>
      </c>
      <c r="G815" s="21" t="s">
        <v>293</v>
      </c>
      <c r="H815" s="21"/>
      <c r="I815" s="21"/>
      <c r="J815" s="21"/>
    </row>
    <row r="816" spans="1:10" x14ac:dyDescent="0.3">
      <c r="A816" s="21" t="s">
        <v>300</v>
      </c>
      <c r="B816" s="21">
        <v>7.4000000000000003E-10</v>
      </c>
      <c r="C816" s="21" t="s">
        <v>193</v>
      </c>
      <c r="D816" s="21" t="s">
        <v>98</v>
      </c>
      <c r="E816" s="21" t="s">
        <v>77</v>
      </c>
      <c r="F816" s="21" t="s">
        <v>91</v>
      </c>
      <c r="G816" s="21" t="s">
        <v>301</v>
      </c>
      <c r="H816" s="21"/>
      <c r="I816" s="21"/>
      <c r="J816" s="21"/>
    </row>
    <row r="817" spans="1:10" x14ac:dyDescent="0.3">
      <c r="A817" s="21" t="s">
        <v>456</v>
      </c>
      <c r="B817" s="21">
        <v>0.3</v>
      </c>
      <c r="C817" s="21" t="s">
        <v>193</v>
      </c>
      <c r="D817" s="21" t="s">
        <v>98</v>
      </c>
      <c r="E817" s="21" t="s">
        <v>78</v>
      </c>
      <c r="F817" s="21" t="s">
        <v>91</v>
      </c>
      <c r="G817" s="21" t="s">
        <v>457</v>
      </c>
      <c r="H817" s="21"/>
      <c r="I817" s="21"/>
      <c r="J817" s="21"/>
    </row>
    <row r="818" spans="1:10" x14ac:dyDescent="0.3">
      <c r="A818" s="21"/>
      <c r="B818" s="21"/>
      <c r="C818" s="21"/>
      <c r="D818" s="21"/>
      <c r="E818" s="21"/>
      <c r="F818" s="21"/>
      <c r="G818" s="21"/>
      <c r="H818" s="21"/>
      <c r="I818" s="21"/>
      <c r="J818" s="21"/>
    </row>
    <row r="819" spans="1:10" ht="15.6" x14ac:dyDescent="0.3">
      <c r="A819" s="11" t="s">
        <v>72</v>
      </c>
      <c r="B819" s="11" t="s">
        <v>283</v>
      </c>
      <c r="C819" s="21"/>
      <c r="D819" s="21"/>
      <c r="E819" s="21"/>
      <c r="F819" s="21"/>
      <c r="G819" s="21"/>
      <c r="H819" s="21"/>
      <c r="I819" s="21"/>
      <c r="J819" s="21"/>
    </row>
    <row r="820" spans="1:10" x14ac:dyDescent="0.3">
      <c r="A820" s="21" t="s">
        <v>202</v>
      </c>
      <c r="B820" s="21" t="s">
        <v>458</v>
      </c>
      <c r="C820" s="21"/>
      <c r="D820" s="21"/>
      <c r="E820" s="21"/>
      <c r="F820" s="21"/>
      <c r="G820" s="21"/>
      <c r="H820" s="21"/>
      <c r="I820" s="21"/>
      <c r="J820" s="21"/>
    </row>
    <row r="821" spans="1:10" x14ac:dyDescent="0.3">
      <c r="A821" s="21" t="s">
        <v>84</v>
      </c>
      <c r="B821" s="21" t="s">
        <v>86</v>
      </c>
      <c r="C821" s="21"/>
      <c r="D821" s="21"/>
      <c r="E821" s="21"/>
      <c r="F821" s="21"/>
      <c r="G821" s="21"/>
      <c r="H821" s="21"/>
      <c r="I821" s="21"/>
      <c r="J821" s="21"/>
    </row>
    <row r="822" spans="1:10" x14ac:dyDescent="0.3">
      <c r="A822" s="21" t="s">
        <v>73</v>
      </c>
      <c r="B822" s="21" t="s">
        <v>98</v>
      </c>
      <c r="C822" s="21"/>
      <c r="D822" s="21"/>
      <c r="E822" s="21"/>
      <c r="F822" s="21"/>
      <c r="G822" s="21"/>
      <c r="H822" s="21"/>
      <c r="I822" s="21"/>
      <c r="J822" s="21"/>
    </row>
    <row r="823" spans="1:10" x14ac:dyDescent="0.3">
      <c r="A823" s="21" t="s">
        <v>186</v>
      </c>
      <c r="B823" s="21">
        <v>1</v>
      </c>
      <c r="C823" s="21"/>
      <c r="D823" s="21"/>
      <c r="E823" s="21"/>
      <c r="F823" s="21"/>
      <c r="G823" s="21"/>
      <c r="H823" s="21"/>
      <c r="I823" s="21"/>
      <c r="J823" s="21"/>
    </row>
    <row r="824" spans="1:10" x14ac:dyDescent="0.3">
      <c r="A824" s="21" t="s">
        <v>74</v>
      </c>
      <c r="B824" s="21" t="s">
        <v>283</v>
      </c>
      <c r="C824" s="21"/>
      <c r="D824" s="21"/>
      <c r="E824" s="21"/>
      <c r="F824" s="21"/>
      <c r="G824" s="21"/>
      <c r="H824" s="21"/>
      <c r="I824" s="21"/>
      <c r="J824" s="21"/>
    </row>
    <row r="825" spans="1:10" x14ac:dyDescent="0.3">
      <c r="A825" s="21" t="s">
        <v>77</v>
      </c>
      <c r="B825" s="21" t="s">
        <v>78</v>
      </c>
      <c r="C825" s="21"/>
      <c r="D825" s="21"/>
      <c r="E825" s="21"/>
      <c r="F825" s="21"/>
      <c r="G825" s="21"/>
      <c r="H825" s="21"/>
      <c r="I825" s="21"/>
      <c r="J825" s="21"/>
    </row>
    <row r="826" spans="1:10" x14ac:dyDescent="0.3">
      <c r="A826" s="21" t="s">
        <v>204</v>
      </c>
      <c r="B826" s="21" t="s">
        <v>187</v>
      </c>
      <c r="C826" s="21"/>
      <c r="D826" s="21"/>
      <c r="E826" s="21"/>
      <c r="F826" s="21"/>
      <c r="G826" s="21"/>
      <c r="H826" s="21"/>
      <c r="I826" s="21"/>
      <c r="J826" s="21"/>
    </row>
    <row r="827" spans="1:10" ht="15.6" x14ac:dyDescent="0.3">
      <c r="A827" s="11" t="s">
        <v>80</v>
      </c>
      <c r="B827" s="21"/>
      <c r="C827" s="21"/>
      <c r="D827" s="21"/>
      <c r="E827" s="21"/>
      <c r="F827" s="21"/>
      <c r="G827" s="21"/>
      <c r="H827" s="21"/>
      <c r="I827" s="21"/>
      <c r="J827" s="21"/>
    </row>
    <row r="828" spans="1:10" x14ac:dyDescent="0.3">
      <c r="A828" s="21" t="s">
        <v>81</v>
      </c>
      <c r="B828" s="21" t="s">
        <v>82</v>
      </c>
      <c r="C828" s="21" t="s">
        <v>188</v>
      </c>
      <c r="D828" s="21" t="s">
        <v>73</v>
      </c>
      <c r="E828" s="21" t="s">
        <v>77</v>
      </c>
      <c r="F828" s="21" t="s">
        <v>75</v>
      </c>
      <c r="G828" s="21" t="s">
        <v>74</v>
      </c>
      <c r="H828" s="21"/>
      <c r="I828" s="21"/>
      <c r="J828" s="21"/>
    </row>
    <row r="829" spans="1:10" x14ac:dyDescent="0.3">
      <c r="A829" s="21" t="s">
        <v>283</v>
      </c>
      <c r="B829" s="21">
        <v>1</v>
      </c>
      <c r="C829" s="21" t="s">
        <v>187</v>
      </c>
      <c r="D829" s="21" t="s">
        <v>98</v>
      </c>
      <c r="E829" s="21" t="s">
        <v>78</v>
      </c>
      <c r="F829" s="21" t="s">
        <v>85</v>
      </c>
      <c r="G829" s="21"/>
      <c r="H829" s="21"/>
      <c r="I829" s="21"/>
      <c r="J829" s="21"/>
    </row>
    <row r="830" spans="1:10" x14ac:dyDescent="0.3">
      <c r="A830" s="21" t="s">
        <v>292</v>
      </c>
      <c r="B830" s="21">
        <v>1</v>
      </c>
      <c r="C830" s="21" t="s">
        <v>193</v>
      </c>
      <c r="D830" s="21" t="s">
        <v>98</v>
      </c>
      <c r="E830" s="21" t="s">
        <v>78</v>
      </c>
      <c r="F830" s="21" t="s">
        <v>91</v>
      </c>
      <c r="G830" s="21" t="s">
        <v>293</v>
      </c>
      <c r="H830" s="21"/>
      <c r="I830" s="21"/>
      <c r="J830" s="21"/>
    </row>
    <row r="831" spans="1:10" x14ac:dyDescent="0.3">
      <c r="A831" s="21" t="s">
        <v>300</v>
      </c>
      <c r="B831" s="21">
        <v>7.4000000000000003E-10</v>
      </c>
      <c r="C831" s="21" t="s">
        <v>193</v>
      </c>
      <c r="D831" s="21" t="s">
        <v>98</v>
      </c>
      <c r="E831" s="21" t="s">
        <v>77</v>
      </c>
      <c r="F831" s="21" t="s">
        <v>91</v>
      </c>
      <c r="G831" s="21" t="s">
        <v>301</v>
      </c>
      <c r="H831" s="21"/>
      <c r="I831" s="21"/>
      <c r="J831" s="21"/>
    </row>
    <row r="832" spans="1:10" x14ac:dyDescent="0.3">
      <c r="A832" s="21" t="s">
        <v>393</v>
      </c>
      <c r="B832" s="21">
        <v>1</v>
      </c>
      <c r="C832" s="21" t="s">
        <v>193</v>
      </c>
      <c r="D832" s="21" t="s">
        <v>98</v>
      </c>
      <c r="E832" s="21" t="s">
        <v>78</v>
      </c>
      <c r="F832" s="21" t="s">
        <v>91</v>
      </c>
      <c r="G832" s="21" t="s">
        <v>394</v>
      </c>
      <c r="H832" s="21"/>
      <c r="I832" s="21"/>
      <c r="J832" s="21"/>
    </row>
    <row r="833" spans="1:10" x14ac:dyDescent="0.3">
      <c r="A833" s="21"/>
      <c r="B833" s="21"/>
      <c r="C833" s="21"/>
      <c r="D833" s="21"/>
      <c r="E833" s="21"/>
      <c r="F833" s="21"/>
      <c r="G833" s="21"/>
      <c r="H833" s="21"/>
      <c r="I833" s="21"/>
      <c r="J833" s="21"/>
    </row>
    <row r="834" spans="1:10" ht="15.6" x14ac:dyDescent="0.3">
      <c r="A834" s="11" t="s">
        <v>72</v>
      </c>
      <c r="B834" s="11" t="s">
        <v>284</v>
      </c>
      <c r="C834" s="21"/>
      <c r="D834" s="21"/>
      <c r="E834" s="21"/>
      <c r="F834" s="21"/>
      <c r="G834" s="21"/>
      <c r="H834" s="21"/>
      <c r="I834" s="21"/>
      <c r="J834" s="21"/>
    </row>
    <row r="835" spans="1:10" x14ac:dyDescent="0.3">
      <c r="A835" s="21" t="s">
        <v>202</v>
      </c>
      <c r="B835" s="21" t="s">
        <v>459</v>
      </c>
      <c r="C835" s="21"/>
      <c r="D835" s="21"/>
      <c r="E835" s="21"/>
      <c r="F835" s="21"/>
      <c r="G835" s="21"/>
      <c r="H835" s="21"/>
      <c r="I835" s="21"/>
      <c r="J835" s="21"/>
    </row>
    <row r="836" spans="1:10" x14ac:dyDescent="0.3">
      <c r="A836" s="21" t="s">
        <v>84</v>
      </c>
      <c r="B836" s="21" t="s">
        <v>86</v>
      </c>
      <c r="C836" s="21"/>
      <c r="D836" s="21"/>
      <c r="E836" s="21"/>
      <c r="F836" s="21"/>
      <c r="G836" s="21"/>
      <c r="H836" s="21"/>
      <c r="I836" s="21"/>
      <c r="J836" s="21"/>
    </row>
    <row r="837" spans="1:10" x14ac:dyDescent="0.3">
      <c r="A837" s="21" t="s">
        <v>73</v>
      </c>
      <c r="B837" s="21" t="s">
        <v>98</v>
      </c>
      <c r="C837" s="21"/>
      <c r="D837" s="21"/>
      <c r="E837" s="21"/>
      <c r="F837" s="21"/>
      <c r="G837" s="21"/>
      <c r="H837" s="21"/>
      <c r="I837" s="21"/>
      <c r="J837" s="21"/>
    </row>
    <row r="838" spans="1:10" x14ac:dyDescent="0.3">
      <c r="A838" s="21" t="s">
        <v>186</v>
      </c>
      <c r="B838" s="21">
        <v>1</v>
      </c>
      <c r="C838" s="21"/>
      <c r="D838" s="21"/>
      <c r="E838" s="21"/>
      <c r="F838" s="21"/>
      <c r="G838" s="21"/>
      <c r="H838" s="21"/>
      <c r="I838" s="21"/>
      <c r="J838" s="21"/>
    </row>
    <row r="839" spans="1:10" x14ac:dyDescent="0.3">
      <c r="A839" s="21" t="s">
        <v>74</v>
      </c>
      <c r="B839" s="21" t="s">
        <v>284</v>
      </c>
      <c r="C839" s="21"/>
      <c r="D839" s="21"/>
      <c r="E839" s="21"/>
      <c r="F839" s="21"/>
      <c r="G839" s="21"/>
      <c r="H839" s="21"/>
      <c r="I839" s="21"/>
      <c r="J839" s="21"/>
    </row>
    <row r="840" spans="1:10" x14ac:dyDescent="0.3">
      <c r="A840" s="21" t="s">
        <v>77</v>
      </c>
      <c r="B840" s="21" t="s">
        <v>78</v>
      </c>
      <c r="C840" s="21"/>
      <c r="D840" s="21"/>
      <c r="E840" s="21"/>
      <c r="F840" s="21"/>
      <c r="G840" s="21"/>
      <c r="H840" s="21"/>
      <c r="I840" s="21"/>
      <c r="J840" s="21"/>
    </row>
    <row r="841" spans="1:10" x14ac:dyDescent="0.3">
      <c r="A841" s="21" t="s">
        <v>204</v>
      </c>
      <c r="B841" s="21" t="s">
        <v>187</v>
      </c>
      <c r="C841" s="21"/>
      <c r="D841" s="21"/>
      <c r="E841" s="21"/>
      <c r="F841" s="21"/>
      <c r="G841" s="21"/>
      <c r="H841" s="21"/>
      <c r="I841" s="21"/>
      <c r="J841" s="21"/>
    </row>
    <row r="842" spans="1:10" ht="15.6" x14ac:dyDescent="0.3">
      <c r="A842" s="11" t="s">
        <v>80</v>
      </c>
      <c r="B842" s="21"/>
      <c r="C842" s="21"/>
      <c r="D842" s="21"/>
      <c r="E842" s="21"/>
      <c r="F842" s="21"/>
      <c r="G842" s="21"/>
      <c r="H842" s="21"/>
      <c r="I842" s="21"/>
      <c r="J842" s="21"/>
    </row>
    <row r="843" spans="1:10" x14ac:dyDescent="0.3">
      <c r="A843" s="21" t="s">
        <v>81</v>
      </c>
      <c r="B843" s="21" t="s">
        <v>82</v>
      </c>
      <c r="C843" s="21" t="s">
        <v>188</v>
      </c>
      <c r="D843" s="21" t="s">
        <v>73</v>
      </c>
      <c r="E843" s="21" t="s">
        <v>77</v>
      </c>
      <c r="F843" s="21" t="s">
        <v>75</v>
      </c>
      <c r="G843" s="21" t="s">
        <v>74</v>
      </c>
      <c r="H843" s="21"/>
      <c r="I843" s="21"/>
      <c r="J843" s="21"/>
    </row>
    <row r="844" spans="1:10" x14ac:dyDescent="0.3">
      <c r="A844" s="21" t="s">
        <v>284</v>
      </c>
      <c r="B844" s="21">
        <v>1</v>
      </c>
      <c r="C844" s="21" t="s">
        <v>187</v>
      </c>
      <c r="D844" s="21" t="s">
        <v>98</v>
      </c>
      <c r="E844" s="21" t="s">
        <v>78</v>
      </c>
      <c r="F844" s="21" t="s">
        <v>85</v>
      </c>
      <c r="G844" s="21"/>
      <c r="H844" s="21"/>
      <c r="I844" s="21"/>
      <c r="J844" s="21"/>
    </row>
    <row r="845" spans="1:10" x14ac:dyDescent="0.3">
      <c r="A845" s="21" t="s">
        <v>460</v>
      </c>
      <c r="B845" s="21">
        <v>1</v>
      </c>
      <c r="C845" s="21" t="s">
        <v>193</v>
      </c>
      <c r="D845" s="21" t="s">
        <v>242</v>
      </c>
      <c r="E845" s="21" t="s">
        <v>78</v>
      </c>
      <c r="F845" s="21" t="s">
        <v>91</v>
      </c>
      <c r="G845" s="21" t="s">
        <v>461</v>
      </c>
      <c r="H845" s="21"/>
      <c r="I845" s="21"/>
      <c r="J845" s="21"/>
    </row>
    <row r="846" spans="1:10" x14ac:dyDescent="0.3">
      <c r="A846" s="21" t="s">
        <v>292</v>
      </c>
      <c r="B846" s="21">
        <v>1</v>
      </c>
      <c r="C846" s="21" t="s">
        <v>193</v>
      </c>
      <c r="D846" s="21" t="s">
        <v>98</v>
      </c>
      <c r="E846" s="21" t="s">
        <v>78</v>
      </c>
      <c r="F846" s="21" t="s">
        <v>91</v>
      </c>
      <c r="G846" s="21" t="s">
        <v>293</v>
      </c>
      <c r="H846" s="21"/>
      <c r="I846" s="21"/>
      <c r="J846" s="21"/>
    </row>
    <row r="847" spans="1:10" x14ac:dyDescent="0.3">
      <c r="A847" s="21" t="s">
        <v>300</v>
      </c>
      <c r="B847" s="21">
        <v>7.4000000000000003E-10</v>
      </c>
      <c r="C847" s="21" t="s">
        <v>193</v>
      </c>
      <c r="D847" s="21" t="s">
        <v>98</v>
      </c>
      <c r="E847" s="21" t="s">
        <v>77</v>
      </c>
      <c r="F847" s="21" t="s">
        <v>91</v>
      </c>
      <c r="G847" s="21" t="s">
        <v>301</v>
      </c>
      <c r="H847" s="21"/>
      <c r="I847" s="21"/>
      <c r="J847" s="21"/>
    </row>
    <row r="848" spans="1:10" x14ac:dyDescent="0.3">
      <c r="A848" s="21"/>
      <c r="B848" s="21"/>
      <c r="C848" s="21"/>
      <c r="D848" s="21"/>
      <c r="E848" s="21"/>
      <c r="F848" s="21"/>
      <c r="G848" s="21"/>
      <c r="H848" s="21"/>
      <c r="I848" s="21"/>
      <c r="J848" s="21"/>
    </row>
    <row r="849" spans="1:10" ht="15.6" x14ac:dyDescent="0.3">
      <c r="A849" s="11" t="s">
        <v>72</v>
      </c>
      <c r="B849" s="11" t="s">
        <v>285</v>
      </c>
      <c r="C849" s="21"/>
      <c r="D849" s="21"/>
      <c r="E849" s="21"/>
      <c r="F849" s="21"/>
      <c r="G849" s="21"/>
      <c r="H849" s="21"/>
      <c r="I849" s="21"/>
      <c r="J849" s="21"/>
    </row>
    <row r="850" spans="1:10" x14ac:dyDescent="0.3">
      <c r="A850" s="21" t="s">
        <v>84</v>
      </c>
      <c r="B850" s="21" t="s">
        <v>86</v>
      </c>
      <c r="C850" s="21"/>
      <c r="D850" s="21"/>
      <c r="E850" s="21"/>
      <c r="F850" s="21"/>
      <c r="G850" s="21"/>
      <c r="H850" s="21"/>
      <c r="I850" s="21"/>
      <c r="J850" s="21"/>
    </row>
    <row r="851" spans="1:10" x14ac:dyDescent="0.3">
      <c r="A851" s="21" t="s">
        <v>73</v>
      </c>
      <c r="B851" s="21" t="s">
        <v>98</v>
      </c>
      <c r="C851" s="21"/>
      <c r="D851" s="21"/>
      <c r="E851" s="21"/>
      <c r="F851" s="21"/>
      <c r="G851" s="21"/>
      <c r="H851" s="21"/>
      <c r="I851" s="21"/>
      <c r="J851" s="21"/>
    </row>
    <row r="852" spans="1:10" x14ac:dyDescent="0.3">
      <c r="A852" s="21" t="s">
        <v>186</v>
      </c>
      <c r="B852" s="21">
        <v>1</v>
      </c>
      <c r="C852" s="21"/>
      <c r="D852" s="21"/>
      <c r="E852" s="21"/>
      <c r="F852" s="21"/>
      <c r="G852" s="21"/>
      <c r="H852" s="21"/>
      <c r="I852" s="21"/>
      <c r="J852" s="21"/>
    </row>
    <row r="853" spans="1:10" x14ac:dyDescent="0.3">
      <c r="A853" s="21" t="s">
        <v>74</v>
      </c>
      <c r="B853" s="21" t="s">
        <v>285</v>
      </c>
      <c r="C853" s="21"/>
      <c r="D853" s="21"/>
      <c r="E853" s="21"/>
      <c r="F853" s="21"/>
      <c r="G853" s="21"/>
      <c r="H853" s="21"/>
      <c r="I853" s="21"/>
      <c r="J853" s="21"/>
    </row>
    <row r="854" spans="1:10" x14ac:dyDescent="0.3">
      <c r="A854" s="21" t="s">
        <v>77</v>
      </c>
      <c r="B854" s="21" t="s">
        <v>78</v>
      </c>
      <c r="C854" s="21"/>
      <c r="D854" s="21"/>
      <c r="E854" s="21"/>
      <c r="F854" s="21"/>
      <c r="G854" s="21"/>
      <c r="H854" s="21"/>
      <c r="I854" s="21"/>
      <c r="J854" s="21"/>
    </row>
    <row r="855" spans="1:10" x14ac:dyDescent="0.3">
      <c r="A855" s="21" t="s">
        <v>204</v>
      </c>
      <c r="B855" s="21" t="s">
        <v>187</v>
      </c>
      <c r="C855" s="21"/>
      <c r="D855" s="21"/>
      <c r="E855" s="21"/>
      <c r="F855" s="21"/>
      <c r="G855" s="21"/>
      <c r="H855" s="21"/>
      <c r="I855" s="21"/>
      <c r="J855" s="21"/>
    </row>
    <row r="856" spans="1:10" ht="15.6" x14ac:dyDescent="0.3">
      <c r="A856" s="11" t="s">
        <v>80</v>
      </c>
      <c r="B856" s="21"/>
      <c r="C856" s="21"/>
      <c r="D856" s="21"/>
      <c r="E856" s="21"/>
      <c r="F856" s="21"/>
      <c r="G856" s="21"/>
      <c r="H856" s="21"/>
      <c r="I856" s="21"/>
      <c r="J856" s="21"/>
    </row>
    <row r="857" spans="1:10" x14ac:dyDescent="0.3">
      <c r="A857" s="21" t="s">
        <v>81</v>
      </c>
      <c r="B857" s="21" t="s">
        <v>82</v>
      </c>
      <c r="C857" s="21" t="s">
        <v>188</v>
      </c>
      <c r="D857" s="21" t="s">
        <v>73</v>
      </c>
      <c r="E857" s="21" t="s">
        <v>77</v>
      </c>
      <c r="F857" s="21" t="s">
        <v>75</v>
      </c>
      <c r="G857" s="21" t="s">
        <v>74</v>
      </c>
      <c r="H857" s="21"/>
      <c r="I857" s="21"/>
      <c r="J857" s="21"/>
    </row>
    <row r="858" spans="1:10" x14ac:dyDescent="0.3">
      <c r="A858" s="21" t="s">
        <v>285</v>
      </c>
      <c r="B858" s="21">
        <v>1</v>
      </c>
      <c r="C858" s="21" t="s">
        <v>187</v>
      </c>
      <c r="D858" s="21" t="s">
        <v>98</v>
      </c>
      <c r="E858" s="21" t="s">
        <v>78</v>
      </c>
      <c r="F858" s="21" t="s">
        <v>85</v>
      </c>
      <c r="G858" s="21"/>
      <c r="H858" s="21"/>
      <c r="I858" s="21"/>
      <c r="J858" s="21"/>
    </row>
    <row r="859" spans="1:10" x14ac:dyDescent="0.3">
      <c r="A859" s="21" t="s">
        <v>294</v>
      </c>
      <c r="B859" s="21">
        <v>4.6000000000000001E-10</v>
      </c>
      <c r="C859" s="21" t="s">
        <v>193</v>
      </c>
      <c r="D859" s="21" t="s">
        <v>98</v>
      </c>
      <c r="E859" s="21" t="s">
        <v>77</v>
      </c>
      <c r="F859" s="21" t="s">
        <v>91</v>
      </c>
      <c r="G859" s="21" t="s">
        <v>295</v>
      </c>
      <c r="H859" s="21"/>
      <c r="I859" s="21"/>
      <c r="J859" s="21"/>
    </row>
    <row r="860" spans="1:10" x14ac:dyDescent="0.3">
      <c r="A860" s="21" t="s">
        <v>326</v>
      </c>
      <c r="B860" s="21">
        <v>1</v>
      </c>
      <c r="C860" s="21" t="s">
        <v>193</v>
      </c>
      <c r="D860" s="21" t="s">
        <v>98</v>
      </c>
      <c r="E860" s="21" t="s">
        <v>78</v>
      </c>
      <c r="F860" s="21" t="s">
        <v>91</v>
      </c>
      <c r="G860" s="21" t="s">
        <v>327</v>
      </c>
      <c r="H860" s="21"/>
      <c r="I860" s="21"/>
      <c r="J860" s="21"/>
    </row>
    <row r="861" spans="1:10" x14ac:dyDescent="0.3">
      <c r="A861" s="21" t="s">
        <v>332</v>
      </c>
      <c r="B861" s="21">
        <v>1</v>
      </c>
      <c r="C861" s="21" t="s">
        <v>193</v>
      </c>
      <c r="D861" s="21" t="s">
        <v>98</v>
      </c>
      <c r="E861" s="21" t="s">
        <v>78</v>
      </c>
      <c r="F861" s="21" t="s">
        <v>91</v>
      </c>
      <c r="G861" s="21" t="s">
        <v>333</v>
      </c>
      <c r="H861" s="21"/>
      <c r="I861" s="21"/>
      <c r="J861" s="21"/>
    </row>
    <row r="863" spans="1:10" s="21" customFormat="1" ht="15.6" x14ac:dyDescent="0.3">
      <c r="A863" s="11" t="s">
        <v>72</v>
      </c>
      <c r="B863" s="11" t="s">
        <v>502</v>
      </c>
    </row>
    <row r="864" spans="1:10" s="21" customFormat="1" x14ac:dyDescent="0.3">
      <c r="A864" s="21" t="s">
        <v>84</v>
      </c>
      <c r="B864" s="21" t="s">
        <v>86</v>
      </c>
    </row>
    <row r="865" spans="1:8" s="21" customFormat="1" x14ac:dyDescent="0.3">
      <c r="A865" s="21" t="s">
        <v>73</v>
      </c>
      <c r="B865" s="21" t="s">
        <v>94</v>
      </c>
    </row>
    <row r="866" spans="1:8" s="21" customFormat="1" x14ac:dyDescent="0.3">
      <c r="A866" s="21" t="s">
        <v>186</v>
      </c>
      <c r="B866" s="21">
        <v>1</v>
      </c>
    </row>
    <row r="867" spans="1:8" s="21" customFormat="1" x14ac:dyDescent="0.3">
      <c r="A867" s="21" t="s">
        <v>74</v>
      </c>
      <c r="B867" s="21" t="s">
        <v>501</v>
      </c>
    </row>
    <row r="868" spans="1:8" s="21" customFormat="1" x14ac:dyDescent="0.3">
      <c r="A868" s="21" t="s">
        <v>77</v>
      </c>
      <c r="B868" s="21" t="s">
        <v>77</v>
      </c>
    </row>
    <row r="869" spans="1:8" s="21" customFormat="1" x14ac:dyDescent="0.3">
      <c r="A869" s="21" t="s">
        <v>84</v>
      </c>
      <c r="B869" s="21" t="s">
        <v>500</v>
      </c>
    </row>
    <row r="870" spans="1:8" s="21" customFormat="1" ht="15.6" x14ac:dyDescent="0.3">
      <c r="A870" s="11" t="s">
        <v>80</v>
      </c>
    </row>
    <row r="871" spans="1:8" s="21" customFormat="1" x14ac:dyDescent="0.3">
      <c r="A871" s="21" t="s">
        <v>81</v>
      </c>
      <c r="B871" s="21" t="s">
        <v>82</v>
      </c>
      <c r="C871" s="21" t="s">
        <v>188</v>
      </c>
      <c r="D871" s="21" t="s">
        <v>73</v>
      </c>
      <c r="E871" s="21" t="s">
        <v>83</v>
      </c>
      <c r="F871" s="21" t="s">
        <v>77</v>
      </c>
      <c r="G871" s="21" t="s">
        <v>75</v>
      </c>
      <c r="H871" s="21" t="s">
        <v>74</v>
      </c>
    </row>
    <row r="872" spans="1:8" s="21" customFormat="1" x14ac:dyDescent="0.3">
      <c r="A872" s="12" t="s">
        <v>502</v>
      </c>
      <c r="B872" s="21">
        <v>1</v>
      </c>
      <c r="C872" s="21" t="s">
        <v>187</v>
      </c>
      <c r="D872" s="21" t="s">
        <v>94</v>
      </c>
      <c r="F872" s="21" t="s">
        <v>77</v>
      </c>
      <c r="G872" s="21" t="s">
        <v>85</v>
      </c>
      <c r="H872" s="21" t="s">
        <v>501</v>
      </c>
    </row>
    <row r="873" spans="1:8" s="21" customFormat="1" x14ac:dyDescent="0.3">
      <c r="A873" s="21" t="s">
        <v>294</v>
      </c>
      <c r="B873" s="21">
        <v>4.6000000000000001E-10</v>
      </c>
      <c r="C873" s="21" t="s">
        <v>193</v>
      </c>
      <c r="D873" s="21" t="s">
        <v>98</v>
      </c>
      <c r="F873" s="21" t="s">
        <v>77</v>
      </c>
      <c r="G873" s="21" t="s">
        <v>91</v>
      </c>
      <c r="H873" s="21" t="s">
        <v>295</v>
      </c>
    </row>
    <row r="874" spans="1:8" s="21" customFormat="1" x14ac:dyDescent="0.3">
      <c r="A874" s="21" t="s">
        <v>326</v>
      </c>
      <c r="B874" s="21">
        <v>1</v>
      </c>
      <c r="C874" s="21" t="s">
        <v>193</v>
      </c>
      <c r="D874" s="21" t="s">
        <v>98</v>
      </c>
      <c r="F874" s="21" t="s">
        <v>78</v>
      </c>
      <c r="G874" s="21" t="s">
        <v>91</v>
      </c>
      <c r="H874" s="21" t="s">
        <v>327</v>
      </c>
    </row>
    <row r="875" spans="1:8" s="21" customFormat="1" x14ac:dyDescent="0.3">
      <c r="A875" s="21" t="s">
        <v>332</v>
      </c>
      <c r="B875" s="21">
        <v>1</v>
      </c>
      <c r="C875" s="21" t="s">
        <v>193</v>
      </c>
      <c r="D875" s="21" t="s">
        <v>98</v>
      </c>
      <c r="F875" s="21" t="s">
        <v>78</v>
      </c>
      <c r="G875" s="21" t="s">
        <v>91</v>
      </c>
      <c r="H875" s="21" t="s">
        <v>333</v>
      </c>
    </row>
    <row r="876" spans="1:8" x14ac:dyDescent="0.3">
      <c r="A876" t="s">
        <v>470</v>
      </c>
      <c r="B876">
        <v>1.9575</v>
      </c>
      <c r="C876" s="21" t="s">
        <v>193</v>
      </c>
      <c r="D876" t="s">
        <v>98</v>
      </c>
      <c r="F876" t="s">
        <v>78</v>
      </c>
      <c r="G876" s="21" t="s">
        <v>91</v>
      </c>
      <c r="H876" t="s">
        <v>122</v>
      </c>
    </row>
    <row r="877" spans="1:8" x14ac:dyDescent="0.3">
      <c r="A877" t="s">
        <v>293</v>
      </c>
      <c r="B877">
        <v>1.9575</v>
      </c>
      <c r="C877" s="21" t="s">
        <v>193</v>
      </c>
      <c r="D877" t="s">
        <v>94</v>
      </c>
      <c r="F877" t="s">
        <v>78</v>
      </c>
      <c r="G877" s="21" t="s">
        <v>91</v>
      </c>
      <c r="H877" t="s">
        <v>293</v>
      </c>
    </row>
    <row r="878" spans="1:8" x14ac:dyDescent="0.3">
      <c r="A878" t="s">
        <v>472</v>
      </c>
      <c r="B878" s="7">
        <v>1.3227E-9</v>
      </c>
      <c r="C878" s="21" t="s">
        <v>193</v>
      </c>
      <c r="D878" t="s">
        <v>94</v>
      </c>
      <c r="F878" t="s">
        <v>77</v>
      </c>
      <c r="G878" s="21" t="s">
        <v>91</v>
      </c>
      <c r="H878" t="s">
        <v>471</v>
      </c>
    </row>
    <row r="879" spans="1:8" x14ac:dyDescent="0.3">
      <c r="A879" t="s">
        <v>474</v>
      </c>
      <c r="B879">
        <v>-4.5</v>
      </c>
      <c r="C879" s="21" t="s">
        <v>193</v>
      </c>
      <c r="D879" t="s">
        <v>94</v>
      </c>
      <c r="F879" t="s">
        <v>78</v>
      </c>
      <c r="G879" s="21" t="s">
        <v>91</v>
      </c>
      <c r="H879" t="s">
        <v>473</v>
      </c>
    </row>
    <row r="880" spans="1:8" x14ac:dyDescent="0.3">
      <c r="A880" t="s">
        <v>475</v>
      </c>
      <c r="B880">
        <v>13.580249999999999</v>
      </c>
      <c r="C880" s="21" t="s">
        <v>193</v>
      </c>
      <c r="D880" t="s">
        <v>94</v>
      </c>
      <c r="F880" t="s">
        <v>206</v>
      </c>
      <c r="G880" s="21" t="s">
        <v>91</v>
      </c>
      <c r="H880" t="s">
        <v>254</v>
      </c>
    </row>
    <row r="881" spans="1:8" x14ac:dyDescent="0.3">
      <c r="A881" t="s">
        <v>476</v>
      </c>
      <c r="B881">
        <v>5.1220999999999997</v>
      </c>
      <c r="C881" s="21" t="s">
        <v>193</v>
      </c>
      <c r="D881" t="s">
        <v>98</v>
      </c>
      <c r="F881" t="s">
        <v>78</v>
      </c>
      <c r="G881" s="21" t="s">
        <v>91</v>
      </c>
      <c r="H881" t="s">
        <v>217</v>
      </c>
    </row>
    <row r="882" spans="1:8" x14ac:dyDescent="0.3">
      <c r="A882" t="s">
        <v>477</v>
      </c>
      <c r="B882">
        <v>0.33750000000000002</v>
      </c>
      <c r="C882" s="21" t="s">
        <v>193</v>
      </c>
      <c r="D882" t="s">
        <v>94</v>
      </c>
      <c r="F882" t="s">
        <v>78</v>
      </c>
      <c r="G882" s="21" t="s">
        <v>91</v>
      </c>
      <c r="H882" t="s">
        <v>477</v>
      </c>
    </row>
    <row r="883" spans="1:8" x14ac:dyDescent="0.3">
      <c r="A883" t="s">
        <v>247</v>
      </c>
      <c r="B883">
        <v>6.8902000000000001</v>
      </c>
      <c r="C883" s="21" t="s">
        <v>193</v>
      </c>
      <c r="D883" t="s">
        <v>94</v>
      </c>
      <c r="F883" t="s">
        <v>101</v>
      </c>
      <c r="G883" s="21" t="s">
        <v>91</v>
      </c>
      <c r="H883" t="s">
        <v>129</v>
      </c>
    </row>
    <row r="884" spans="1:8" x14ac:dyDescent="0.3">
      <c r="A884" t="s">
        <v>192</v>
      </c>
      <c r="B884">
        <v>4.9024999999999999</v>
      </c>
      <c r="C884" s="21" t="s">
        <v>193</v>
      </c>
      <c r="D884" t="s">
        <v>98</v>
      </c>
      <c r="F884" t="s">
        <v>78</v>
      </c>
      <c r="G884" s="21" t="s">
        <v>91</v>
      </c>
      <c r="H884" t="s">
        <v>194</v>
      </c>
    </row>
    <row r="885" spans="1:8" x14ac:dyDescent="0.3">
      <c r="A885" t="s">
        <v>478</v>
      </c>
      <c r="B885">
        <v>3.7663000000000002</v>
      </c>
      <c r="C885" s="21" t="s">
        <v>193</v>
      </c>
      <c r="D885" t="s">
        <v>94</v>
      </c>
      <c r="F885" t="s">
        <v>78</v>
      </c>
      <c r="G885" s="21" t="s">
        <v>91</v>
      </c>
      <c r="H885" t="s">
        <v>478</v>
      </c>
    </row>
    <row r="886" spans="1:8" x14ac:dyDescent="0.3">
      <c r="A886" t="s">
        <v>482</v>
      </c>
      <c r="B886">
        <v>0.19269800000000001</v>
      </c>
      <c r="C886" s="21" t="s">
        <v>193</v>
      </c>
      <c r="D886" t="s">
        <v>94</v>
      </c>
      <c r="F886" t="s">
        <v>206</v>
      </c>
      <c r="G886" s="21" t="s">
        <v>91</v>
      </c>
      <c r="H886" t="s">
        <v>481</v>
      </c>
    </row>
    <row r="887" spans="1:8" x14ac:dyDescent="0.3">
      <c r="A887" t="s">
        <v>484</v>
      </c>
      <c r="B887">
        <v>0.74399999999999999</v>
      </c>
      <c r="C887" s="21" t="s">
        <v>193</v>
      </c>
      <c r="D887" t="s">
        <v>94</v>
      </c>
      <c r="F887" t="s">
        <v>78</v>
      </c>
      <c r="G887" s="21" t="s">
        <v>91</v>
      </c>
      <c r="H887" t="s">
        <v>483</v>
      </c>
    </row>
    <row r="888" spans="1:8" x14ac:dyDescent="0.3">
      <c r="A888" t="s">
        <v>486</v>
      </c>
      <c r="B888">
        <v>2.4104000000000001</v>
      </c>
      <c r="C888" s="21" t="s">
        <v>193</v>
      </c>
      <c r="D888" t="s">
        <v>98</v>
      </c>
      <c r="F888" t="s">
        <v>78</v>
      </c>
      <c r="G888" s="21" t="s">
        <v>91</v>
      </c>
      <c r="H888" t="s">
        <v>485</v>
      </c>
    </row>
    <row r="889" spans="1:8" x14ac:dyDescent="0.3">
      <c r="A889" t="s">
        <v>488</v>
      </c>
      <c r="B889">
        <v>0.03</v>
      </c>
      <c r="C889" s="21" t="s">
        <v>193</v>
      </c>
      <c r="D889" t="s">
        <v>94</v>
      </c>
      <c r="F889" t="s">
        <v>78</v>
      </c>
      <c r="G889" s="21" t="s">
        <v>91</v>
      </c>
      <c r="H889" t="s">
        <v>487</v>
      </c>
    </row>
    <row r="890" spans="1:8" x14ac:dyDescent="0.3">
      <c r="A890" t="s">
        <v>280</v>
      </c>
      <c r="B890">
        <v>0.5625</v>
      </c>
      <c r="C890" s="21" t="s">
        <v>193</v>
      </c>
      <c r="D890" t="s">
        <v>98</v>
      </c>
      <c r="F890" t="s">
        <v>78</v>
      </c>
      <c r="G890" s="21" t="s">
        <v>91</v>
      </c>
      <c r="H890" t="s">
        <v>281</v>
      </c>
    </row>
    <row r="891" spans="1:8" x14ac:dyDescent="0.3">
      <c r="A891" t="s">
        <v>490</v>
      </c>
      <c r="B891">
        <v>1.59</v>
      </c>
      <c r="C891" s="21" t="s">
        <v>193</v>
      </c>
      <c r="D891" t="s">
        <v>98</v>
      </c>
      <c r="F891" t="s">
        <v>78</v>
      </c>
      <c r="G891" s="21" t="s">
        <v>91</v>
      </c>
      <c r="H891" t="s">
        <v>489</v>
      </c>
    </row>
    <row r="892" spans="1:8" x14ac:dyDescent="0.3">
      <c r="A892" t="s">
        <v>492</v>
      </c>
      <c r="B892">
        <v>0.35</v>
      </c>
      <c r="C892" s="21" t="s">
        <v>193</v>
      </c>
      <c r="D892" t="s">
        <v>94</v>
      </c>
      <c r="F892" t="s">
        <v>429</v>
      </c>
      <c r="G892" s="21" t="s">
        <v>91</v>
      </c>
      <c r="H892" t="s">
        <v>491</v>
      </c>
    </row>
    <row r="893" spans="1:8" x14ac:dyDescent="0.3">
      <c r="A893" t="s">
        <v>494</v>
      </c>
      <c r="B893">
        <v>0.159</v>
      </c>
      <c r="C893" s="21" t="s">
        <v>193</v>
      </c>
      <c r="D893" t="s">
        <v>94</v>
      </c>
      <c r="F893" t="s">
        <v>78</v>
      </c>
      <c r="G893" s="21" t="s">
        <v>91</v>
      </c>
      <c r="H893" t="s">
        <v>493</v>
      </c>
    </row>
    <row r="894" spans="1:8" x14ac:dyDescent="0.3">
      <c r="A894" t="s">
        <v>496</v>
      </c>
      <c r="B894">
        <v>0.75</v>
      </c>
      <c r="C894" s="21" t="s">
        <v>193</v>
      </c>
      <c r="D894" t="s">
        <v>94</v>
      </c>
      <c r="F894" t="s">
        <v>495</v>
      </c>
      <c r="G894" s="21" t="s">
        <v>91</v>
      </c>
      <c r="H894" t="s">
        <v>496</v>
      </c>
    </row>
    <row r="895" spans="1:8" x14ac:dyDescent="0.3">
      <c r="A895" t="s">
        <v>498</v>
      </c>
      <c r="B895">
        <v>-6.7137031720422395E-4</v>
      </c>
      <c r="C895" s="21" t="s">
        <v>193</v>
      </c>
      <c r="D895" t="s">
        <v>268</v>
      </c>
      <c r="F895" t="s">
        <v>365</v>
      </c>
      <c r="G895" s="21" t="s">
        <v>91</v>
      </c>
      <c r="H895" t="s">
        <v>497</v>
      </c>
    </row>
    <row r="896" spans="1:8" x14ac:dyDescent="0.3">
      <c r="A896" t="s">
        <v>498</v>
      </c>
      <c r="B896" s="7">
        <v>-7.2629682795775403E-5</v>
      </c>
      <c r="C896" s="21" t="s">
        <v>193</v>
      </c>
      <c r="D896" t="s">
        <v>37</v>
      </c>
      <c r="F896" t="s">
        <v>365</v>
      </c>
      <c r="G896" s="21" t="s">
        <v>91</v>
      </c>
      <c r="H896" t="s">
        <v>497</v>
      </c>
    </row>
    <row r="897" spans="1:8" x14ac:dyDescent="0.3">
      <c r="A897" t="s">
        <v>499</v>
      </c>
      <c r="B897">
        <v>1.116E-4</v>
      </c>
      <c r="C897" t="s">
        <v>362</v>
      </c>
      <c r="E897" t="s">
        <v>171</v>
      </c>
      <c r="F897" s="21" t="s">
        <v>365</v>
      </c>
      <c r="G897" t="s">
        <v>173</v>
      </c>
    </row>
    <row r="900" spans="1:8" s="21" customFormat="1" ht="15.6" x14ac:dyDescent="0.3">
      <c r="A900" s="11" t="s">
        <v>72</v>
      </c>
      <c r="B900" s="11" t="s">
        <v>503</v>
      </c>
    </row>
    <row r="901" spans="1:8" s="21" customFormat="1" x14ac:dyDescent="0.3">
      <c r="A901" s="21" t="s">
        <v>84</v>
      </c>
      <c r="B901" s="21" t="s">
        <v>86</v>
      </c>
    </row>
    <row r="902" spans="1:8" s="21" customFormat="1" x14ac:dyDescent="0.3">
      <c r="A902" s="21" t="s">
        <v>73</v>
      </c>
      <c r="B902" s="21" t="s">
        <v>37</v>
      </c>
    </row>
    <row r="903" spans="1:8" s="21" customFormat="1" x14ac:dyDescent="0.3">
      <c r="A903" s="21" t="s">
        <v>186</v>
      </c>
      <c r="B903" s="21">
        <v>1</v>
      </c>
    </row>
    <row r="904" spans="1:8" s="21" customFormat="1" x14ac:dyDescent="0.3">
      <c r="A904" s="21" t="s">
        <v>74</v>
      </c>
      <c r="B904" s="21" t="s">
        <v>503</v>
      </c>
    </row>
    <row r="905" spans="1:8" s="21" customFormat="1" x14ac:dyDescent="0.3">
      <c r="A905" s="21" t="s">
        <v>77</v>
      </c>
      <c r="B905" s="21" t="s">
        <v>77</v>
      </c>
    </row>
    <row r="906" spans="1:8" s="21" customFormat="1" x14ac:dyDescent="0.3">
      <c r="A906" s="21" t="s">
        <v>84</v>
      </c>
      <c r="B906" s="21" t="s">
        <v>512</v>
      </c>
    </row>
    <row r="907" spans="1:8" s="21" customFormat="1" ht="15.6" x14ac:dyDescent="0.3">
      <c r="A907" s="11" t="s">
        <v>80</v>
      </c>
    </row>
    <row r="908" spans="1:8" s="21" customFormat="1" x14ac:dyDescent="0.3">
      <c r="A908" s="21" t="s">
        <v>81</v>
      </c>
      <c r="B908" s="21" t="s">
        <v>82</v>
      </c>
      <c r="C908" s="21" t="s">
        <v>188</v>
      </c>
      <c r="D908" s="21" t="s">
        <v>73</v>
      </c>
      <c r="E908" s="21" t="s">
        <v>83</v>
      </c>
      <c r="F908" s="21" t="s">
        <v>77</v>
      </c>
      <c r="G908" s="21" t="s">
        <v>75</v>
      </c>
      <c r="H908" s="21" t="s">
        <v>74</v>
      </c>
    </row>
    <row r="909" spans="1:8" s="21" customFormat="1" x14ac:dyDescent="0.3">
      <c r="A909" s="12" t="s">
        <v>503</v>
      </c>
      <c r="B909" s="21">
        <v>1</v>
      </c>
      <c r="C909" s="21" t="s">
        <v>187</v>
      </c>
      <c r="D909" s="21" t="s">
        <v>37</v>
      </c>
      <c r="F909" s="21" t="s">
        <v>77</v>
      </c>
      <c r="G909" s="21" t="s">
        <v>85</v>
      </c>
      <c r="H909" s="21" t="s">
        <v>503</v>
      </c>
    </row>
    <row r="910" spans="1:8" x14ac:dyDescent="0.3">
      <c r="A910" t="s">
        <v>505</v>
      </c>
      <c r="B910">
        <v>0.37662000000000001</v>
      </c>
      <c r="C910" t="s">
        <v>511</v>
      </c>
      <c r="D910" t="s">
        <v>98</v>
      </c>
      <c r="F910" t="s">
        <v>78</v>
      </c>
      <c r="G910" t="s">
        <v>91</v>
      </c>
      <c r="H910" t="s">
        <v>504</v>
      </c>
    </row>
    <row r="911" spans="1:8" x14ac:dyDescent="0.3">
      <c r="A911" t="s">
        <v>494</v>
      </c>
      <c r="B911">
        <v>0.22825000000000001</v>
      </c>
      <c r="C911" s="21" t="s">
        <v>511</v>
      </c>
      <c r="D911" t="s">
        <v>94</v>
      </c>
      <c r="F911" t="s">
        <v>78</v>
      </c>
      <c r="G911" s="21" t="s">
        <v>91</v>
      </c>
      <c r="H911" t="s">
        <v>493</v>
      </c>
    </row>
    <row r="912" spans="1:8" x14ac:dyDescent="0.3">
      <c r="A912" t="s">
        <v>507</v>
      </c>
      <c r="B912">
        <v>-1.0087999999999999</v>
      </c>
      <c r="C912" s="21" t="s">
        <v>511</v>
      </c>
      <c r="D912" t="s">
        <v>37</v>
      </c>
      <c r="F912" t="s">
        <v>78</v>
      </c>
      <c r="G912" s="21" t="s">
        <v>91</v>
      </c>
      <c r="H912" t="s">
        <v>506</v>
      </c>
    </row>
    <row r="913" spans="1:8" x14ac:dyDescent="0.3">
      <c r="A913" t="s">
        <v>293</v>
      </c>
      <c r="B913">
        <v>0.97875000000000001</v>
      </c>
      <c r="C913" s="21" t="s">
        <v>511</v>
      </c>
      <c r="D913" t="s">
        <v>94</v>
      </c>
      <c r="F913" t="s">
        <v>78</v>
      </c>
      <c r="G913" s="21" t="s">
        <v>91</v>
      </c>
      <c r="H913" t="s">
        <v>293</v>
      </c>
    </row>
    <row r="914" spans="1:8" x14ac:dyDescent="0.3">
      <c r="A914" t="s">
        <v>280</v>
      </c>
      <c r="B914">
        <v>1.6875</v>
      </c>
      <c r="C914" s="21" t="s">
        <v>511</v>
      </c>
      <c r="D914" t="s">
        <v>98</v>
      </c>
      <c r="F914" t="s">
        <v>78</v>
      </c>
      <c r="G914" s="21" t="s">
        <v>91</v>
      </c>
      <c r="H914" t="s">
        <v>281</v>
      </c>
    </row>
    <row r="915" spans="1:8" x14ac:dyDescent="0.3">
      <c r="A915" t="s">
        <v>488</v>
      </c>
      <c r="B915">
        <v>0.03</v>
      </c>
      <c r="C915" s="21" t="s">
        <v>511</v>
      </c>
      <c r="D915" t="s">
        <v>94</v>
      </c>
      <c r="F915" t="s">
        <v>78</v>
      </c>
      <c r="G915" s="21" t="s">
        <v>91</v>
      </c>
      <c r="H915" t="s">
        <v>487</v>
      </c>
    </row>
    <row r="916" spans="1:8" x14ac:dyDescent="0.3">
      <c r="A916" t="s">
        <v>470</v>
      </c>
      <c r="B916">
        <v>0.97875000000000001</v>
      </c>
      <c r="C916" s="21" t="s">
        <v>511</v>
      </c>
      <c r="D916" t="s">
        <v>98</v>
      </c>
      <c r="F916" t="s">
        <v>78</v>
      </c>
      <c r="G916" s="21" t="s">
        <v>91</v>
      </c>
      <c r="H916" t="s">
        <v>122</v>
      </c>
    </row>
    <row r="917" spans="1:8" x14ac:dyDescent="0.3">
      <c r="A917" t="s">
        <v>509</v>
      </c>
      <c r="B917">
        <v>-0.84375</v>
      </c>
      <c r="C917" s="21" t="s">
        <v>511</v>
      </c>
      <c r="D917" t="s">
        <v>37</v>
      </c>
      <c r="F917" t="s">
        <v>78</v>
      </c>
      <c r="G917" s="21" t="s">
        <v>91</v>
      </c>
      <c r="H917" t="s">
        <v>508</v>
      </c>
    </row>
    <row r="918" spans="1:8" x14ac:dyDescent="0.3">
      <c r="A918" t="s">
        <v>510</v>
      </c>
      <c r="B918">
        <v>7.4399999999999994E-2</v>
      </c>
      <c r="C918" s="21" t="s">
        <v>511</v>
      </c>
      <c r="D918" t="s">
        <v>37</v>
      </c>
      <c r="F918" t="s">
        <v>78</v>
      </c>
      <c r="G918" s="21" t="s">
        <v>91</v>
      </c>
      <c r="H918" t="s">
        <v>483</v>
      </c>
    </row>
    <row r="919" spans="1:8" x14ac:dyDescent="0.3">
      <c r="A919" t="s">
        <v>192</v>
      </c>
      <c r="B919">
        <v>0.22825000000000001</v>
      </c>
      <c r="C919" s="21" t="s">
        <v>511</v>
      </c>
      <c r="D919" t="s">
        <v>98</v>
      </c>
      <c r="F919" t="s">
        <v>78</v>
      </c>
      <c r="G919" s="21" t="s">
        <v>91</v>
      </c>
      <c r="H919" t="s">
        <v>194</v>
      </c>
    </row>
    <row r="920" spans="1:8" x14ac:dyDescent="0.3">
      <c r="A920" t="s">
        <v>478</v>
      </c>
      <c r="B920">
        <v>0.37662000000000001</v>
      </c>
      <c r="C920" s="21" t="s">
        <v>511</v>
      </c>
      <c r="D920" t="s">
        <v>94</v>
      </c>
      <c r="F920" t="s">
        <v>78</v>
      </c>
      <c r="G920" s="21" t="s">
        <v>91</v>
      </c>
      <c r="H920" t="s">
        <v>478</v>
      </c>
    </row>
    <row r="921" spans="1:8" x14ac:dyDescent="0.3">
      <c r="A921" t="s">
        <v>499</v>
      </c>
      <c r="B921" s="7">
        <v>6.3239999999999998E-5</v>
      </c>
      <c r="C921" t="s">
        <v>362</v>
      </c>
      <c r="E921" t="s">
        <v>348</v>
      </c>
      <c r="F921" t="s">
        <v>365</v>
      </c>
      <c r="G921" t="s">
        <v>173</v>
      </c>
    </row>
    <row r="922" spans="1:8" x14ac:dyDescent="0.3">
      <c r="A922" t="s">
        <v>499</v>
      </c>
      <c r="B922" s="7">
        <v>1.116E-5</v>
      </c>
      <c r="C922" t="s">
        <v>362</v>
      </c>
      <c r="E922" t="s">
        <v>171</v>
      </c>
      <c r="F922" t="s">
        <v>365</v>
      </c>
      <c r="G922" s="21" t="s">
        <v>173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55"/>
  <sheetViews>
    <sheetView topLeftCell="A220" zoomScale="70" zoomScaleNormal="70" workbookViewId="0">
      <selection activeCell="A244" sqref="A244"/>
    </sheetView>
  </sheetViews>
  <sheetFormatPr defaultRowHeight="14.4" x14ac:dyDescent="0.3"/>
  <cols>
    <col min="1" max="1" width="67.21875" bestFit="1" customWidth="1"/>
    <col min="2" max="2" width="49.44140625" bestFit="1" customWidth="1"/>
    <col min="3" max="3" width="29.5546875" style="21" customWidth="1"/>
    <col min="4" max="4" width="28.33203125" bestFit="1" customWidth="1"/>
    <col min="5" max="5" width="27.109375" bestFit="1" customWidth="1"/>
    <col min="6" max="6" width="21.109375" bestFit="1" customWidth="1"/>
    <col min="7" max="7" width="21.109375" customWidth="1"/>
    <col min="8" max="8" width="12.44140625" bestFit="1" customWidth="1"/>
    <col min="9" max="9" width="16.5546875" bestFit="1" customWidth="1"/>
    <col min="10" max="10" width="24.5546875" bestFit="1" customWidth="1"/>
    <col min="11" max="11" width="26.77734375" bestFit="1" customWidth="1"/>
    <col min="12" max="12" width="19.6640625" customWidth="1"/>
    <col min="13" max="13" width="39.44140625" bestFit="1" customWidth="1"/>
    <col min="14" max="14" width="33.88671875" bestFit="1" customWidth="1"/>
    <col min="15" max="15" width="30.21875" bestFit="1" customWidth="1"/>
    <col min="16" max="16" width="22" bestFit="1" customWidth="1"/>
    <col min="17" max="17" width="22.6640625" bestFit="1" customWidth="1"/>
    <col min="18" max="18" width="25.6640625" bestFit="1" customWidth="1"/>
    <col min="29" max="60" width="8.88671875" style="21"/>
  </cols>
  <sheetData>
    <row r="1" spans="1:63" s="21" customFormat="1" x14ac:dyDescent="0.3">
      <c r="A1" s="21" t="s">
        <v>69</v>
      </c>
    </row>
    <row r="2" spans="1:63" x14ac:dyDescent="0.3">
      <c r="A2" t="s">
        <v>92</v>
      </c>
    </row>
    <row r="3" spans="1:63" x14ac:dyDescent="0.3">
      <c r="B3" t="s">
        <v>15</v>
      </c>
      <c r="C3" s="21" t="s">
        <v>14</v>
      </c>
      <c r="D3" t="s">
        <v>16</v>
      </c>
      <c r="E3" t="s">
        <v>557</v>
      </c>
      <c r="F3" t="s">
        <v>19</v>
      </c>
      <c r="G3" t="s">
        <v>20</v>
      </c>
      <c r="H3" t="s">
        <v>22</v>
      </c>
      <c r="I3" t="s">
        <v>24</v>
      </c>
      <c r="J3" t="s">
        <v>53</v>
      </c>
      <c r="K3" t="s">
        <v>27</v>
      </c>
      <c r="L3" t="s">
        <v>28</v>
      </c>
      <c r="M3" s="12" t="s">
        <v>123</v>
      </c>
      <c r="N3" t="s">
        <v>108</v>
      </c>
      <c r="O3" t="s">
        <v>117</v>
      </c>
      <c r="P3" t="s">
        <v>150</v>
      </c>
      <c r="Q3" t="s">
        <v>151</v>
      </c>
      <c r="R3" t="s">
        <v>152</v>
      </c>
      <c r="S3" t="s">
        <v>67</v>
      </c>
      <c r="T3" t="s">
        <v>68</v>
      </c>
      <c r="U3" t="s">
        <v>56</v>
      </c>
      <c r="V3" t="s">
        <v>57</v>
      </c>
      <c r="W3" t="s">
        <v>58</v>
      </c>
      <c r="X3" t="s">
        <v>59</v>
      </c>
      <c r="Y3" t="s">
        <v>60</v>
      </c>
      <c r="Z3" t="s">
        <v>62</v>
      </c>
      <c r="AA3" t="s">
        <v>61</v>
      </c>
      <c r="AB3" t="s">
        <v>63</v>
      </c>
      <c r="AC3" s="21" t="s">
        <v>659</v>
      </c>
      <c r="AD3" s="21" t="s">
        <v>603</v>
      </c>
      <c r="AE3" s="21" t="s">
        <v>604</v>
      </c>
      <c r="AF3" s="21" t="s">
        <v>605</v>
      </c>
      <c r="AG3" s="21" t="s">
        <v>606</v>
      </c>
      <c r="AH3" s="21" t="s">
        <v>607</v>
      </c>
      <c r="AI3" s="21" t="s">
        <v>608</v>
      </c>
      <c r="AJ3" s="21" t="s">
        <v>609</v>
      </c>
      <c r="AK3" s="21" t="s">
        <v>610</v>
      </c>
      <c r="AL3" s="21" t="s">
        <v>611</v>
      </c>
      <c r="AM3" s="21" t="s">
        <v>612</v>
      </c>
      <c r="AN3" s="21" t="s">
        <v>56</v>
      </c>
      <c r="AO3" s="21" t="s">
        <v>613</v>
      </c>
      <c r="AP3" s="21" t="s">
        <v>614</v>
      </c>
      <c r="AQ3" s="21" t="s">
        <v>615</v>
      </c>
      <c r="AR3" s="21" t="s">
        <v>616</v>
      </c>
      <c r="AS3" s="21" t="s">
        <v>617</v>
      </c>
      <c r="AT3" s="21" t="s">
        <v>618</v>
      </c>
      <c r="AU3" s="21" t="s">
        <v>619</v>
      </c>
      <c r="AV3" s="21" t="s">
        <v>622</v>
      </c>
      <c r="AW3" s="21" t="s">
        <v>620</v>
      </c>
      <c r="AX3" s="21" t="s">
        <v>621</v>
      </c>
      <c r="AY3" s="21" t="s">
        <v>623</v>
      </c>
      <c r="AZ3" s="21" t="s">
        <v>624</v>
      </c>
      <c r="BA3" s="21" t="s">
        <v>625</v>
      </c>
      <c r="BB3" s="21" t="s">
        <v>626</v>
      </c>
      <c r="BC3" s="21" t="s">
        <v>581</v>
      </c>
      <c r="BD3" s="21" t="s">
        <v>583</v>
      </c>
      <c r="BE3" s="21" t="s">
        <v>582</v>
      </c>
      <c r="BF3" s="21" t="s">
        <v>629</v>
      </c>
      <c r="BG3" s="21" t="s">
        <v>627</v>
      </c>
      <c r="BH3" s="21" t="s">
        <v>628</v>
      </c>
      <c r="BI3" t="s">
        <v>29</v>
      </c>
      <c r="BJ3" t="s">
        <v>30</v>
      </c>
      <c r="BK3" t="s">
        <v>31</v>
      </c>
    </row>
    <row r="4" spans="1:63" x14ac:dyDescent="0.3">
      <c r="A4" t="s">
        <v>688</v>
      </c>
      <c r="B4" t="s">
        <v>93</v>
      </c>
      <c r="C4" s="21" t="s">
        <v>144</v>
      </c>
      <c r="D4" t="s">
        <v>93</v>
      </c>
      <c r="E4" s="21" t="s">
        <v>480</v>
      </c>
      <c r="F4" t="s">
        <v>97</v>
      </c>
      <c r="G4" t="s">
        <v>100</v>
      </c>
      <c r="J4" t="s">
        <v>657</v>
      </c>
      <c r="K4" t="s">
        <v>102</v>
      </c>
      <c r="L4" t="s">
        <v>103</v>
      </c>
      <c r="M4" t="s">
        <v>124</v>
      </c>
      <c r="N4" t="s">
        <v>112</v>
      </c>
      <c r="O4" t="s">
        <v>118</v>
      </c>
      <c r="P4" t="s">
        <v>573</v>
      </c>
      <c r="Q4" t="s">
        <v>155</v>
      </c>
      <c r="R4" t="s">
        <v>153</v>
      </c>
      <c r="S4" t="s">
        <v>160</v>
      </c>
      <c r="T4" t="s">
        <v>462</v>
      </c>
      <c r="U4" t="s">
        <v>56</v>
      </c>
      <c r="V4" t="s">
        <v>161</v>
      </c>
      <c r="W4" t="s">
        <v>162</v>
      </c>
      <c r="X4" t="s">
        <v>463</v>
      </c>
      <c r="Y4" t="s">
        <v>163</v>
      </c>
      <c r="AA4" t="s">
        <v>164</v>
      </c>
      <c r="AB4" t="s">
        <v>464</v>
      </c>
      <c r="AC4" t="s">
        <v>363</v>
      </c>
      <c r="AD4" s="21" t="s">
        <v>603</v>
      </c>
      <c r="AE4" s="21" t="s">
        <v>604</v>
      </c>
      <c r="AF4" s="21" t="s">
        <v>605</v>
      </c>
      <c r="AG4" s="21" t="s">
        <v>606</v>
      </c>
      <c r="AH4" s="21" t="s">
        <v>607</v>
      </c>
      <c r="AI4" s="21" t="s">
        <v>608</v>
      </c>
      <c r="AJ4" s="21" t="s">
        <v>609</v>
      </c>
      <c r="AK4" s="21" t="s">
        <v>610</v>
      </c>
      <c r="AL4" s="21" t="s">
        <v>611</v>
      </c>
      <c r="AM4" s="21" t="s">
        <v>612</v>
      </c>
      <c r="AN4" s="21" t="s">
        <v>56</v>
      </c>
      <c r="AO4" s="21" t="s">
        <v>613</v>
      </c>
      <c r="AP4" s="21" t="s">
        <v>614</v>
      </c>
      <c r="AQ4" s="21" t="s">
        <v>615</v>
      </c>
      <c r="AR4" s="21" t="s">
        <v>616</v>
      </c>
      <c r="AS4" s="21" t="s">
        <v>617</v>
      </c>
      <c r="AT4" s="21" t="s">
        <v>618</v>
      </c>
      <c r="AU4" s="21" t="s">
        <v>619</v>
      </c>
      <c r="AV4" s="21" t="s">
        <v>622</v>
      </c>
      <c r="AW4" s="21" t="s">
        <v>620</v>
      </c>
      <c r="AX4" s="21" t="s">
        <v>621</v>
      </c>
      <c r="AY4" s="21" t="s">
        <v>630</v>
      </c>
      <c r="AZ4" s="21" t="s">
        <v>624</v>
      </c>
      <c r="BA4" s="21" t="s">
        <v>625</v>
      </c>
      <c r="BB4" s="21" t="s">
        <v>626</v>
      </c>
      <c r="BC4" s="21" t="s">
        <v>581</v>
      </c>
      <c r="BD4" s="21" t="s">
        <v>583</v>
      </c>
      <c r="BE4" s="21" t="s">
        <v>582</v>
      </c>
      <c r="BF4" s="21" t="s">
        <v>629</v>
      </c>
      <c r="BG4" s="21" t="s">
        <v>627</v>
      </c>
      <c r="BH4" s="21" t="s">
        <v>628</v>
      </c>
      <c r="BI4" t="s">
        <v>165</v>
      </c>
      <c r="BJ4" t="s">
        <v>166</v>
      </c>
      <c r="BK4" s="13" t="s">
        <v>174</v>
      </c>
    </row>
    <row r="5" spans="1:63" x14ac:dyDescent="0.3">
      <c r="A5" t="s">
        <v>33</v>
      </c>
      <c r="B5" t="s">
        <v>93</v>
      </c>
      <c r="C5" s="21" t="s">
        <v>144</v>
      </c>
      <c r="D5" t="s">
        <v>93</v>
      </c>
      <c r="F5" t="s">
        <v>97</v>
      </c>
      <c r="G5" t="s">
        <v>100</v>
      </c>
      <c r="J5" s="21" t="s">
        <v>196</v>
      </c>
      <c r="K5" t="s">
        <v>102</v>
      </c>
      <c r="L5" t="s">
        <v>103</v>
      </c>
      <c r="M5" t="s">
        <v>124</v>
      </c>
      <c r="N5" t="s">
        <v>112</v>
      </c>
      <c r="O5" t="s">
        <v>118</v>
      </c>
      <c r="P5" s="21" t="s">
        <v>573</v>
      </c>
      <c r="R5" t="s">
        <v>153</v>
      </c>
      <c r="S5" t="s">
        <v>160</v>
      </c>
      <c r="T5" s="21" t="s">
        <v>462</v>
      </c>
      <c r="U5" t="s">
        <v>56</v>
      </c>
      <c r="V5" t="s">
        <v>161</v>
      </c>
      <c r="W5" t="s">
        <v>162</v>
      </c>
      <c r="X5" s="21" t="s">
        <v>463</v>
      </c>
      <c r="Y5" t="s">
        <v>163</v>
      </c>
      <c r="AA5" t="s">
        <v>164</v>
      </c>
      <c r="AB5" s="21" t="s">
        <v>464</v>
      </c>
      <c r="AC5" s="21" t="s">
        <v>363</v>
      </c>
      <c r="AD5" s="21" t="s">
        <v>603</v>
      </c>
      <c r="AE5" s="21" t="s">
        <v>604</v>
      </c>
      <c r="AF5" s="21" t="s">
        <v>605</v>
      </c>
      <c r="AG5" s="21" t="s">
        <v>606</v>
      </c>
      <c r="AH5" s="21" t="s">
        <v>607</v>
      </c>
      <c r="AI5" s="21" t="s">
        <v>608</v>
      </c>
      <c r="AJ5" s="21" t="s">
        <v>609</v>
      </c>
      <c r="AK5" s="21" t="s">
        <v>610</v>
      </c>
      <c r="AL5" s="21" t="s">
        <v>611</v>
      </c>
      <c r="AM5" s="21" t="s">
        <v>612</v>
      </c>
      <c r="AN5" s="21" t="s">
        <v>56</v>
      </c>
      <c r="AO5" s="21" t="s">
        <v>613</v>
      </c>
      <c r="AP5" s="21" t="s">
        <v>614</v>
      </c>
      <c r="AQ5" s="21" t="s">
        <v>615</v>
      </c>
      <c r="AR5" s="21" t="s">
        <v>616</v>
      </c>
      <c r="AS5" s="21" t="s">
        <v>617</v>
      </c>
      <c r="AT5" s="21" t="s">
        <v>618</v>
      </c>
      <c r="AU5" s="21" t="s">
        <v>619</v>
      </c>
      <c r="AV5" s="21" t="s">
        <v>622</v>
      </c>
      <c r="AW5" s="21" t="s">
        <v>620</v>
      </c>
      <c r="AX5" s="21" t="s">
        <v>621</v>
      </c>
      <c r="AY5" s="21" t="s">
        <v>630</v>
      </c>
      <c r="AZ5" s="21" t="s">
        <v>624</v>
      </c>
      <c r="BA5" s="21" t="s">
        <v>625</v>
      </c>
      <c r="BB5" s="21" t="s">
        <v>626</v>
      </c>
      <c r="BC5" s="21" t="s">
        <v>581</v>
      </c>
      <c r="BD5" s="21" t="s">
        <v>583</v>
      </c>
      <c r="BE5" s="21" t="s">
        <v>582</v>
      </c>
      <c r="BF5" s="21" t="s">
        <v>629</v>
      </c>
      <c r="BG5" s="21" t="s">
        <v>627</v>
      </c>
      <c r="BH5" s="21" t="s">
        <v>628</v>
      </c>
      <c r="BI5" t="s">
        <v>165</v>
      </c>
      <c r="BJ5" t="s">
        <v>166</v>
      </c>
      <c r="BK5" s="13" t="s">
        <v>174</v>
      </c>
    </row>
    <row r="6" spans="1:63" x14ac:dyDescent="0.3">
      <c r="A6" t="s">
        <v>517</v>
      </c>
      <c r="B6" t="s">
        <v>502</v>
      </c>
      <c r="C6" s="21" t="s">
        <v>144</v>
      </c>
      <c r="D6" s="21" t="s">
        <v>502</v>
      </c>
      <c r="E6" s="21" t="s">
        <v>480</v>
      </c>
      <c r="F6" t="s">
        <v>97</v>
      </c>
      <c r="G6" t="s">
        <v>100</v>
      </c>
      <c r="J6" s="21" t="s">
        <v>196</v>
      </c>
      <c r="K6" t="s">
        <v>102</v>
      </c>
      <c r="L6" t="s">
        <v>103</v>
      </c>
      <c r="M6" t="s">
        <v>503</v>
      </c>
      <c r="N6" t="s">
        <v>112</v>
      </c>
      <c r="O6" t="s">
        <v>118</v>
      </c>
      <c r="P6" t="s">
        <v>155</v>
      </c>
      <c r="Q6" t="s">
        <v>155</v>
      </c>
      <c r="R6" t="s">
        <v>153</v>
      </c>
      <c r="S6" t="s">
        <v>160</v>
      </c>
      <c r="T6" s="21" t="s">
        <v>462</v>
      </c>
      <c r="U6" t="s">
        <v>56</v>
      </c>
      <c r="V6" t="s">
        <v>161</v>
      </c>
      <c r="W6" t="s">
        <v>162</v>
      </c>
      <c r="X6" s="21" t="s">
        <v>463</v>
      </c>
      <c r="Y6" t="s">
        <v>163</v>
      </c>
      <c r="AA6" t="s">
        <v>164</v>
      </c>
      <c r="AB6" s="21" t="s">
        <v>464</v>
      </c>
      <c r="AC6" s="21" t="s">
        <v>363</v>
      </c>
      <c r="AD6" s="21" t="s">
        <v>603</v>
      </c>
      <c r="AE6" s="21" t="s">
        <v>604</v>
      </c>
      <c r="AF6" s="21" t="s">
        <v>605</v>
      </c>
      <c r="AG6" s="21" t="s">
        <v>606</v>
      </c>
      <c r="AH6" s="21" t="s">
        <v>607</v>
      </c>
      <c r="AI6" s="21" t="s">
        <v>608</v>
      </c>
      <c r="AJ6" s="21" t="s">
        <v>609</v>
      </c>
      <c r="AK6" s="21" t="s">
        <v>610</v>
      </c>
      <c r="AL6" s="21" t="s">
        <v>611</v>
      </c>
      <c r="AM6" s="21" t="s">
        <v>612</v>
      </c>
      <c r="AN6" s="21" t="s">
        <v>56</v>
      </c>
      <c r="AO6" s="21" t="s">
        <v>613</v>
      </c>
      <c r="AP6" s="21" t="s">
        <v>614</v>
      </c>
      <c r="AQ6" s="21" t="s">
        <v>615</v>
      </c>
      <c r="AR6" s="21" t="s">
        <v>616</v>
      </c>
      <c r="AS6" s="21" t="s">
        <v>617</v>
      </c>
      <c r="AT6" s="21" t="s">
        <v>618</v>
      </c>
      <c r="AU6" s="21" t="s">
        <v>619</v>
      </c>
      <c r="AV6" s="21" t="s">
        <v>622</v>
      </c>
      <c r="AW6" s="21" t="s">
        <v>620</v>
      </c>
      <c r="AX6" s="21" t="s">
        <v>621</v>
      </c>
      <c r="AY6" s="21" t="s">
        <v>630</v>
      </c>
      <c r="AZ6" s="21" t="s">
        <v>624</v>
      </c>
      <c r="BA6" s="21" t="s">
        <v>625</v>
      </c>
      <c r="BB6" s="21" t="s">
        <v>626</v>
      </c>
      <c r="BC6" s="21" t="s">
        <v>581</v>
      </c>
      <c r="BD6" s="21" t="s">
        <v>583</v>
      </c>
      <c r="BE6" s="21" t="s">
        <v>582</v>
      </c>
      <c r="BF6" s="21" t="s">
        <v>629</v>
      </c>
      <c r="BG6" s="21" t="s">
        <v>627</v>
      </c>
      <c r="BH6" s="21" t="s">
        <v>628</v>
      </c>
      <c r="BI6" t="s">
        <v>165</v>
      </c>
      <c r="BJ6" t="s">
        <v>166</v>
      </c>
      <c r="BK6" s="13" t="s">
        <v>174</v>
      </c>
    </row>
    <row r="7" spans="1:63" x14ac:dyDescent="0.3">
      <c r="A7" t="s">
        <v>518</v>
      </c>
      <c r="B7" t="s">
        <v>502</v>
      </c>
      <c r="C7" s="21" t="s">
        <v>144</v>
      </c>
      <c r="D7" s="21" t="s">
        <v>502</v>
      </c>
      <c r="E7" s="21" t="s">
        <v>480</v>
      </c>
      <c r="F7" t="s">
        <v>97</v>
      </c>
      <c r="G7" t="s">
        <v>100</v>
      </c>
      <c r="J7" s="21" t="s">
        <v>196</v>
      </c>
      <c r="K7" t="s">
        <v>102</v>
      </c>
      <c r="L7" t="s">
        <v>103</v>
      </c>
      <c r="M7" s="21" t="s">
        <v>503</v>
      </c>
      <c r="N7" t="s">
        <v>112</v>
      </c>
      <c r="O7" t="s">
        <v>118</v>
      </c>
      <c r="P7" t="s">
        <v>155</v>
      </c>
      <c r="Q7" t="s">
        <v>155</v>
      </c>
      <c r="R7" t="s">
        <v>153</v>
      </c>
      <c r="S7" t="s">
        <v>160</v>
      </c>
      <c r="T7" s="21" t="s">
        <v>462</v>
      </c>
      <c r="U7" t="s">
        <v>56</v>
      </c>
      <c r="V7" t="s">
        <v>161</v>
      </c>
      <c r="W7" t="s">
        <v>162</v>
      </c>
      <c r="X7" s="21" t="s">
        <v>463</v>
      </c>
      <c r="Y7" t="s">
        <v>163</v>
      </c>
      <c r="AA7" t="s">
        <v>164</v>
      </c>
      <c r="AB7" s="21" t="s">
        <v>464</v>
      </c>
      <c r="AC7" s="21" t="s">
        <v>363</v>
      </c>
      <c r="AD7" s="21" t="s">
        <v>603</v>
      </c>
      <c r="AE7" s="21" t="s">
        <v>604</v>
      </c>
      <c r="AF7" s="21" t="s">
        <v>605</v>
      </c>
      <c r="AG7" s="21" t="s">
        <v>606</v>
      </c>
      <c r="AH7" s="21" t="s">
        <v>607</v>
      </c>
      <c r="AI7" s="21" t="s">
        <v>608</v>
      </c>
      <c r="AJ7" s="21" t="s">
        <v>609</v>
      </c>
      <c r="AK7" s="21" t="s">
        <v>610</v>
      </c>
      <c r="AL7" s="21" t="s">
        <v>611</v>
      </c>
      <c r="AM7" s="21" t="s">
        <v>612</v>
      </c>
      <c r="AN7" s="21" t="s">
        <v>56</v>
      </c>
      <c r="AO7" s="21" t="s">
        <v>613</v>
      </c>
      <c r="AP7" s="21" t="s">
        <v>614</v>
      </c>
      <c r="AQ7" s="21" t="s">
        <v>615</v>
      </c>
      <c r="AR7" s="21" t="s">
        <v>616</v>
      </c>
      <c r="AS7" s="21" t="s">
        <v>617</v>
      </c>
      <c r="AT7" s="21" t="s">
        <v>618</v>
      </c>
      <c r="AU7" s="21" t="s">
        <v>619</v>
      </c>
      <c r="AV7" s="21" t="s">
        <v>622</v>
      </c>
      <c r="AW7" s="21" t="s">
        <v>620</v>
      </c>
      <c r="AX7" s="21" t="s">
        <v>621</v>
      </c>
      <c r="AY7" s="21" t="s">
        <v>630</v>
      </c>
      <c r="AZ7" s="21" t="s">
        <v>624</v>
      </c>
      <c r="BA7" s="21" t="s">
        <v>625</v>
      </c>
      <c r="BB7" s="21" t="s">
        <v>626</v>
      </c>
      <c r="BC7" s="21" t="s">
        <v>581</v>
      </c>
      <c r="BD7" s="21" t="s">
        <v>583</v>
      </c>
      <c r="BE7" s="21" t="s">
        <v>582</v>
      </c>
      <c r="BF7" s="21" t="s">
        <v>629</v>
      </c>
      <c r="BG7" s="21" t="s">
        <v>627</v>
      </c>
      <c r="BH7" s="21" t="s">
        <v>628</v>
      </c>
      <c r="BI7" t="s">
        <v>165</v>
      </c>
      <c r="BJ7" t="s">
        <v>166</v>
      </c>
      <c r="BK7" s="13" t="s">
        <v>174</v>
      </c>
    </row>
    <row r="8" spans="1:63" x14ac:dyDescent="0.3">
      <c r="A8" t="s">
        <v>524</v>
      </c>
      <c r="B8" t="s">
        <v>502</v>
      </c>
      <c r="C8" s="21" t="s">
        <v>144</v>
      </c>
      <c r="D8" s="21" t="s">
        <v>502</v>
      </c>
      <c r="E8" s="21" t="s">
        <v>480</v>
      </c>
      <c r="F8" t="s">
        <v>97</v>
      </c>
      <c r="G8" t="s">
        <v>100</v>
      </c>
      <c r="J8" s="21" t="s">
        <v>196</v>
      </c>
      <c r="K8" t="s">
        <v>102</v>
      </c>
      <c r="L8" t="s">
        <v>103</v>
      </c>
      <c r="M8" s="21" t="s">
        <v>503</v>
      </c>
      <c r="N8" t="s">
        <v>112</v>
      </c>
      <c r="O8" t="s">
        <v>118</v>
      </c>
      <c r="P8" t="s">
        <v>155</v>
      </c>
      <c r="Q8" t="s">
        <v>155</v>
      </c>
      <c r="R8" t="s">
        <v>153</v>
      </c>
      <c r="S8" t="s">
        <v>160</v>
      </c>
      <c r="T8" s="21" t="s">
        <v>462</v>
      </c>
      <c r="U8" t="s">
        <v>56</v>
      </c>
      <c r="V8" t="s">
        <v>161</v>
      </c>
      <c r="W8" t="s">
        <v>162</v>
      </c>
      <c r="X8" s="21" t="s">
        <v>463</v>
      </c>
      <c r="Y8" t="s">
        <v>163</v>
      </c>
      <c r="AA8" t="s">
        <v>164</v>
      </c>
      <c r="AB8" s="21" t="s">
        <v>464</v>
      </c>
      <c r="AC8" s="21" t="s">
        <v>363</v>
      </c>
      <c r="AD8" s="21" t="s">
        <v>603</v>
      </c>
      <c r="AE8" s="21" t="s">
        <v>604</v>
      </c>
      <c r="AF8" s="21" t="s">
        <v>605</v>
      </c>
      <c r="AG8" s="21" t="s">
        <v>606</v>
      </c>
      <c r="AH8" s="21" t="s">
        <v>607</v>
      </c>
      <c r="AI8" s="21" t="s">
        <v>608</v>
      </c>
      <c r="AJ8" s="21" t="s">
        <v>609</v>
      </c>
      <c r="AK8" s="21" t="s">
        <v>610</v>
      </c>
      <c r="AL8" s="21" t="s">
        <v>611</v>
      </c>
      <c r="AM8" s="21" t="s">
        <v>612</v>
      </c>
      <c r="AN8" s="21" t="s">
        <v>56</v>
      </c>
      <c r="AO8" s="21" t="s">
        <v>613</v>
      </c>
      <c r="AP8" s="21" t="s">
        <v>614</v>
      </c>
      <c r="AQ8" s="21" t="s">
        <v>615</v>
      </c>
      <c r="AR8" s="21" t="s">
        <v>616</v>
      </c>
      <c r="AS8" s="21" t="s">
        <v>617</v>
      </c>
      <c r="AT8" s="21" t="s">
        <v>618</v>
      </c>
      <c r="AU8" s="21" t="s">
        <v>619</v>
      </c>
      <c r="AV8" s="21" t="s">
        <v>622</v>
      </c>
      <c r="AW8" s="21" t="s">
        <v>620</v>
      </c>
      <c r="AX8" s="21" t="s">
        <v>621</v>
      </c>
      <c r="AY8" s="21" t="s">
        <v>630</v>
      </c>
      <c r="AZ8" s="21" t="s">
        <v>624</v>
      </c>
      <c r="BA8" s="21" t="s">
        <v>625</v>
      </c>
      <c r="BB8" s="21" t="s">
        <v>626</v>
      </c>
      <c r="BC8" s="21" t="s">
        <v>581</v>
      </c>
      <c r="BD8" s="21" t="s">
        <v>583</v>
      </c>
      <c r="BE8" s="21" t="s">
        <v>582</v>
      </c>
      <c r="BF8" s="21" t="s">
        <v>629</v>
      </c>
      <c r="BG8" s="21" t="s">
        <v>627</v>
      </c>
      <c r="BH8" s="21" t="s">
        <v>628</v>
      </c>
      <c r="BI8" t="s">
        <v>165</v>
      </c>
      <c r="BJ8" t="s">
        <v>166</v>
      </c>
      <c r="BK8" s="13" t="s">
        <v>174</v>
      </c>
    </row>
    <row r="9" spans="1:63" x14ac:dyDescent="0.3">
      <c r="A9" t="s">
        <v>519</v>
      </c>
      <c r="B9" t="s">
        <v>107</v>
      </c>
      <c r="C9" s="21" t="s">
        <v>144</v>
      </c>
      <c r="D9" t="s">
        <v>107</v>
      </c>
      <c r="E9" t="s">
        <v>107</v>
      </c>
      <c r="F9" t="s">
        <v>97</v>
      </c>
      <c r="G9" t="s">
        <v>100</v>
      </c>
      <c r="L9" t="s">
        <v>115</v>
      </c>
      <c r="M9" t="s">
        <v>125</v>
      </c>
      <c r="N9" t="s">
        <v>109</v>
      </c>
      <c r="P9" t="s">
        <v>568</v>
      </c>
      <c r="Q9" s="21" t="s">
        <v>568</v>
      </c>
      <c r="R9" t="s">
        <v>153</v>
      </c>
      <c r="S9" t="s">
        <v>160</v>
      </c>
      <c r="T9" s="21" t="s">
        <v>462</v>
      </c>
      <c r="U9" t="s">
        <v>56</v>
      </c>
      <c r="V9" t="s">
        <v>161</v>
      </c>
      <c r="W9" t="s">
        <v>162</v>
      </c>
      <c r="X9" s="21" t="s">
        <v>463</v>
      </c>
      <c r="Y9" t="s">
        <v>163</v>
      </c>
      <c r="AA9" t="s">
        <v>164</v>
      </c>
      <c r="AB9" s="21" t="s">
        <v>464</v>
      </c>
      <c r="AC9" s="21" t="s">
        <v>363</v>
      </c>
      <c r="AD9" s="21" t="s">
        <v>603</v>
      </c>
      <c r="AE9" s="21" t="s">
        <v>604</v>
      </c>
      <c r="AF9" s="21" t="s">
        <v>605</v>
      </c>
      <c r="AG9" s="21" t="s">
        <v>606</v>
      </c>
      <c r="AH9" s="21" t="s">
        <v>607</v>
      </c>
      <c r="AI9" s="21" t="s">
        <v>608</v>
      </c>
      <c r="AJ9" s="21" t="s">
        <v>609</v>
      </c>
      <c r="AK9" s="21" t="s">
        <v>610</v>
      </c>
      <c r="AL9" s="21" t="s">
        <v>611</v>
      </c>
      <c r="AM9" s="21" t="s">
        <v>612</v>
      </c>
      <c r="AN9" s="21" t="s">
        <v>56</v>
      </c>
      <c r="AO9" s="21" t="s">
        <v>613</v>
      </c>
      <c r="AP9" s="21" t="s">
        <v>614</v>
      </c>
      <c r="AQ9" s="21" t="s">
        <v>615</v>
      </c>
      <c r="AR9" s="21" t="s">
        <v>616</v>
      </c>
      <c r="AS9" s="21" t="s">
        <v>617</v>
      </c>
      <c r="AT9" s="21" t="s">
        <v>618</v>
      </c>
      <c r="AU9" s="21" t="s">
        <v>619</v>
      </c>
      <c r="AV9" s="21" t="s">
        <v>622</v>
      </c>
      <c r="AW9" s="21" t="s">
        <v>620</v>
      </c>
      <c r="AX9" s="21" t="s">
        <v>621</v>
      </c>
      <c r="AY9" s="21" t="s">
        <v>630</v>
      </c>
      <c r="AZ9" s="21" t="s">
        <v>624</v>
      </c>
      <c r="BA9" s="21" t="s">
        <v>625</v>
      </c>
      <c r="BB9" s="21" t="s">
        <v>626</v>
      </c>
      <c r="BC9" s="21" t="s">
        <v>581</v>
      </c>
      <c r="BD9" s="21" t="s">
        <v>583</v>
      </c>
      <c r="BE9" s="21" t="s">
        <v>582</v>
      </c>
      <c r="BF9" s="21" t="s">
        <v>629</v>
      </c>
      <c r="BG9" s="21" t="s">
        <v>627</v>
      </c>
      <c r="BH9" s="21" t="s">
        <v>628</v>
      </c>
      <c r="BI9" t="s">
        <v>165</v>
      </c>
      <c r="BJ9" t="s">
        <v>166</v>
      </c>
      <c r="BK9" s="13" t="s">
        <v>174</v>
      </c>
    </row>
    <row r="10" spans="1:63" x14ac:dyDescent="0.3">
      <c r="A10" t="s">
        <v>645</v>
      </c>
      <c r="B10" s="13" t="s">
        <v>119</v>
      </c>
      <c r="C10" s="21" t="s">
        <v>144</v>
      </c>
      <c r="D10" s="13" t="s">
        <v>119</v>
      </c>
      <c r="I10" t="s">
        <v>121</v>
      </c>
      <c r="K10" t="s">
        <v>655</v>
      </c>
      <c r="M10" s="13" t="s">
        <v>126</v>
      </c>
      <c r="N10" t="s">
        <v>112</v>
      </c>
      <c r="O10" t="s">
        <v>118</v>
      </c>
      <c r="S10" t="s">
        <v>160</v>
      </c>
      <c r="T10" s="21" t="s">
        <v>462</v>
      </c>
      <c r="U10" t="s">
        <v>56</v>
      </c>
      <c r="V10" t="s">
        <v>161</v>
      </c>
      <c r="W10" t="s">
        <v>162</v>
      </c>
      <c r="X10" s="21" t="s">
        <v>463</v>
      </c>
      <c r="Y10" t="s">
        <v>163</v>
      </c>
      <c r="AA10" t="s">
        <v>164</v>
      </c>
      <c r="AB10" s="21" t="s">
        <v>464</v>
      </c>
      <c r="AC10" s="21" t="s">
        <v>363</v>
      </c>
      <c r="AD10" s="21" t="s">
        <v>603</v>
      </c>
      <c r="AE10" s="21" t="s">
        <v>604</v>
      </c>
      <c r="AF10" s="21" t="s">
        <v>605</v>
      </c>
      <c r="AG10" s="21" t="s">
        <v>606</v>
      </c>
      <c r="AH10" s="21" t="s">
        <v>607</v>
      </c>
      <c r="AI10" s="21" t="s">
        <v>608</v>
      </c>
      <c r="AJ10" s="21" t="s">
        <v>609</v>
      </c>
      <c r="AK10" s="21" t="s">
        <v>610</v>
      </c>
      <c r="AL10" s="21" t="s">
        <v>611</v>
      </c>
      <c r="AM10" s="21" t="s">
        <v>612</v>
      </c>
      <c r="AN10" s="21" t="s">
        <v>56</v>
      </c>
      <c r="AO10" s="21" t="s">
        <v>613</v>
      </c>
      <c r="AP10" s="21" t="s">
        <v>614</v>
      </c>
      <c r="AQ10" s="21" t="s">
        <v>615</v>
      </c>
      <c r="AR10" s="21" t="s">
        <v>616</v>
      </c>
      <c r="AS10" s="21" t="s">
        <v>617</v>
      </c>
      <c r="AT10" s="21" t="s">
        <v>618</v>
      </c>
      <c r="AU10" s="21" t="s">
        <v>619</v>
      </c>
      <c r="AV10" s="21" t="s">
        <v>622</v>
      </c>
      <c r="AW10" s="21" t="s">
        <v>620</v>
      </c>
      <c r="AX10" s="21" t="s">
        <v>621</v>
      </c>
      <c r="AY10" s="21" t="s">
        <v>630</v>
      </c>
      <c r="AZ10" s="21" t="s">
        <v>624</v>
      </c>
      <c r="BA10" s="21" t="s">
        <v>625</v>
      </c>
      <c r="BB10" s="21" t="s">
        <v>626</v>
      </c>
      <c r="BC10" s="21" t="s">
        <v>581</v>
      </c>
      <c r="BD10" s="21" t="s">
        <v>583</v>
      </c>
      <c r="BE10" s="21" t="s">
        <v>582</v>
      </c>
      <c r="BF10" s="21" t="s">
        <v>629</v>
      </c>
      <c r="BG10" s="21" t="s">
        <v>627</v>
      </c>
      <c r="BH10" s="21" t="s">
        <v>628</v>
      </c>
      <c r="BI10" t="s">
        <v>165</v>
      </c>
      <c r="BJ10" t="s">
        <v>166</v>
      </c>
      <c r="BK10" s="13" t="s">
        <v>174</v>
      </c>
    </row>
    <row r="11" spans="1:63" x14ac:dyDescent="0.3">
      <c r="A11" t="s">
        <v>646</v>
      </c>
      <c r="B11" s="13" t="s">
        <v>119</v>
      </c>
      <c r="C11" s="21" t="s">
        <v>144</v>
      </c>
      <c r="D11" s="13" t="s">
        <v>119</v>
      </c>
      <c r="I11" t="s">
        <v>121</v>
      </c>
      <c r="K11" s="21" t="s">
        <v>655</v>
      </c>
      <c r="M11" s="13" t="s">
        <v>126</v>
      </c>
      <c r="N11" t="s">
        <v>112</v>
      </c>
      <c r="O11" t="s">
        <v>118</v>
      </c>
      <c r="S11" t="s">
        <v>160</v>
      </c>
      <c r="T11" s="21" t="s">
        <v>462</v>
      </c>
      <c r="U11" t="s">
        <v>56</v>
      </c>
      <c r="V11" t="s">
        <v>161</v>
      </c>
      <c r="W11" t="s">
        <v>162</v>
      </c>
      <c r="X11" s="21" t="s">
        <v>463</v>
      </c>
      <c r="Y11" t="s">
        <v>163</v>
      </c>
      <c r="AA11" t="s">
        <v>164</v>
      </c>
      <c r="AB11" s="21" t="s">
        <v>464</v>
      </c>
      <c r="AC11" s="21" t="s">
        <v>363</v>
      </c>
      <c r="AD11" s="21" t="s">
        <v>603</v>
      </c>
      <c r="AE11" s="21" t="s">
        <v>604</v>
      </c>
      <c r="AF11" s="21" t="s">
        <v>605</v>
      </c>
      <c r="AG11" s="21" t="s">
        <v>606</v>
      </c>
      <c r="AH11" s="21" t="s">
        <v>607</v>
      </c>
      <c r="AI11" s="21" t="s">
        <v>608</v>
      </c>
      <c r="AJ11" s="21" t="s">
        <v>609</v>
      </c>
      <c r="AK11" s="21" t="s">
        <v>610</v>
      </c>
      <c r="AL11" s="21" t="s">
        <v>611</v>
      </c>
      <c r="AM11" s="21" t="s">
        <v>612</v>
      </c>
      <c r="AN11" s="21" t="s">
        <v>56</v>
      </c>
      <c r="AO11" s="21" t="s">
        <v>613</v>
      </c>
      <c r="AP11" s="21" t="s">
        <v>614</v>
      </c>
      <c r="AQ11" s="21" t="s">
        <v>615</v>
      </c>
      <c r="AR11" s="21" t="s">
        <v>616</v>
      </c>
      <c r="AS11" s="21" t="s">
        <v>617</v>
      </c>
      <c r="AT11" s="21" t="s">
        <v>618</v>
      </c>
      <c r="AU11" s="21" t="s">
        <v>619</v>
      </c>
      <c r="AV11" s="21" t="s">
        <v>622</v>
      </c>
      <c r="AW11" s="21" t="s">
        <v>620</v>
      </c>
      <c r="AX11" s="21" t="s">
        <v>621</v>
      </c>
      <c r="AY11" s="21" t="s">
        <v>630</v>
      </c>
      <c r="AZ11" s="21" t="s">
        <v>624</v>
      </c>
      <c r="BA11" s="21" t="s">
        <v>625</v>
      </c>
      <c r="BB11" s="21" t="s">
        <v>626</v>
      </c>
      <c r="BC11" s="21" t="s">
        <v>581</v>
      </c>
      <c r="BD11" s="21" t="s">
        <v>583</v>
      </c>
      <c r="BE11" s="21" t="s">
        <v>582</v>
      </c>
      <c r="BF11" s="21" t="s">
        <v>629</v>
      </c>
      <c r="BG11" s="21" t="s">
        <v>627</v>
      </c>
      <c r="BH11" s="21" t="s">
        <v>628</v>
      </c>
      <c r="BI11" t="s">
        <v>165</v>
      </c>
      <c r="BJ11" t="s">
        <v>166</v>
      </c>
      <c r="BK11" s="13" t="s">
        <v>174</v>
      </c>
    </row>
    <row r="12" spans="1:63" x14ac:dyDescent="0.3">
      <c r="A12" t="s">
        <v>647</v>
      </c>
      <c r="B12" s="13" t="s">
        <v>119</v>
      </c>
      <c r="C12" s="21" t="s">
        <v>144</v>
      </c>
      <c r="D12" s="13" t="s">
        <v>119</v>
      </c>
      <c r="I12" t="s">
        <v>121</v>
      </c>
      <c r="K12" s="21" t="s">
        <v>655</v>
      </c>
      <c r="M12" s="13" t="s">
        <v>126</v>
      </c>
      <c r="N12" t="s">
        <v>112</v>
      </c>
      <c r="O12" t="s">
        <v>118</v>
      </c>
      <c r="S12" t="s">
        <v>160</v>
      </c>
      <c r="T12" s="21" t="s">
        <v>462</v>
      </c>
      <c r="U12" t="s">
        <v>56</v>
      </c>
      <c r="V12" t="s">
        <v>161</v>
      </c>
      <c r="W12" t="s">
        <v>162</v>
      </c>
      <c r="X12" s="21" t="s">
        <v>463</v>
      </c>
      <c r="Y12" t="s">
        <v>163</v>
      </c>
      <c r="AA12" t="s">
        <v>164</v>
      </c>
      <c r="AB12" s="21" t="s">
        <v>464</v>
      </c>
      <c r="AC12" s="21" t="s">
        <v>363</v>
      </c>
      <c r="AD12" s="21" t="s">
        <v>603</v>
      </c>
      <c r="AE12" s="21" t="s">
        <v>604</v>
      </c>
      <c r="AF12" s="21" t="s">
        <v>605</v>
      </c>
      <c r="AG12" s="21" t="s">
        <v>606</v>
      </c>
      <c r="AH12" s="21" t="s">
        <v>607</v>
      </c>
      <c r="AI12" s="21" t="s">
        <v>608</v>
      </c>
      <c r="AJ12" s="21" t="s">
        <v>609</v>
      </c>
      <c r="AK12" s="21" t="s">
        <v>610</v>
      </c>
      <c r="AL12" s="21" t="s">
        <v>611</v>
      </c>
      <c r="AM12" s="21" t="s">
        <v>612</v>
      </c>
      <c r="AN12" s="21" t="s">
        <v>56</v>
      </c>
      <c r="AO12" s="21" t="s">
        <v>613</v>
      </c>
      <c r="AP12" s="21" t="s">
        <v>614</v>
      </c>
      <c r="AQ12" s="21" t="s">
        <v>615</v>
      </c>
      <c r="AR12" s="21" t="s">
        <v>616</v>
      </c>
      <c r="AS12" s="21" t="s">
        <v>617</v>
      </c>
      <c r="AT12" s="21" t="s">
        <v>618</v>
      </c>
      <c r="AU12" s="21" t="s">
        <v>619</v>
      </c>
      <c r="AV12" s="21" t="s">
        <v>622</v>
      </c>
      <c r="AW12" s="21" t="s">
        <v>620</v>
      </c>
      <c r="AX12" s="21" t="s">
        <v>621</v>
      </c>
      <c r="AY12" s="21" t="s">
        <v>630</v>
      </c>
      <c r="AZ12" s="21" t="s">
        <v>624</v>
      </c>
      <c r="BA12" s="21" t="s">
        <v>625</v>
      </c>
      <c r="BB12" s="21" t="s">
        <v>626</v>
      </c>
      <c r="BC12" s="21" t="s">
        <v>581</v>
      </c>
      <c r="BD12" s="21" t="s">
        <v>583</v>
      </c>
      <c r="BE12" s="21" t="s">
        <v>582</v>
      </c>
      <c r="BF12" s="21" t="s">
        <v>629</v>
      </c>
      <c r="BG12" s="21" t="s">
        <v>627</v>
      </c>
      <c r="BH12" s="21" t="s">
        <v>628</v>
      </c>
      <c r="BI12" t="s">
        <v>165</v>
      </c>
      <c r="BJ12" t="s">
        <v>166</v>
      </c>
      <c r="BK12" s="13" t="s">
        <v>174</v>
      </c>
    </row>
    <row r="13" spans="1:63" s="21" customFormat="1" x14ac:dyDescent="0.3">
      <c r="A13" s="21" t="s">
        <v>675</v>
      </c>
      <c r="B13" s="13" t="s">
        <v>119</v>
      </c>
      <c r="C13" s="21" t="s">
        <v>144</v>
      </c>
      <c r="D13" s="13" t="s">
        <v>119</v>
      </c>
      <c r="I13" s="21" t="s">
        <v>121</v>
      </c>
      <c r="K13" s="21" t="s">
        <v>655</v>
      </c>
      <c r="M13" s="13" t="s">
        <v>126</v>
      </c>
      <c r="N13" s="21" t="s">
        <v>112</v>
      </c>
      <c r="O13" s="21" t="s">
        <v>118</v>
      </c>
      <c r="S13" s="21" t="s">
        <v>160</v>
      </c>
      <c r="T13" s="21" t="s">
        <v>462</v>
      </c>
      <c r="U13" s="21" t="s">
        <v>56</v>
      </c>
      <c r="V13" s="21" t="s">
        <v>161</v>
      </c>
      <c r="W13" s="21" t="s">
        <v>162</v>
      </c>
      <c r="X13" s="21" t="s">
        <v>463</v>
      </c>
      <c r="Y13" s="21" t="s">
        <v>163</v>
      </c>
      <c r="AA13" s="21" t="s">
        <v>164</v>
      </c>
      <c r="AB13" s="21" t="s">
        <v>464</v>
      </c>
      <c r="AC13" s="21" t="s">
        <v>363</v>
      </c>
      <c r="AD13" s="21" t="s">
        <v>603</v>
      </c>
      <c r="AE13" s="21" t="s">
        <v>604</v>
      </c>
      <c r="AF13" s="21" t="s">
        <v>605</v>
      </c>
      <c r="AG13" s="21" t="s">
        <v>606</v>
      </c>
      <c r="AH13" s="21" t="s">
        <v>607</v>
      </c>
      <c r="AI13" s="21" t="s">
        <v>608</v>
      </c>
      <c r="AJ13" s="21" t="s">
        <v>609</v>
      </c>
      <c r="AK13" s="21" t="s">
        <v>610</v>
      </c>
      <c r="AL13" s="21" t="s">
        <v>611</v>
      </c>
      <c r="AM13" s="21" t="s">
        <v>612</v>
      </c>
      <c r="AN13" s="21" t="s">
        <v>56</v>
      </c>
      <c r="AO13" s="21" t="s">
        <v>613</v>
      </c>
      <c r="AP13" s="21" t="s">
        <v>614</v>
      </c>
      <c r="AQ13" s="21" t="s">
        <v>615</v>
      </c>
      <c r="AR13" s="21" t="s">
        <v>616</v>
      </c>
      <c r="AS13" s="21" t="s">
        <v>617</v>
      </c>
      <c r="AT13" s="21" t="s">
        <v>618</v>
      </c>
      <c r="AU13" s="21" t="s">
        <v>619</v>
      </c>
      <c r="AV13" s="21" t="s">
        <v>622</v>
      </c>
      <c r="AW13" s="21" t="s">
        <v>620</v>
      </c>
      <c r="AX13" s="21" t="s">
        <v>621</v>
      </c>
      <c r="AY13" s="21" t="s">
        <v>630</v>
      </c>
      <c r="AZ13" s="21" t="s">
        <v>624</v>
      </c>
      <c r="BA13" s="21" t="s">
        <v>625</v>
      </c>
      <c r="BB13" s="21" t="s">
        <v>626</v>
      </c>
      <c r="BC13" s="21" t="s">
        <v>581</v>
      </c>
      <c r="BD13" s="21" t="s">
        <v>583</v>
      </c>
      <c r="BE13" s="21" t="s">
        <v>582</v>
      </c>
      <c r="BF13" s="21" t="s">
        <v>629</v>
      </c>
      <c r="BG13" s="21" t="s">
        <v>627</v>
      </c>
      <c r="BH13" s="21" t="s">
        <v>628</v>
      </c>
      <c r="BI13" s="21" t="s">
        <v>165</v>
      </c>
      <c r="BJ13" s="21" t="s">
        <v>166</v>
      </c>
      <c r="BK13" s="13" t="s">
        <v>174</v>
      </c>
    </row>
    <row r="14" spans="1:63" s="21" customFormat="1" x14ac:dyDescent="0.3">
      <c r="A14" s="21" t="s">
        <v>676</v>
      </c>
      <c r="B14" s="13" t="s">
        <v>119</v>
      </c>
      <c r="C14" s="21" t="s">
        <v>144</v>
      </c>
      <c r="D14" s="13" t="s">
        <v>119</v>
      </c>
      <c r="I14" s="21" t="s">
        <v>121</v>
      </c>
      <c r="K14" s="21" t="s">
        <v>655</v>
      </c>
      <c r="M14" s="13" t="s">
        <v>126</v>
      </c>
      <c r="N14" s="21" t="s">
        <v>112</v>
      </c>
      <c r="O14" s="21" t="s">
        <v>118</v>
      </c>
      <c r="S14" s="21" t="s">
        <v>160</v>
      </c>
      <c r="T14" s="21" t="s">
        <v>462</v>
      </c>
      <c r="U14" s="21" t="s">
        <v>56</v>
      </c>
      <c r="V14" s="21" t="s">
        <v>161</v>
      </c>
      <c r="W14" s="21" t="s">
        <v>162</v>
      </c>
      <c r="X14" s="21" t="s">
        <v>463</v>
      </c>
      <c r="Y14" s="21" t="s">
        <v>163</v>
      </c>
      <c r="AA14" s="21" t="s">
        <v>164</v>
      </c>
      <c r="AB14" s="21" t="s">
        <v>464</v>
      </c>
      <c r="AC14" s="21" t="s">
        <v>363</v>
      </c>
      <c r="AD14" s="21" t="s">
        <v>603</v>
      </c>
      <c r="AE14" s="21" t="s">
        <v>604</v>
      </c>
      <c r="AF14" s="21" t="s">
        <v>605</v>
      </c>
      <c r="AG14" s="21" t="s">
        <v>606</v>
      </c>
      <c r="AH14" s="21" t="s">
        <v>607</v>
      </c>
      <c r="AI14" s="21" t="s">
        <v>608</v>
      </c>
      <c r="AJ14" s="21" t="s">
        <v>609</v>
      </c>
      <c r="AK14" s="21" t="s">
        <v>610</v>
      </c>
      <c r="AL14" s="21" t="s">
        <v>611</v>
      </c>
      <c r="AM14" s="21" t="s">
        <v>612</v>
      </c>
      <c r="AN14" s="21" t="s">
        <v>56</v>
      </c>
      <c r="AO14" s="21" t="s">
        <v>613</v>
      </c>
      <c r="AP14" s="21" t="s">
        <v>614</v>
      </c>
      <c r="AQ14" s="21" t="s">
        <v>615</v>
      </c>
      <c r="AR14" s="21" t="s">
        <v>616</v>
      </c>
      <c r="AS14" s="21" t="s">
        <v>617</v>
      </c>
      <c r="AT14" s="21" t="s">
        <v>618</v>
      </c>
      <c r="AU14" s="21" t="s">
        <v>619</v>
      </c>
      <c r="AV14" s="21" t="s">
        <v>622</v>
      </c>
      <c r="AW14" s="21" t="s">
        <v>620</v>
      </c>
      <c r="AX14" s="21" t="s">
        <v>621</v>
      </c>
      <c r="AY14" s="21" t="s">
        <v>630</v>
      </c>
      <c r="AZ14" s="21" t="s">
        <v>624</v>
      </c>
      <c r="BA14" s="21" t="s">
        <v>625</v>
      </c>
      <c r="BB14" s="21" t="s">
        <v>626</v>
      </c>
      <c r="BC14" s="21" t="s">
        <v>581</v>
      </c>
      <c r="BD14" s="21" t="s">
        <v>583</v>
      </c>
      <c r="BE14" s="21" t="s">
        <v>582</v>
      </c>
      <c r="BF14" s="21" t="s">
        <v>629</v>
      </c>
      <c r="BG14" s="21" t="s">
        <v>627</v>
      </c>
      <c r="BH14" s="21" t="s">
        <v>628</v>
      </c>
      <c r="BI14" s="21" t="s">
        <v>165</v>
      </c>
      <c r="BJ14" s="21" t="s">
        <v>166</v>
      </c>
      <c r="BK14" s="13" t="s">
        <v>174</v>
      </c>
    </row>
    <row r="15" spans="1:63" s="21" customFormat="1" x14ac:dyDescent="0.3">
      <c r="A15" s="21" t="s">
        <v>677</v>
      </c>
      <c r="B15" s="13" t="s">
        <v>119</v>
      </c>
      <c r="C15" s="21" t="s">
        <v>144</v>
      </c>
      <c r="D15" s="13" t="s">
        <v>119</v>
      </c>
      <c r="I15" s="21" t="s">
        <v>121</v>
      </c>
      <c r="K15" s="21" t="s">
        <v>655</v>
      </c>
      <c r="M15" s="13" t="s">
        <v>126</v>
      </c>
      <c r="N15" s="21" t="s">
        <v>112</v>
      </c>
      <c r="O15" s="21" t="s">
        <v>118</v>
      </c>
      <c r="S15" s="21" t="s">
        <v>160</v>
      </c>
      <c r="T15" s="21" t="s">
        <v>462</v>
      </c>
      <c r="U15" s="21" t="s">
        <v>56</v>
      </c>
      <c r="V15" s="21" t="s">
        <v>161</v>
      </c>
      <c r="W15" s="21" t="s">
        <v>162</v>
      </c>
      <c r="X15" s="21" t="s">
        <v>463</v>
      </c>
      <c r="Y15" s="21" t="s">
        <v>163</v>
      </c>
      <c r="AA15" s="21" t="s">
        <v>164</v>
      </c>
      <c r="AB15" s="21" t="s">
        <v>464</v>
      </c>
      <c r="AC15" s="21" t="s">
        <v>363</v>
      </c>
      <c r="AD15" s="21" t="s">
        <v>603</v>
      </c>
      <c r="AE15" s="21" t="s">
        <v>604</v>
      </c>
      <c r="AF15" s="21" t="s">
        <v>605</v>
      </c>
      <c r="AG15" s="21" t="s">
        <v>606</v>
      </c>
      <c r="AH15" s="21" t="s">
        <v>607</v>
      </c>
      <c r="AI15" s="21" t="s">
        <v>608</v>
      </c>
      <c r="AJ15" s="21" t="s">
        <v>609</v>
      </c>
      <c r="AK15" s="21" t="s">
        <v>610</v>
      </c>
      <c r="AL15" s="21" t="s">
        <v>611</v>
      </c>
      <c r="AM15" s="21" t="s">
        <v>612</v>
      </c>
      <c r="AN15" s="21" t="s">
        <v>56</v>
      </c>
      <c r="AO15" s="21" t="s">
        <v>613</v>
      </c>
      <c r="AP15" s="21" t="s">
        <v>614</v>
      </c>
      <c r="AQ15" s="21" t="s">
        <v>615</v>
      </c>
      <c r="AR15" s="21" t="s">
        <v>616</v>
      </c>
      <c r="AS15" s="21" t="s">
        <v>617</v>
      </c>
      <c r="AT15" s="21" t="s">
        <v>618</v>
      </c>
      <c r="AU15" s="21" t="s">
        <v>619</v>
      </c>
      <c r="AV15" s="21" t="s">
        <v>622</v>
      </c>
      <c r="AW15" s="21" t="s">
        <v>620</v>
      </c>
      <c r="AX15" s="21" t="s">
        <v>621</v>
      </c>
      <c r="AY15" s="21" t="s">
        <v>630</v>
      </c>
      <c r="AZ15" s="21" t="s">
        <v>624</v>
      </c>
      <c r="BA15" s="21" t="s">
        <v>625</v>
      </c>
      <c r="BB15" s="21" t="s">
        <v>626</v>
      </c>
      <c r="BC15" s="21" t="s">
        <v>581</v>
      </c>
      <c r="BD15" s="21" t="s">
        <v>583</v>
      </c>
      <c r="BE15" s="21" t="s">
        <v>582</v>
      </c>
      <c r="BF15" s="21" t="s">
        <v>629</v>
      </c>
      <c r="BG15" s="21" t="s">
        <v>627</v>
      </c>
      <c r="BH15" s="21" t="s">
        <v>628</v>
      </c>
      <c r="BI15" s="21" t="s">
        <v>165</v>
      </c>
      <c r="BJ15" s="21" t="s">
        <v>166</v>
      </c>
      <c r="BK15" s="13" t="s">
        <v>174</v>
      </c>
    </row>
    <row r="16" spans="1:63" x14ac:dyDescent="0.3">
      <c r="A16" t="s">
        <v>636</v>
      </c>
      <c r="B16" s="13" t="s">
        <v>119</v>
      </c>
      <c r="C16" s="21" t="s">
        <v>144</v>
      </c>
      <c r="D16" s="13" t="s">
        <v>119</v>
      </c>
      <c r="I16" t="s">
        <v>121</v>
      </c>
      <c r="K16" s="21" t="s">
        <v>655</v>
      </c>
      <c r="M16" s="13" t="s">
        <v>126</v>
      </c>
      <c r="N16" t="s">
        <v>112</v>
      </c>
      <c r="O16" t="s">
        <v>118</v>
      </c>
      <c r="S16" t="s">
        <v>160</v>
      </c>
      <c r="T16" s="21" t="s">
        <v>462</v>
      </c>
      <c r="U16" t="s">
        <v>56</v>
      </c>
      <c r="V16" t="s">
        <v>161</v>
      </c>
      <c r="W16" t="s">
        <v>162</v>
      </c>
      <c r="X16" s="21" t="s">
        <v>463</v>
      </c>
      <c r="Y16" t="s">
        <v>163</v>
      </c>
      <c r="AA16" t="s">
        <v>164</v>
      </c>
      <c r="AB16" s="21" t="s">
        <v>464</v>
      </c>
      <c r="AC16" s="21" t="s">
        <v>363</v>
      </c>
      <c r="AD16" s="21" t="s">
        <v>603</v>
      </c>
      <c r="AE16" s="21" t="s">
        <v>604</v>
      </c>
      <c r="AF16" s="21" t="s">
        <v>605</v>
      </c>
      <c r="AG16" s="21" t="s">
        <v>606</v>
      </c>
      <c r="AH16" s="21" t="s">
        <v>607</v>
      </c>
      <c r="AI16" s="21" t="s">
        <v>608</v>
      </c>
      <c r="AJ16" s="21" t="s">
        <v>609</v>
      </c>
      <c r="AK16" s="21" t="s">
        <v>610</v>
      </c>
      <c r="AL16" s="21" t="s">
        <v>611</v>
      </c>
      <c r="AM16" s="21" t="s">
        <v>612</v>
      </c>
      <c r="AN16" s="21" t="s">
        <v>56</v>
      </c>
      <c r="AO16" s="21" t="s">
        <v>613</v>
      </c>
      <c r="AP16" s="21" t="s">
        <v>614</v>
      </c>
      <c r="AQ16" s="21" t="s">
        <v>615</v>
      </c>
      <c r="AR16" s="21" t="s">
        <v>616</v>
      </c>
      <c r="AS16" s="21" t="s">
        <v>617</v>
      </c>
      <c r="AT16" s="21" t="s">
        <v>618</v>
      </c>
      <c r="AU16" s="21" t="s">
        <v>619</v>
      </c>
      <c r="AV16" s="21" t="s">
        <v>622</v>
      </c>
      <c r="AW16" s="21" t="s">
        <v>620</v>
      </c>
      <c r="AX16" s="21" t="s">
        <v>621</v>
      </c>
      <c r="AY16" s="21" t="s">
        <v>630</v>
      </c>
      <c r="AZ16" s="21" t="s">
        <v>624</v>
      </c>
      <c r="BA16" s="21" t="s">
        <v>625</v>
      </c>
      <c r="BB16" s="21" t="s">
        <v>626</v>
      </c>
      <c r="BC16" s="21" t="s">
        <v>581</v>
      </c>
      <c r="BD16" s="21" t="s">
        <v>583</v>
      </c>
      <c r="BE16" s="21" t="s">
        <v>582</v>
      </c>
      <c r="BF16" s="21" t="s">
        <v>629</v>
      </c>
      <c r="BG16" s="21" t="s">
        <v>627</v>
      </c>
      <c r="BH16" s="21" t="s">
        <v>628</v>
      </c>
      <c r="BI16" t="s">
        <v>165</v>
      </c>
      <c r="BJ16" t="s">
        <v>166</v>
      </c>
      <c r="BK16" s="13" t="s">
        <v>174</v>
      </c>
    </row>
    <row r="17" spans="1:63" x14ac:dyDescent="0.3">
      <c r="A17" t="s">
        <v>637</v>
      </c>
      <c r="B17" s="13" t="s">
        <v>119</v>
      </c>
      <c r="C17" s="21" t="s">
        <v>144</v>
      </c>
      <c r="D17" s="13" t="s">
        <v>119</v>
      </c>
      <c r="I17" t="s">
        <v>121</v>
      </c>
      <c r="K17" s="21" t="s">
        <v>655</v>
      </c>
      <c r="M17" s="13" t="s">
        <v>126</v>
      </c>
      <c r="N17" t="s">
        <v>112</v>
      </c>
      <c r="O17" t="s">
        <v>118</v>
      </c>
      <c r="S17" t="s">
        <v>160</v>
      </c>
      <c r="T17" s="21" t="s">
        <v>462</v>
      </c>
      <c r="U17" t="s">
        <v>56</v>
      </c>
      <c r="V17" t="s">
        <v>161</v>
      </c>
      <c r="W17" t="s">
        <v>162</v>
      </c>
      <c r="X17" s="21" t="s">
        <v>463</v>
      </c>
      <c r="Y17" t="s">
        <v>163</v>
      </c>
      <c r="AA17" t="s">
        <v>164</v>
      </c>
      <c r="AB17" s="21" t="s">
        <v>464</v>
      </c>
      <c r="AC17" s="21" t="s">
        <v>363</v>
      </c>
      <c r="AD17" s="21" t="s">
        <v>603</v>
      </c>
      <c r="AE17" s="21" t="s">
        <v>604</v>
      </c>
      <c r="AF17" s="21" t="s">
        <v>605</v>
      </c>
      <c r="AG17" s="21" t="s">
        <v>606</v>
      </c>
      <c r="AH17" s="21" t="s">
        <v>607</v>
      </c>
      <c r="AI17" s="21" t="s">
        <v>608</v>
      </c>
      <c r="AJ17" s="21" t="s">
        <v>609</v>
      </c>
      <c r="AK17" s="21" t="s">
        <v>610</v>
      </c>
      <c r="AL17" s="21" t="s">
        <v>611</v>
      </c>
      <c r="AM17" s="21" t="s">
        <v>612</v>
      </c>
      <c r="AN17" s="21" t="s">
        <v>56</v>
      </c>
      <c r="AO17" s="21" t="s">
        <v>613</v>
      </c>
      <c r="AP17" s="21" t="s">
        <v>614</v>
      </c>
      <c r="AQ17" s="21" t="s">
        <v>615</v>
      </c>
      <c r="AR17" s="21" t="s">
        <v>616</v>
      </c>
      <c r="AS17" s="21" t="s">
        <v>617</v>
      </c>
      <c r="AT17" s="21" t="s">
        <v>618</v>
      </c>
      <c r="AU17" s="21" t="s">
        <v>619</v>
      </c>
      <c r="AV17" s="21" t="s">
        <v>622</v>
      </c>
      <c r="AW17" s="21" t="s">
        <v>620</v>
      </c>
      <c r="AX17" s="21" t="s">
        <v>621</v>
      </c>
      <c r="AY17" s="21" t="s">
        <v>630</v>
      </c>
      <c r="AZ17" s="21" t="s">
        <v>624</v>
      </c>
      <c r="BA17" s="21" t="s">
        <v>625</v>
      </c>
      <c r="BB17" s="21" t="s">
        <v>626</v>
      </c>
      <c r="BC17" s="21" t="s">
        <v>581</v>
      </c>
      <c r="BD17" s="21" t="s">
        <v>583</v>
      </c>
      <c r="BE17" s="21" t="s">
        <v>582</v>
      </c>
      <c r="BF17" s="21" t="s">
        <v>629</v>
      </c>
      <c r="BG17" s="21" t="s">
        <v>627</v>
      </c>
      <c r="BH17" s="21" t="s">
        <v>628</v>
      </c>
      <c r="BI17" t="s">
        <v>165</v>
      </c>
      <c r="BJ17" t="s">
        <v>166</v>
      </c>
      <c r="BK17" s="13" t="s">
        <v>174</v>
      </c>
    </row>
    <row r="18" spans="1:63" x14ac:dyDescent="0.3">
      <c r="A18" t="s">
        <v>638</v>
      </c>
      <c r="B18" s="13" t="s">
        <v>119</v>
      </c>
      <c r="C18" s="21" t="s">
        <v>144</v>
      </c>
      <c r="D18" s="13" t="s">
        <v>119</v>
      </c>
      <c r="I18" t="s">
        <v>121</v>
      </c>
      <c r="K18" s="21" t="s">
        <v>655</v>
      </c>
      <c r="M18" s="13" t="s">
        <v>126</v>
      </c>
      <c r="N18" t="s">
        <v>112</v>
      </c>
      <c r="O18" t="s">
        <v>118</v>
      </c>
      <c r="S18" t="s">
        <v>160</v>
      </c>
      <c r="T18" s="21" t="s">
        <v>462</v>
      </c>
      <c r="U18" t="s">
        <v>56</v>
      </c>
      <c r="V18" t="s">
        <v>161</v>
      </c>
      <c r="W18" t="s">
        <v>162</v>
      </c>
      <c r="X18" s="21" t="s">
        <v>463</v>
      </c>
      <c r="Y18" t="s">
        <v>163</v>
      </c>
      <c r="AA18" t="s">
        <v>164</v>
      </c>
      <c r="AB18" s="21" t="s">
        <v>464</v>
      </c>
      <c r="AC18" s="21" t="s">
        <v>363</v>
      </c>
      <c r="AD18" s="21" t="s">
        <v>603</v>
      </c>
      <c r="AE18" s="21" t="s">
        <v>604</v>
      </c>
      <c r="AF18" s="21" t="s">
        <v>605</v>
      </c>
      <c r="AG18" s="21" t="s">
        <v>606</v>
      </c>
      <c r="AH18" s="21" t="s">
        <v>607</v>
      </c>
      <c r="AI18" s="21" t="s">
        <v>608</v>
      </c>
      <c r="AJ18" s="21" t="s">
        <v>609</v>
      </c>
      <c r="AK18" s="21" t="s">
        <v>610</v>
      </c>
      <c r="AL18" s="21" t="s">
        <v>611</v>
      </c>
      <c r="AM18" s="21" t="s">
        <v>612</v>
      </c>
      <c r="AN18" s="21" t="s">
        <v>56</v>
      </c>
      <c r="AO18" s="21" t="s">
        <v>613</v>
      </c>
      <c r="AP18" s="21" t="s">
        <v>614</v>
      </c>
      <c r="AQ18" s="21" t="s">
        <v>615</v>
      </c>
      <c r="AR18" s="21" t="s">
        <v>616</v>
      </c>
      <c r="AS18" s="21" t="s">
        <v>617</v>
      </c>
      <c r="AT18" s="21" t="s">
        <v>618</v>
      </c>
      <c r="AU18" s="21" t="s">
        <v>619</v>
      </c>
      <c r="AV18" s="21" t="s">
        <v>622</v>
      </c>
      <c r="AW18" s="21" t="s">
        <v>620</v>
      </c>
      <c r="AX18" s="21" t="s">
        <v>621</v>
      </c>
      <c r="AY18" s="21" t="s">
        <v>630</v>
      </c>
      <c r="AZ18" s="21" t="s">
        <v>624</v>
      </c>
      <c r="BA18" s="21" t="s">
        <v>625</v>
      </c>
      <c r="BB18" s="21" t="s">
        <v>626</v>
      </c>
      <c r="BC18" s="21" t="s">
        <v>581</v>
      </c>
      <c r="BD18" s="21" t="s">
        <v>583</v>
      </c>
      <c r="BE18" s="21" t="s">
        <v>582</v>
      </c>
      <c r="BF18" s="21" t="s">
        <v>629</v>
      </c>
      <c r="BG18" s="21" t="s">
        <v>627</v>
      </c>
      <c r="BH18" s="21" t="s">
        <v>628</v>
      </c>
      <c r="BI18" t="s">
        <v>165</v>
      </c>
      <c r="BJ18" t="s">
        <v>166</v>
      </c>
      <c r="BK18" s="13" t="s">
        <v>174</v>
      </c>
    </row>
    <row r="19" spans="1:63" s="21" customFormat="1" x14ac:dyDescent="0.3">
      <c r="A19" s="21" t="s">
        <v>674</v>
      </c>
      <c r="B19" s="13" t="s">
        <v>199</v>
      </c>
      <c r="C19" s="21" t="s">
        <v>144</v>
      </c>
      <c r="D19" s="13" t="s">
        <v>199</v>
      </c>
      <c r="E19" s="21" t="s">
        <v>198</v>
      </c>
      <c r="F19" s="21" t="s">
        <v>97</v>
      </c>
      <c r="G19" s="21" t="s">
        <v>100</v>
      </c>
      <c r="J19" s="21" t="s">
        <v>197</v>
      </c>
      <c r="L19" s="21" t="s">
        <v>103</v>
      </c>
      <c r="M19" s="13" t="s">
        <v>200</v>
      </c>
      <c r="N19" s="21" t="s">
        <v>112</v>
      </c>
      <c r="O19" s="21" t="s">
        <v>118</v>
      </c>
      <c r="P19" s="21" t="s">
        <v>465</v>
      </c>
      <c r="Q19" s="21" t="s">
        <v>465</v>
      </c>
      <c r="R19" s="21" t="s">
        <v>153</v>
      </c>
      <c r="S19" s="21" t="s">
        <v>160</v>
      </c>
      <c r="T19" s="21" t="s">
        <v>462</v>
      </c>
      <c r="U19" s="21" t="s">
        <v>56</v>
      </c>
      <c r="V19" s="21" t="s">
        <v>161</v>
      </c>
      <c r="W19" s="21" t="s">
        <v>162</v>
      </c>
      <c r="X19" s="21" t="s">
        <v>463</v>
      </c>
      <c r="Y19" s="21" t="s">
        <v>163</v>
      </c>
      <c r="AA19" s="21" t="s">
        <v>164</v>
      </c>
      <c r="AB19" s="21" t="s">
        <v>464</v>
      </c>
      <c r="AC19" s="21" t="s">
        <v>363</v>
      </c>
      <c r="AD19" s="21" t="s">
        <v>603</v>
      </c>
      <c r="AE19" s="21" t="s">
        <v>604</v>
      </c>
      <c r="AF19" s="21" t="s">
        <v>605</v>
      </c>
      <c r="AG19" s="21" t="s">
        <v>606</v>
      </c>
      <c r="AH19" s="21" t="s">
        <v>607</v>
      </c>
      <c r="AI19" s="21" t="s">
        <v>608</v>
      </c>
      <c r="AJ19" s="21" t="s">
        <v>609</v>
      </c>
      <c r="AK19" s="21" t="s">
        <v>610</v>
      </c>
      <c r="AL19" s="21" t="s">
        <v>611</v>
      </c>
      <c r="AM19" s="21" t="s">
        <v>612</v>
      </c>
      <c r="AN19" s="21" t="s">
        <v>56</v>
      </c>
      <c r="AO19" s="21" t="s">
        <v>613</v>
      </c>
      <c r="AP19" s="21" t="s">
        <v>614</v>
      </c>
      <c r="AQ19" s="21" t="s">
        <v>615</v>
      </c>
      <c r="AR19" s="21" t="s">
        <v>616</v>
      </c>
      <c r="AS19" s="21" t="s">
        <v>617</v>
      </c>
      <c r="AT19" s="21" t="s">
        <v>618</v>
      </c>
      <c r="AU19" s="21" t="s">
        <v>619</v>
      </c>
      <c r="AV19" s="21" t="s">
        <v>622</v>
      </c>
      <c r="AW19" s="21" t="s">
        <v>620</v>
      </c>
      <c r="AX19" s="21" t="s">
        <v>621</v>
      </c>
      <c r="AY19" s="21" t="s">
        <v>630</v>
      </c>
      <c r="AZ19" s="21" t="s">
        <v>624</v>
      </c>
      <c r="BA19" s="21" t="s">
        <v>625</v>
      </c>
      <c r="BB19" s="21" t="s">
        <v>626</v>
      </c>
      <c r="BC19" s="21" t="s">
        <v>581</v>
      </c>
      <c r="BD19" s="21" t="s">
        <v>583</v>
      </c>
      <c r="BE19" s="21" t="s">
        <v>582</v>
      </c>
      <c r="BF19" s="21" t="s">
        <v>629</v>
      </c>
      <c r="BG19" s="21" t="s">
        <v>627</v>
      </c>
      <c r="BH19" s="21" t="s">
        <v>628</v>
      </c>
      <c r="BI19" s="21" t="s">
        <v>165</v>
      </c>
      <c r="BJ19" s="21" t="s">
        <v>166</v>
      </c>
      <c r="BK19" s="13" t="s">
        <v>174</v>
      </c>
    </row>
    <row r="20" spans="1:63" x14ac:dyDescent="0.3">
      <c r="A20" t="s">
        <v>631</v>
      </c>
      <c r="B20" s="13" t="s">
        <v>199</v>
      </c>
      <c r="C20" s="21" t="s">
        <v>144</v>
      </c>
      <c r="D20" s="13" t="s">
        <v>199</v>
      </c>
      <c r="E20" s="21" t="s">
        <v>198</v>
      </c>
      <c r="F20" t="s">
        <v>97</v>
      </c>
      <c r="G20" t="s">
        <v>100</v>
      </c>
      <c r="J20" t="s">
        <v>197</v>
      </c>
      <c r="L20" s="21" t="s">
        <v>103</v>
      </c>
      <c r="M20" s="13" t="s">
        <v>200</v>
      </c>
      <c r="N20" t="s">
        <v>112</v>
      </c>
      <c r="O20" t="s">
        <v>118</v>
      </c>
      <c r="P20" t="s">
        <v>465</v>
      </c>
      <c r="Q20" s="21" t="s">
        <v>465</v>
      </c>
      <c r="R20" t="s">
        <v>153</v>
      </c>
      <c r="S20" t="s">
        <v>160</v>
      </c>
      <c r="T20" s="21" t="s">
        <v>462</v>
      </c>
      <c r="U20" t="s">
        <v>56</v>
      </c>
      <c r="V20" t="s">
        <v>161</v>
      </c>
      <c r="W20" t="s">
        <v>162</v>
      </c>
      <c r="X20" s="21" t="s">
        <v>463</v>
      </c>
      <c r="Y20" t="s">
        <v>163</v>
      </c>
      <c r="AA20" t="s">
        <v>164</v>
      </c>
      <c r="AB20" s="21" t="s">
        <v>464</v>
      </c>
      <c r="AC20" s="21" t="s">
        <v>363</v>
      </c>
      <c r="AD20" s="21" t="s">
        <v>603</v>
      </c>
      <c r="AE20" s="21" t="s">
        <v>604</v>
      </c>
      <c r="AF20" s="21" t="s">
        <v>605</v>
      </c>
      <c r="AG20" s="21" t="s">
        <v>606</v>
      </c>
      <c r="AH20" s="21" t="s">
        <v>607</v>
      </c>
      <c r="AI20" s="21" t="s">
        <v>608</v>
      </c>
      <c r="AJ20" s="21" t="s">
        <v>609</v>
      </c>
      <c r="AK20" s="21" t="s">
        <v>610</v>
      </c>
      <c r="AL20" s="21" t="s">
        <v>611</v>
      </c>
      <c r="AM20" s="21" t="s">
        <v>612</v>
      </c>
      <c r="AN20" s="21" t="s">
        <v>56</v>
      </c>
      <c r="AO20" s="21" t="s">
        <v>613</v>
      </c>
      <c r="AP20" s="21" t="s">
        <v>614</v>
      </c>
      <c r="AQ20" s="21" t="s">
        <v>615</v>
      </c>
      <c r="AR20" s="21" t="s">
        <v>616</v>
      </c>
      <c r="AS20" s="21" t="s">
        <v>617</v>
      </c>
      <c r="AT20" s="21" t="s">
        <v>618</v>
      </c>
      <c r="AU20" s="21" t="s">
        <v>619</v>
      </c>
      <c r="AV20" s="21" t="s">
        <v>622</v>
      </c>
      <c r="AW20" s="21" t="s">
        <v>620</v>
      </c>
      <c r="AX20" s="21" t="s">
        <v>621</v>
      </c>
      <c r="AY20" s="21" t="s">
        <v>630</v>
      </c>
      <c r="AZ20" s="21" t="s">
        <v>624</v>
      </c>
      <c r="BA20" s="21" t="s">
        <v>625</v>
      </c>
      <c r="BB20" s="21" t="s">
        <v>626</v>
      </c>
      <c r="BC20" s="21" t="s">
        <v>581</v>
      </c>
      <c r="BD20" s="21" t="s">
        <v>583</v>
      </c>
      <c r="BE20" s="21" t="s">
        <v>582</v>
      </c>
      <c r="BF20" s="21" t="s">
        <v>629</v>
      </c>
      <c r="BG20" s="21" t="s">
        <v>627</v>
      </c>
      <c r="BH20" s="21" t="s">
        <v>628</v>
      </c>
      <c r="BI20" t="s">
        <v>165</v>
      </c>
      <c r="BJ20" t="s">
        <v>166</v>
      </c>
      <c r="BK20" s="13" t="s">
        <v>174</v>
      </c>
    </row>
    <row r="21" spans="1:63" x14ac:dyDescent="0.3">
      <c r="A21" t="s">
        <v>712</v>
      </c>
      <c r="B21" s="13" t="s">
        <v>119</v>
      </c>
      <c r="C21" s="21" t="s">
        <v>144</v>
      </c>
      <c r="D21" s="13" t="s">
        <v>119</v>
      </c>
      <c r="I21" t="s">
        <v>121</v>
      </c>
      <c r="K21" t="s">
        <v>102</v>
      </c>
      <c r="M21" s="13" t="s">
        <v>126</v>
      </c>
      <c r="N21" t="s">
        <v>112</v>
      </c>
      <c r="O21" t="s">
        <v>118</v>
      </c>
      <c r="S21" t="s">
        <v>160</v>
      </c>
      <c r="T21" s="21" t="s">
        <v>462</v>
      </c>
      <c r="U21" t="s">
        <v>56</v>
      </c>
      <c r="V21" t="s">
        <v>161</v>
      </c>
      <c r="W21" t="s">
        <v>162</v>
      </c>
      <c r="X21" s="21" t="s">
        <v>463</v>
      </c>
      <c r="Y21" t="s">
        <v>163</v>
      </c>
      <c r="AA21" t="s">
        <v>164</v>
      </c>
      <c r="AB21" s="21" t="s">
        <v>464</v>
      </c>
      <c r="AC21" s="21" t="s">
        <v>363</v>
      </c>
      <c r="AD21" s="21" t="s">
        <v>603</v>
      </c>
      <c r="AE21" s="21" t="s">
        <v>604</v>
      </c>
      <c r="AF21" s="21" t="s">
        <v>605</v>
      </c>
      <c r="AG21" s="21" t="s">
        <v>606</v>
      </c>
      <c r="AH21" s="21" t="s">
        <v>607</v>
      </c>
      <c r="AI21" s="21" t="s">
        <v>608</v>
      </c>
      <c r="AJ21" s="21" t="s">
        <v>609</v>
      </c>
      <c r="AK21" s="21" t="s">
        <v>610</v>
      </c>
      <c r="AL21" s="21" t="s">
        <v>611</v>
      </c>
      <c r="AM21" s="21" t="s">
        <v>612</v>
      </c>
      <c r="AN21" s="21" t="s">
        <v>56</v>
      </c>
      <c r="AO21" s="21" t="s">
        <v>613</v>
      </c>
      <c r="AP21" s="21" t="s">
        <v>614</v>
      </c>
      <c r="AQ21" s="21" t="s">
        <v>615</v>
      </c>
      <c r="AR21" s="21" t="s">
        <v>616</v>
      </c>
      <c r="AS21" s="21" t="s">
        <v>617</v>
      </c>
      <c r="AT21" s="21" t="s">
        <v>618</v>
      </c>
      <c r="AU21" s="21" t="s">
        <v>619</v>
      </c>
      <c r="AV21" s="21" t="s">
        <v>622</v>
      </c>
      <c r="AW21" s="21" t="s">
        <v>620</v>
      </c>
      <c r="AX21" s="21" t="s">
        <v>621</v>
      </c>
      <c r="AY21" s="21" t="s">
        <v>630</v>
      </c>
      <c r="AZ21" s="21" t="s">
        <v>624</v>
      </c>
      <c r="BA21" s="21" t="s">
        <v>625</v>
      </c>
      <c r="BB21" s="21" t="s">
        <v>626</v>
      </c>
      <c r="BC21" s="21" t="s">
        <v>581</v>
      </c>
      <c r="BD21" s="21" t="s">
        <v>583</v>
      </c>
      <c r="BE21" s="21" t="s">
        <v>582</v>
      </c>
      <c r="BF21" s="21" t="s">
        <v>629</v>
      </c>
      <c r="BG21" s="21" t="s">
        <v>627</v>
      </c>
      <c r="BH21" s="21" t="s">
        <v>628</v>
      </c>
      <c r="BI21" t="s">
        <v>165</v>
      </c>
      <c r="BJ21" t="s">
        <v>166</v>
      </c>
      <c r="BK21" s="13" t="s">
        <v>174</v>
      </c>
    </row>
    <row r="22" spans="1:63" x14ac:dyDescent="0.3">
      <c r="A22" t="s">
        <v>713</v>
      </c>
      <c r="B22" s="13" t="s">
        <v>119</v>
      </c>
      <c r="C22" s="21" t="s">
        <v>144</v>
      </c>
      <c r="D22" s="13" t="s">
        <v>119</v>
      </c>
      <c r="I22" t="s">
        <v>121</v>
      </c>
      <c r="K22" t="s">
        <v>102</v>
      </c>
      <c r="M22" s="13" t="s">
        <v>126</v>
      </c>
      <c r="N22" t="s">
        <v>112</v>
      </c>
      <c r="O22" t="s">
        <v>118</v>
      </c>
      <c r="S22" t="s">
        <v>160</v>
      </c>
      <c r="T22" s="21" t="s">
        <v>462</v>
      </c>
      <c r="U22" t="s">
        <v>56</v>
      </c>
      <c r="V22" t="s">
        <v>161</v>
      </c>
      <c r="W22" t="s">
        <v>162</v>
      </c>
      <c r="X22" s="21" t="s">
        <v>463</v>
      </c>
      <c r="Y22" t="s">
        <v>163</v>
      </c>
      <c r="AA22" t="s">
        <v>164</v>
      </c>
      <c r="AB22" s="21" t="s">
        <v>464</v>
      </c>
      <c r="AC22" s="21" t="s">
        <v>363</v>
      </c>
      <c r="AD22" s="21" t="s">
        <v>603</v>
      </c>
      <c r="AE22" s="21" t="s">
        <v>604</v>
      </c>
      <c r="AF22" s="21" t="s">
        <v>605</v>
      </c>
      <c r="AG22" s="21" t="s">
        <v>606</v>
      </c>
      <c r="AH22" s="21" t="s">
        <v>607</v>
      </c>
      <c r="AI22" s="21" t="s">
        <v>608</v>
      </c>
      <c r="AJ22" s="21" t="s">
        <v>609</v>
      </c>
      <c r="AK22" s="21" t="s">
        <v>610</v>
      </c>
      <c r="AL22" s="21" t="s">
        <v>611</v>
      </c>
      <c r="AM22" s="21" t="s">
        <v>612</v>
      </c>
      <c r="AN22" s="21" t="s">
        <v>56</v>
      </c>
      <c r="AO22" s="21" t="s">
        <v>613</v>
      </c>
      <c r="AP22" s="21" t="s">
        <v>614</v>
      </c>
      <c r="AQ22" s="21" t="s">
        <v>615</v>
      </c>
      <c r="AR22" s="21" t="s">
        <v>616</v>
      </c>
      <c r="AS22" s="21" t="s">
        <v>617</v>
      </c>
      <c r="AT22" s="21" t="s">
        <v>618</v>
      </c>
      <c r="AU22" s="21" t="s">
        <v>619</v>
      </c>
      <c r="AV22" s="21" t="s">
        <v>622</v>
      </c>
      <c r="AW22" s="21" t="s">
        <v>620</v>
      </c>
      <c r="AX22" s="21" t="s">
        <v>621</v>
      </c>
      <c r="AY22" s="21" t="s">
        <v>630</v>
      </c>
      <c r="AZ22" s="21" t="s">
        <v>624</v>
      </c>
      <c r="BA22" s="21" t="s">
        <v>625</v>
      </c>
      <c r="BB22" s="21" t="s">
        <v>626</v>
      </c>
      <c r="BC22" s="21" t="s">
        <v>581</v>
      </c>
      <c r="BD22" s="21" t="s">
        <v>583</v>
      </c>
      <c r="BE22" s="21" t="s">
        <v>582</v>
      </c>
      <c r="BF22" s="21" t="s">
        <v>629</v>
      </c>
      <c r="BG22" s="21" t="s">
        <v>627</v>
      </c>
      <c r="BH22" s="21" t="s">
        <v>628</v>
      </c>
      <c r="BI22" t="s">
        <v>165</v>
      </c>
      <c r="BJ22" t="s">
        <v>166</v>
      </c>
      <c r="BK22" s="13" t="s">
        <v>174</v>
      </c>
    </row>
    <row r="23" spans="1:63" x14ac:dyDescent="0.3">
      <c r="A23" t="s">
        <v>714</v>
      </c>
      <c r="B23" s="13" t="s">
        <v>119</v>
      </c>
      <c r="C23" s="21" t="s">
        <v>144</v>
      </c>
      <c r="D23" s="13" t="s">
        <v>119</v>
      </c>
      <c r="I23" t="s">
        <v>121</v>
      </c>
      <c r="K23" t="s">
        <v>102</v>
      </c>
      <c r="M23" s="13" t="s">
        <v>126</v>
      </c>
      <c r="N23" t="s">
        <v>112</v>
      </c>
      <c r="O23" t="s">
        <v>118</v>
      </c>
      <c r="S23" t="s">
        <v>160</v>
      </c>
      <c r="T23" s="21" t="s">
        <v>462</v>
      </c>
      <c r="U23" t="s">
        <v>56</v>
      </c>
      <c r="V23" t="s">
        <v>161</v>
      </c>
      <c r="W23" t="s">
        <v>162</v>
      </c>
      <c r="X23" s="21" t="s">
        <v>463</v>
      </c>
      <c r="Y23" t="s">
        <v>163</v>
      </c>
      <c r="AA23" t="s">
        <v>164</v>
      </c>
      <c r="AB23" s="21" t="s">
        <v>464</v>
      </c>
      <c r="AC23" s="21" t="s">
        <v>363</v>
      </c>
      <c r="AD23" s="21" t="s">
        <v>603</v>
      </c>
      <c r="AE23" s="21" t="s">
        <v>604</v>
      </c>
      <c r="AF23" s="21" t="s">
        <v>605</v>
      </c>
      <c r="AG23" s="21" t="s">
        <v>606</v>
      </c>
      <c r="AH23" s="21" t="s">
        <v>607</v>
      </c>
      <c r="AI23" s="21" t="s">
        <v>608</v>
      </c>
      <c r="AJ23" s="21" t="s">
        <v>609</v>
      </c>
      <c r="AK23" s="21" t="s">
        <v>610</v>
      </c>
      <c r="AL23" s="21" t="s">
        <v>611</v>
      </c>
      <c r="AM23" s="21" t="s">
        <v>612</v>
      </c>
      <c r="AN23" s="21" t="s">
        <v>56</v>
      </c>
      <c r="AO23" s="21" t="s">
        <v>613</v>
      </c>
      <c r="AP23" s="21" t="s">
        <v>614</v>
      </c>
      <c r="AQ23" s="21" t="s">
        <v>615</v>
      </c>
      <c r="AR23" s="21" t="s">
        <v>616</v>
      </c>
      <c r="AS23" s="21" t="s">
        <v>617</v>
      </c>
      <c r="AT23" s="21" t="s">
        <v>618</v>
      </c>
      <c r="AU23" s="21" t="s">
        <v>619</v>
      </c>
      <c r="AV23" s="21" t="s">
        <v>622</v>
      </c>
      <c r="AW23" s="21" t="s">
        <v>620</v>
      </c>
      <c r="AX23" s="21" t="s">
        <v>621</v>
      </c>
      <c r="AY23" s="21" t="s">
        <v>630</v>
      </c>
      <c r="AZ23" s="21" t="s">
        <v>624</v>
      </c>
      <c r="BA23" s="21" t="s">
        <v>625</v>
      </c>
      <c r="BB23" s="21" t="s">
        <v>626</v>
      </c>
      <c r="BC23" s="21" t="s">
        <v>581</v>
      </c>
      <c r="BD23" s="21" t="s">
        <v>583</v>
      </c>
      <c r="BE23" s="21" t="s">
        <v>582</v>
      </c>
      <c r="BF23" s="21" t="s">
        <v>629</v>
      </c>
      <c r="BG23" s="21" t="s">
        <v>627</v>
      </c>
      <c r="BH23" s="21" t="s">
        <v>628</v>
      </c>
      <c r="BI23" t="s">
        <v>165</v>
      </c>
      <c r="BJ23" t="s">
        <v>166</v>
      </c>
      <c r="BK23" s="13" t="s">
        <v>174</v>
      </c>
    </row>
    <row r="24" spans="1:63" x14ac:dyDescent="0.3">
      <c r="A24" t="s">
        <v>694</v>
      </c>
      <c r="B24" s="13" t="s">
        <v>119</v>
      </c>
      <c r="C24" s="21" t="s">
        <v>144</v>
      </c>
      <c r="D24" s="13" t="s">
        <v>119</v>
      </c>
      <c r="I24" t="s">
        <v>121</v>
      </c>
      <c r="K24" t="s">
        <v>102</v>
      </c>
      <c r="M24" s="13" t="s">
        <v>126</v>
      </c>
      <c r="N24" t="s">
        <v>112</v>
      </c>
      <c r="O24" t="s">
        <v>118</v>
      </c>
      <c r="S24" t="s">
        <v>160</v>
      </c>
      <c r="T24" s="21" t="s">
        <v>462</v>
      </c>
      <c r="U24" t="s">
        <v>56</v>
      </c>
      <c r="V24" t="s">
        <v>161</v>
      </c>
      <c r="W24" t="s">
        <v>162</v>
      </c>
      <c r="X24" s="21" t="s">
        <v>463</v>
      </c>
      <c r="Y24" t="s">
        <v>163</v>
      </c>
      <c r="AA24" t="s">
        <v>164</v>
      </c>
      <c r="AB24" s="21" t="s">
        <v>464</v>
      </c>
      <c r="AC24" s="21" t="s">
        <v>363</v>
      </c>
      <c r="AD24" s="21" t="s">
        <v>603</v>
      </c>
      <c r="AE24" s="21" t="s">
        <v>604</v>
      </c>
      <c r="AF24" s="21" t="s">
        <v>605</v>
      </c>
      <c r="AG24" s="21" t="s">
        <v>606</v>
      </c>
      <c r="AH24" s="21" t="s">
        <v>607</v>
      </c>
      <c r="AI24" s="21" t="s">
        <v>608</v>
      </c>
      <c r="AJ24" s="21" t="s">
        <v>609</v>
      </c>
      <c r="AK24" s="21" t="s">
        <v>610</v>
      </c>
      <c r="AL24" s="21" t="s">
        <v>611</v>
      </c>
      <c r="AM24" s="21" t="s">
        <v>612</v>
      </c>
      <c r="AN24" s="21" t="s">
        <v>56</v>
      </c>
      <c r="AO24" s="21" t="s">
        <v>613</v>
      </c>
      <c r="AP24" s="21" t="s">
        <v>614</v>
      </c>
      <c r="AQ24" s="21" t="s">
        <v>615</v>
      </c>
      <c r="AR24" s="21" t="s">
        <v>616</v>
      </c>
      <c r="AS24" s="21" t="s">
        <v>617</v>
      </c>
      <c r="AT24" s="21" t="s">
        <v>618</v>
      </c>
      <c r="AU24" s="21" t="s">
        <v>619</v>
      </c>
      <c r="AV24" s="21" t="s">
        <v>622</v>
      </c>
      <c r="AW24" s="21" t="s">
        <v>620</v>
      </c>
      <c r="AX24" s="21" t="s">
        <v>621</v>
      </c>
      <c r="AY24" s="21" t="s">
        <v>630</v>
      </c>
      <c r="AZ24" s="21" t="s">
        <v>624</v>
      </c>
      <c r="BA24" s="21" t="s">
        <v>625</v>
      </c>
      <c r="BB24" s="21" t="s">
        <v>626</v>
      </c>
      <c r="BC24" s="21" t="s">
        <v>581</v>
      </c>
      <c r="BD24" s="21" t="s">
        <v>583</v>
      </c>
      <c r="BE24" s="21" t="s">
        <v>582</v>
      </c>
      <c r="BF24" s="21" t="s">
        <v>629</v>
      </c>
      <c r="BG24" s="21" t="s">
        <v>627</v>
      </c>
      <c r="BH24" s="21" t="s">
        <v>628</v>
      </c>
      <c r="BI24" t="s">
        <v>165</v>
      </c>
      <c r="BJ24" t="s">
        <v>166</v>
      </c>
      <c r="BK24" s="13" t="s">
        <v>174</v>
      </c>
    </row>
    <row r="25" spans="1:63" x14ac:dyDescent="0.3">
      <c r="A25" t="s">
        <v>695</v>
      </c>
      <c r="B25" s="13" t="s">
        <v>119</v>
      </c>
      <c r="C25" s="21" t="s">
        <v>144</v>
      </c>
      <c r="D25" s="13" t="s">
        <v>119</v>
      </c>
      <c r="I25" t="s">
        <v>121</v>
      </c>
      <c r="K25" t="s">
        <v>102</v>
      </c>
      <c r="M25" s="13" t="s">
        <v>126</v>
      </c>
      <c r="N25" t="s">
        <v>112</v>
      </c>
      <c r="O25" t="s">
        <v>118</v>
      </c>
      <c r="S25" t="s">
        <v>160</v>
      </c>
      <c r="T25" s="21" t="s">
        <v>462</v>
      </c>
      <c r="U25" t="s">
        <v>56</v>
      </c>
      <c r="V25" t="s">
        <v>161</v>
      </c>
      <c r="W25" t="s">
        <v>162</v>
      </c>
      <c r="X25" s="21" t="s">
        <v>463</v>
      </c>
      <c r="Y25" t="s">
        <v>163</v>
      </c>
      <c r="AA25" t="s">
        <v>164</v>
      </c>
      <c r="AB25" s="21" t="s">
        <v>464</v>
      </c>
      <c r="AC25" s="21" t="s">
        <v>363</v>
      </c>
      <c r="AD25" s="21" t="s">
        <v>603</v>
      </c>
      <c r="AE25" s="21" t="s">
        <v>604</v>
      </c>
      <c r="AF25" s="21" t="s">
        <v>605</v>
      </c>
      <c r="AG25" s="21" t="s">
        <v>606</v>
      </c>
      <c r="AH25" s="21" t="s">
        <v>607</v>
      </c>
      <c r="AI25" s="21" t="s">
        <v>608</v>
      </c>
      <c r="AJ25" s="21" t="s">
        <v>609</v>
      </c>
      <c r="AK25" s="21" t="s">
        <v>610</v>
      </c>
      <c r="AL25" s="21" t="s">
        <v>611</v>
      </c>
      <c r="AM25" s="21" t="s">
        <v>612</v>
      </c>
      <c r="AN25" s="21" t="s">
        <v>56</v>
      </c>
      <c r="AO25" s="21" t="s">
        <v>613</v>
      </c>
      <c r="AP25" s="21" t="s">
        <v>614</v>
      </c>
      <c r="AQ25" s="21" t="s">
        <v>615</v>
      </c>
      <c r="AR25" s="21" t="s">
        <v>616</v>
      </c>
      <c r="AS25" s="21" t="s">
        <v>617</v>
      </c>
      <c r="AT25" s="21" t="s">
        <v>618</v>
      </c>
      <c r="AU25" s="21" t="s">
        <v>619</v>
      </c>
      <c r="AV25" s="21" t="s">
        <v>622</v>
      </c>
      <c r="AW25" s="21" t="s">
        <v>620</v>
      </c>
      <c r="AX25" s="21" t="s">
        <v>621</v>
      </c>
      <c r="AY25" s="21" t="s">
        <v>630</v>
      </c>
      <c r="AZ25" s="21" t="s">
        <v>624</v>
      </c>
      <c r="BA25" s="21" t="s">
        <v>625</v>
      </c>
      <c r="BB25" s="21" t="s">
        <v>626</v>
      </c>
      <c r="BC25" s="21" t="s">
        <v>581</v>
      </c>
      <c r="BD25" s="21" t="s">
        <v>583</v>
      </c>
      <c r="BE25" s="21" t="s">
        <v>582</v>
      </c>
      <c r="BF25" s="21" t="s">
        <v>629</v>
      </c>
      <c r="BG25" s="21" t="s">
        <v>627</v>
      </c>
      <c r="BH25" s="21" t="s">
        <v>628</v>
      </c>
      <c r="BI25" t="s">
        <v>165</v>
      </c>
      <c r="BJ25" t="s">
        <v>166</v>
      </c>
      <c r="BK25" s="13" t="s">
        <v>174</v>
      </c>
    </row>
    <row r="26" spans="1:63" x14ac:dyDescent="0.3">
      <c r="A26" t="s">
        <v>696</v>
      </c>
      <c r="B26" s="13" t="s">
        <v>119</v>
      </c>
      <c r="C26" s="21" t="s">
        <v>144</v>
      </c>
      <c r="D26" s="13" t="s">
        <v>119</v>
      </c>
      <c r="I26" t="s">
        <v>121</v>
      </c>
      <c r="K26" t="s">
        <v>102</v>
      </c>
      <c r="M26" s="13" t="s">
        <v>126</v>
      </c>
      <c r="N26" t="s">
        <v>112</v>
      </c>
      <c r="O26" t="s">
        <v>118</v>
      </c>
      <c r="S26" t="s">
        <v>160</v>
      </c>
      <c r="T26" s="21" t="s">
        <v>462</v>
      </c>
      <c r="U26" t="s">
        <v>56</v>
      </c>
      <c r="V26" t="s">
        <v>161</v>
      </c>
      <c r="W26" t="s">
        <v>162</v>
      </c>
      <c r="X26" s="21" t="s">
        <v>463</v>
      </c>
      <c r="Y26" t="s">
        <v>163</v>
      </c>
      <c r="AA26" t="s">
        <v>164</v>
      </c>
      <c r="AB26" s="21" t="s">
        <v>464</v>
      </c>
      <c r="AC26" s="21" t="s">
        <v>363</v>
      </c>
      <c r="AD26" s="21" t="s">
        <v>603</v>
      </c>
      <c r="AE26" s="21" t="s">
        <v>604</v>
      </c>
      <c r="AF26" s="21" t="s">
        <v>605</v>
      </c>
      <c r="AG26" s="21" t="s">
        <v>606</v>
      </c>
      <c r="AH26" s="21" t="s">
        <v>607</v>
      </c>
      <c r="AI26" s="21" t="s">
        <v>608</v>
      </c>
      <c r="AJ26" s="21" t="s">
        <v>609</v>
      </c>
      <c r="AK26" s="21" t="s">
        <v>610</v>
      </c>
      <c r="AL26" s="21" t="s">
        <v>611</v>
      </c>
      <c r="AM26" s="21" t="s">
        <v>612</v>
      </c>
      <c r="AN26" s="21" t="s">
        <v>56</v>
      </c>
      <c r="AO26" s="21" t="s">
        <v>613</v>
      </c>
      <c r="AP26" s="21" t="s">
        <v>614</v>
      </c>
      <c r="AQ26" s="21" t="s">
        <v>615</v>
      </c>
      <c r="AR26" s="21" t="s">
        <v>616</v>
      </c>
      <c r="AS26" s="21" t="s">
        <v>617</v>
      </c>
      <c r="AT26" s="21" t="s">
        <v>618</v>
      </c>
      <c r="AU26" s="21" t="s">
        <v>619</v>
      </c>
      <c r="AV26" s="21" t="s">
        <v>622</v>
      </c>
      <c r="AW26" s="21" t="s">
        <v>620</v>
      </c>
      <c r="AX26" s="21" t="s">
        <v>621</v>
      </c>
      <c r="AY26" s="21" t="s">
        <v>630</v>
      </c>
      <c r="AZ26" s="21" t="s">
        <v>624</v>
      </c>
      <c r="BA26" s="21" t="s">
        <v>625</v>
      </c>
      <c r="BB26" s="21" t="s">
        <v>626</v>
      </c>
      <c r="BC26" s="21" t="s">
        <v>581</v>
      </c>
      <c r="BD26" s="21" t="s">
        <v>583</v>
      </c>
      <c r="BE26" s="21" t="s">
        <v>582</v>
      </c>
      <c r="BF26" s="21" t="s">
        <v>629</v>
      </c>
      <c r="BG26" s="21" t="s">
        <v>627</v>
      </c>
      <c r="BH26" s="21" t="s">
        <v>628</v>
      </c>
      <c r="BI26" t="s">
        <v>165</v>
      </c>
      <c r="BJ26" t="s">
        <v>166</v>
      </c>
      <c r="BK26" s="13" t="s">
        <v>174</v>
      </c>
    </row>
    <row r="27" spans="1:63" x14ac:dyDescent="0.3">
      <c r="A27" t="s">
        <v>703</v>
      </c>
      <c r="B27" s="13" t="s">
        <v>119</v>
      </c>
      <c r="C27" s="21" t="s">
        <v>144</v>
      </c>
      <c r="D27" s="13" t="s">
        <v>119</v>
      </c>
      <c r="I27" t="s">
        <v>121</v>
      </c>
      <c r="K27" t="s">
        <v>102</v>
      </c>
      <c r="M27" s="13" t="s">
        <v>126</v>
      </c>
      <c r="N27" t="s">
        <v>112</v>
      </c>
      <c r="O27" t="s">
        <v>118</v>
      </c>
      <c r="S27" t="s">
        <v>160</v>
      </c>
      <c r="T27" s="21" t="s">
        <v>462</v>
      </c>
      <c r="U27" t="s">
        <v>56</v>
      </c>
      <c r="V27" t="s">
        <v>161</v>
      </c>
      <c r="W27" t="s">
        <v>162</v>
      </c>
      <c r="X27" s="21" t="s">
        <v>463</v>
      </c>
      <c r="Y27" t="s">
        <v>163</v>
      </c>
      <c r="AA27" t="s">
        <v>164</v>
      </c>
      <c r="AB27" s="21" t="s">
        <v>464</v>
      </c>
      <c r="AC27" s="21" t="s">
        <v>363</v>
      </c>
      <c r="AD27" s="21" t="s">
        <v>603</v>
      </c>
      <c r="AE27" s="21" t="s">
        <v>604</v>
      </c>
      <c r="AF27" s="21" t="s">
        <v>605</v>
      </c>
      <c r="AG27" s="21" t="s">
        <v>606</v>
      </c>
      <c r="AH27" s="21" t="s">
        <v>607</v>
      </c>
      <c r="AI27" s="21" t="s">
        <v>608</v>
      </c>
      <c r="AJ27" s="21" t="s">
        <v>609</v>
      </c>
      <c r="AK27" s="21" t="s">
        <v>610</v>
      </c>
      <c r="AL27" s="21" t="s">
        <v>611</v>
      </c>
      <c r="AM27" s="21" t="s">
        <v>612</v>
      </c>
      <c r="AN27" s="21" t="s">
        <v>56</v>
      </c>
      <c r="AO27" s="21" t="s">
        <v>613</v>
      </c>
      <c r="AP27" s="21" t="s">
        <v>614</v>
      </c>
      <c r="AQ27" s="21" t="s">
        <v>615</v>
      </c>
      <c r="AR27" s="21" t="s">
        <v>616</v>
      </c>
      <c r="AS27" s="21" t="s">
        <v>617</v>
      </c>
      <c r="AT27" s="21" t="s">
        <v>618</v>
      </c>
      <c r="AU27" s="21" t="s">
        <v>619</v>
      </c>
      <c r="AV27" s="21" t="s">
        <v>622</v>
      </c>
      <c r="AW27" s="21" t="s">
        <v>620</v>
      </c>
      <c r="AX27" s="21" t="s">
        <v>621</v>
      </c>
      <c r="AY27" s="21" t="s">
        <v>630</v>
      </c>
      <c r="AZ27" s="21" t="s">
        <v>624</v>
      </c>
      <c r="BA27" s="21" t="s">
        <v>625</v>
      </c>
      <c r="BB27" s="21" t="s">
        <v>626</v>
      </c>
      <c r="BC27" s="21" t="s">
        <v>581</v>
      </c>
      <c r="BD27" s="21" t="s">
        <v>583</v>
      </c>
      <c r="BE27" s="21" t="s">
        <v>582</v>
      </c>
      <c r="BF27" s="21" t="s">
        <v>629</v>
      </c>
      <c r="BG27" s="21" t="s">
        <v>627</v>
      </c>
      <c r="BH27" s="21" t="s">
        <v>628</v>
      </c>
      <c r="BI27" t="s">
        <v>165</v>
      </c>
      <c r="BJ27" t="s">
        <v>166</v>
      </c>
      <c r="BK27" s="13" t="s">
        <v>174</v>
      </c>
    </row>
    <row r="28" spans="1:63" x14ac:dyDescent="0.3">
      <c r="A28" t="s">
        <v>704</v>
      </c>
      <c r="B28" s="13" t="s">
        <v>119</v>
      </c>
      <c r="C28" s="21" t="s">
        <v>144</v>
      </c>
      <c r="D28" s="13" t="s">
        <v>119</v>
      </c>
      <c r="I28" t="s">
        <v>121</v>
      </c>
      <c r="K28" t="s">
        <v>102</v>
      </c>
      <c r="M28" s="13" t="s">
        <v>126</v>
      </c>
      <c r="N28" t="s">
        <v>112</v>
      </c>
      <c r="O28" t="s">
        <v>118</v>
      </c>
      <c r="S28" t="s">
        <v>160</v>
      </c>
      <c r="T28" s="21" t="s">
        <v>462</v>
      </c>
      <c r="U28" t="s">
        <v>56</v>
      </c>
      <c r="V28" t="s">
        <v>161</v>
      </c>
      <c r="W28" t="s">
        <v>162</v>
      </c>
      <c r="X28" s="21" t="s">
        <v>463</v>
      </c>
      <c r="Y28" t="s">
        <v>163</v>
      </c>
      <c r="AA28" t="s">
        <v>164</v>
      </c>
      <c r="AB28" s="21" t="s">
        <v>464</v>
      </c>
      <c r="AC28" s="21" t="s">
        <v>363</v>
      </c>
      <c r="AD28" s="21" t="s">
        <v>603</v>
      </c>
      <c r="AE28" s="21" t="s">
        <v>604</v>
      </c>
      <c r="AF28" s="21" t="s">
        <v>605</v>
      </c>
      <c r="AG28" s="21" t="s">
        <v>606</v>
      </c>
      <c r="AH28" s="21" t="s">
        <v>607</v>
      </c>
      <c r="AI28" s="21" t="s">
        <v>608</v>
      </c>
      <c r="AJ28" s="21" t="s">
        <v>609</v>
      </c>
      <c r="AK28" s="21" t="s">
        <v>610</v>
      </c>
      <c r="AL28" s="21" t="s">
        <v>611</v>
      </c>
      <c r="AM28" s="21" t="s">
        <v>612</v>
      </c>
      <c r="AN28" s="21" t="s">
        <v>56</v>
      </c>
      <c r="AO28" s="21" t="s">
        <v>613</v>
      </c>
      <c r="AP28" s="21" t="s">
        <v>614</v>
      </c>
      <c r="AQ28" s="21" t="s">
        <v>615</v>
      </c>
      <c r="AR28" s="21" t="s">
        <v>616</v>
      </c>
      <c r="AS28" s="21" t="s">
        <v>617</v>
      </c>
      <c r="AT28" s="21" t="s">
        <v>618</v>
      </c>
      <c r="AU28" s="21" t="s">
        <v>619</v>
      </c>
      <c r="AV28" s="21" t="s">
        <v>622</v>
      </c>
      <c r="AW28" s="21" t="s">
        <v>620</v>
      </c>
      <c r="AX28" s="21" t="s">
        <v>621</v>
      </c>
      <c r="AY28" s="21" t="s">
        <v>630</v>
      </c>
      <c r="AZ28" s="21" t="s">
        <v>624</v>
      </c>
      <c r="BA28" s="21" t="s">
        <v>625</v>
      </c>
      <c r="BB28" s="21" t="s">
        <v>626</v>
      </c>
      <c r="BC28" s="21" t="s">
        <v>581</v>
      </c>
      <c r="BD28" s="21" t="s">
        <v>583</v>
      </c>
      <c r="BE28" s="21" t="s">
        <v>582</v>
      </c>
      <c r="BF28" s="21" t="s">
        <v>629</v>
      </c>
      <c r="BG28" s="21" t="s">
        <v>627</v>
      </c>
      <c r="BH28" s="21" t="s">
        <v>628</v>
      </c>
      <c r="BI28" t="s">
        <v>165</v>
      </c>
      <c r="BJ28" t="s">
        <v>166</v>
      </c>
      <c r="BK28" s="13" t="s">
        <v>174</v>
      </c>
    </row>
    <row r="29" spans="1:63" x14ac:dyDescent="0.3">
      <c r="A29" t="s">
        <v>705</v>
      </c>
      <c r="B29" s="13" t="s">
        <v>119</v>
      </c>
      <c r="C29" s="21" t="s">
        <v>144</v>
      </c>
      <c r="D29" s="13" t="s">
        <v>119</v>
      </c>
      <c r="I29" t="s">
        <v>121</v>
      </c>
      <c r="K29" t="s">
        <v>102</v>
      </c>
      <c r="M29" s="13" t="s">
        <v>126</v>
      </c>
      <c r="N29" t="s">
        <v>112</v>
      </c>
      <c r="O29" t="s">
        <v>118</v>
      </c>
      <c r="S29" t="s">
        <v>160</v>
      </c>
      <c r="T29" s="21" t="s">
        <v>462</v>
      </c>
      <c r="U29" t="s">
        <v>56</v>
      </c>
      <c r="V29" t="s">
        <v>161</v>
      </c>
      <c r="W29" t="s">
        <v>162</v>
      </c>
      <c r="X29" s="21" t="s">
        <v>463</v>
      </c>
      <c r="Y29" t="s">
        <v>163</v>
      </c>
      <c r="AA29" t="s">
        <v>164</v>
      </c>
      <c r="AB29" s="21" t="s">
        <v>464</v>
      </c>
      <c r="AC29" s="21" t="s">
        <v>363</v>
      </c>
      <c r="AD29" s="21" t="s">
        <v>603</v>
      </c>
      <c r="AE29" s="21" t="s">
        <v>604</v>
      </c>
      <c r="AF29" s="21" t="s">
        <v>605</v>
      </c>
      <c r="AG29" s="21" t="s">
        <v>606</v>
      </c>
      <c r="AH29" s="21" t="s">
        <v>607</v>
      </c>
      <c r="AI29" s="21" t="s">
        <v>608</v>
      </c>
      <c r="AJ29" s="21" t="s">
        <v>609</v>
      </c>
      <c r="AK29" s="21" t="s">
        <v>610</v>
      </c>
      <c r="AL29" s="21" t="s">
        <v>611</v>
      </c>
      <c r="AM29" s="21" t="s">
        <v>612</v>
      </c>
      <c r="AN29" s="21" t="s">
        <v>56</v>
      </c>
      <c r="AO29" s="21" t="s">
        <v>613</v>
      </c>
      <c r="AP29" s="21" t="s">
        <v>614</v>
      </c>
      <c r="AQ29" s="21" t="s">
        <v>615</v>
      </c>
      <c r="AR29" s="21" t="s">
        <v>616</v>
      </c>
      <c r="AS29" s="21" t="s">
        <v>617</v>
      </c>
      <c r="AT29" s="21" t="s">
        <v>618</v>
      </c>
      <c r="AU29" s="21" t="s">
        <v>619</v>
      </c>
      <c r="AV29" s="21" t="s">
        <v>622</v>
      </c>
      <c r="AW29" s="21" t="s">
        <v>620</v>
      </c>
      <c r="AX29" s="21" t="s">
        <v>621</v>
      </c>
      <c r="AY29" s="21" t="s">
        <v>630</v>
      </c>
      <c r="AZ29" s="21" t="s">
        <v>624</v>
      </c>
      <c r="BA29" s="21" t="s">
        <v>625</v>
      </c>
      <c r="BB29" s="21" t="s">
        <v>626</v>
      </c>
      <c r="BC29" s="21" t="s">
        <v>581</v>
      </c>
      <c r="BD29" s="21" t="s">
        <v>583</v>
      </c>
      <c r="BE29" s="21" t="s">
        <v>582</v>
      </c>
      <c r="BF29" s="21" t="s">
        <v>629</v>
      </c>
      <c r="BG29" s="21" t="s">
        <v>627</v>
      </c>
      <c r="BH29" s="21" t="s">
        <v>628</v>
      </c>
      <c r="BI29" t="s">
        <v>165</v>
      </c>
      <c r="BJ29" t="s">
        <v>166</v>
      </c>
      <c r="BK29" s="13" t="s">
        <v>174</v>
      </c>
    </row>
    <row r="30" spans="1:63" x14ac:dyDescent="0.3">
      <c r="A30" t="s">
        <v>520</v>
      </c>
      <c r="B30" s="13" t="s">
        <v>199</v>
      </c>
      <c r="C30" s="21" t="s">
        <v>144</v>
      </c>
      <c r="D30" s="13" t="s">
        <v>199</v>
      </c>
      <c r="E30" s="21" t="s">
        <v>198</v>
      </c>
      <c r="F30" t="s">
        <v>97</v>
      </c>
      <c r="G30" t="s">
        <v>100</v>
      </c>
      <c r="J30" s="21" t="s">
        <v>197</v>
      </c>
      <c r="L30" s="21" t="s">
        <v>103</v>
      </c>
      <c r="M30" s="13" t="s">
        <v>200</v>
      </c>
      <c r="N30" t="s">
        <v>112</v>
      </c>
      <c r="O30" t="s">
        <v>118</v>
      </c>
      <c r="P30" t="s">
        <v>159</v>
      </c>
      <c r="Q30" t="s">
        <v>159</v>
      </c>
      <c r="R30" t="s">
        <v>153</v>
      </c>
      <c r="S30" t="s">
        <v>160</v>
      </c>
      <c r="T30" s="21" t="s">
        <v>462</v>
      </c>
      <c r="U30" t="s">
        <v>56</v>
      </c>
      <c r="V30" t="s">
        <v>161</v>
      </c>
      <c r="W30" t="s">
        <v>162</v>
      </c>
      <c r="X30" s="21" t="s">
        <v>463</v>
      </c>
      <c r="Y30" t="s">
        <v>163</v>
      </c>
      <c r="AA30" t="s">
        <v>164</v>
      </c>
      <c r="AB30" s="21" t="s">
        <v>464</v>
      </c>
      <c r="AC30" s="21" t="s">
        <v>363</v>
      </c>
      <c r="AD30" s="21" t="s">
        <v>603</v>
      </c>
      <c r="AE30" s="21" t="s">
        <v>604</v>
      </c>
      <c r="AF30" s="21" t="s">
        <v>605</v>
      </c>
      <c r="AG30" s="21" t="s">
        <v>606</v>
      </c>
      <c r="AH30" s="21" t="s">
        <v>607</v>
      </c>
      <c r="AI30" s="21" t="s">
        <v>608</v>
      </c>
      <c r="AJ30" s="21" t="s">
        <v>609</v>
      </c>
      <c r="AK30" s="21" t="s">
        <v>610</v>
      </c>
      <c r="AL30" s="21" t="s">
        <v>611</v>
      </c>
      <c r="AM30" s="21" t="s">
        <v>612</v>
      </c>
      <c r="AN30" s="21" t="s">
        <v>56</v>
      </c>
      <c r="AO30" s="21" t="s">
        <v>613</v>
      </c>
      <c r="AP30" s="21" t="s">
        <v>614</v>
      </c>
      <c r="AQ30" s="21" t="s">
        <v>615</v>
      </c>
      <c r="AR30" s="21" t="s">
        <v>616</v>
      </c>
      <c r="AS30" s="21" t="s">
        <v>617</v>
      </c>
      <c r="AT30" s="21" t="s">
        <v>618</v>
      </c>
      <c r="AU30" s="21" t="s">
        <v>619</v>
      </c>
      <c r="AV30" s="21" t="s">
        <v>622</v>
      </c>
      <c r="AW30" s="21" t="s">
        <v>620</v>
      </c>
      <c r="AX30" s="21" t="s">
        <v>621</v>
      </c>
      <c r="AY30" s="21" t="s">
        <v>630</v>
      </c>
      <c r="AZ30" s="21" t="s">
        <v>624</v>
      </c>
      <c r="BA30" s="21" t="s">
        <v>625</v>
      </c>
      <c r="BB30" s="21" t="s">
        <v>626</v>
      </c>
      <c r="BC30" s="21" t="s">
        <v>581</v>
      </c>
      <c r="BD30" s="21" t="s">
        <v>583</v>
      </c>
      <c r="BE30" s="21" t="s">
        <v>582</v>
      </c>
      <c r="BF30" s="21" t="s">
        <v>629</v>
      </c>
      <c r="BG30" s="21" t="s">
        <v>627</v>
      </c>
      <c r="BH30" s="21" t="s">
        <v>628</v>
      </c>
      <c r="BI30" t="s">
        <v>165</v>
      </c>
      <c r="BJ30" t="s">
        <v>166</v>
      </c>
      <c r="BK30" s="13" t="s">
        <v>174</v>
      </c>
    </row>
    <row r="31" spans="1:63" x14ac:dyDescent="0.3">
      <c r="A31" t="s">
        <v>521</v>
      </c>
      <c r="B31" s="13" t="s">
        <v>199</v>
      </c>
      <c r="C31" s="21" t="s">
        <v>144</v>
      </c>
      <c r="D31" s="13" t="s">
        <v>199</v>
      </c>
      <c r="E31" s="21" t="s">
        <v>198</v>
      </c>
      <c r="F31" t="s">
        <v>97</v>
      </c>
      <c r="G31" t="s">
        <v>100</v>
      </c>
      <c r="J31" s="21" t="s">
        <v>197</v>
      </c>
      <c r="L31" s="21" t="s">
        <v>103</v>
      </c>
      <c r="M31" s="13" t="s">
        <v>200</v>
      </c>
      <c r="N31" t="s">
        <v>112</v>
      </c>
      <c r="O31" t="s">
        <v>118</v>
      </c>
      <c r="P31" t="s">
        <v>159</v>
      </c>
      <c r="Q31" t="s">
        <v>159</v>
      </c>
      <c r="R31" t="s">
        <v>153</v>
      </c>
      <c r="S31" t="s">
        <v>160</v>
      </c>
      <c r="T31" s="21" t="s">
        <v>462</v>
      </c>
      <c r="U31" t="s">
        <v>56</v>
      </c>
      <c r="V31" t="s">
        <v>161</v>
      </c>
      <c r="W31" t="s">
        <v>162</v>
      </c>
      <c r="X31" s="21" t="s">
        <v>463</v>
      </c>
      <c r="Y31" t="s">
        <v>163</v>
      </c>
      <c r="AA31" t="s">
        <v>164</v>
      </c>
      <c r="AB31" s="21" t="s">
        <v>464</v>
      </c>
      <c r="AC31" s="21" t="s">
        <v>363</v>
      </c>
      <c r="AD31" s="21" t="s">
        <v>603</v>
      </c>
      <c r="AE31" s="21" t="s">
        <v>604</v>
      </c>
      <c r="AF31" s="21" t="s">
        <v>605</v>
      </c>
      <c r="AG31" s="21" t="s">
        <v>606</v>
      </c>
      <c r="AH31" s="21" t="s">
        <v>607</v>
      </c>
      <c r="AI31" s="21" t="s">
        <v>608</v>
      </c>
      <c r="AJ31" s="21" t="s">
        <v>609</v>
      </c>
      <c r="AK31" s="21" t="s">
        <v>610</v>
      </c>
      <c r="AL31" s="21" t="s">
        <v>611</v>
      </c>
      <c r="AM31" s="21" t="s">
        <v>612</v>
      </c>
      <c r="AN31" s="21" t="s">
        <v>56</v>
      </c>
      <c r="AO31" s="21" t="s">
        <v>613</v>
      </c>
      <c r="AP31" s="21" t="s">
        <v>614</v>
      </c>
      <c r="AQ31" s="21" t="s">
        <v>615</v>
      </c>
      <c r="AR31" s="21" t="s">
        <v>616</v>
      </c>
      <c r="AS31" s="21" t="s">
        <v>617</v>
      </c>
      <c r="AT31" s="21" t="s">
        <v>618</v>
      </c>
      <c r="AU31" s="21" t="s">
        <v>619</v>
      </c>
      <c r="AV31" s="21" t="s">
        <v>622</v>
      </c>
      <c r="AW31" s="21" t="s">
        <v>620</v>
      </c>
      <c r="AX31" s="21" t="s">
        <v>621</v>
      </c>
      <c r="AY31" s="21" t="s">
        <v>630</v>
      </c>
      <c r="AZ31" s="21" t="s">
        <v>624</v>
      </c>
      <c r="BA31" s="21" t="s">
        <v>625</v>
      </c>
      <c r="BB31" s="21" t="s">
        <v>626</v>
      </c>
      <c r="BC31" s="21" t="s">
        <v>581</v>
      </c>
      <c r="BD31" s="21" t="s">
        <v>583</v>
      </c>
      <c r="BE31" s="21" t="s">
        <v>582</v>
      </c>
      <c r="BF31" s="21" t="s">
        <v>629</v>
      </c>
      <c r="BG31" s="21" t="s">
        <v>627</v>
      </c>
      <c r="BH31" s="21" t="s">
        <v>628</v>
      </c>
      <c r="BI31" t="s">
        <v>165</v>
      </c>
      <c r="BJ31" t="s">
        <v>166</v>
      </c>
      <c r="BK31" s="13" t="s">
        <v>174</v>
      </c>
    </row>
    <row r="32" spans="1:63" x14ac:dyDescent="0.3">
      <c r="A32" t="s">
        <v>522</v>
      </c>
      <c r="B32" s="13" t="s">
        <v>199</v>
      </c>
      <c r="C32" s="21" t="s">
        <v>144</v>
      </c>
      <c r="D32" s="13" t="s">
        <v>199</v>
      </c>
      <c r="E32" s="21" t="s">
        <v>198</v>
      </c>
      <c r="F32" t="s">
        <v>97</v>
      </c>
      <c r="G32" t="s">
        <v>100</v>
      </c>
      <c r="J32" s="21" t="s">
        <v>197</v>
      </c>
      <c r="L32" s="21" t="s">
        <v>103</v>
      </c>
      <c r="M32" s="13" t="s">
        <v>200</v>
      </c>
      <c r="N32" t="s">
        <v>112</v>
      </c>
      <c r="O32" t="s">
        <v>118</v>
      </c>
      <c r="P32" t="s">
        <v>159</v>
      </c>
      <c r="Q32" t="s">
        <v>159</v>
      </c>
      <c r="R32" t="s">
        <v>153</v>
      </c>
      <c r="S32" t="s">
        <v>160</v>
      </c>
      <c r="T32" s="21" t="s">
        <v>462</v>
      </c>
      <c r="U32" t="s">
        <v>56</v>
      </c>
      <c r="V32" t="s">
        <v>161</v>
      </c>
      <c r="W32" t="s">
        <v>162</v>
      </c>
      <c r="X32" s="21" t="s">
        <v>463</v>
      </c>
      <c r="Y32" t="s">
        <v>163</v>
      </c>
      <c r="AA32" t="s">
        <v>164</v>
      </c>
      <c r="AB32" s="21" t="s">
        <v>464</v>
      </c>
      <c r="AC32" s="21" t="s">
        <v>363</v>
      </c>
      <c r="AD32" s="21" t="s">
        <v>603</v>
      </c>
      <c r="AE32" s="21" t="s">
        <v>604</v>
      </c>
      <c r="AF32" s="21" t="s">
        <v>605</v>
      </c>
      <c r="AG32" s="21" t="s">
        <v>606</v>
      </c>
      <c r="AH32" s="21" t="s">
        <v>607</v>
      </c>
      <c r="AI32" s="21" t="s">
        <v>608</v>
      </c>
      <c r="AJ32" s="21" t="s">
        <v>609</v>
      </c>
      <c r="AK32" s="21" t="s">
        <v>610</v>
      </c>
      <c r="AL32" s="21" t="s">
        <v>611</v>
      </c>
      <c r="AM32" s="21" t="s">
        <v>612</v>
      </c>
      <c r="AN32" s="21" t="s">
        <v>56</v>
      </c>
      <c r="AO32" s="21" t="s">
        <v>613</v>
      </c>
      <c r="AP32" s="21" t="s">
        <v>614</v>
      </c>
      <c r="AQ32" s="21" t="s">
        <v>615</v>
      </c>
      <c r="AR32" s="21" t="s">
        <v>616</v>
      </c>
      <c r="AS32" s="21" t="s">
        <v>617</v>
      </c>
      <c r="AT32" s="21" t="s">
        <v>618</v>
      </c>
      <c r="AU32" s="21" t="s">
        <v>619</v>
      </c>
      <c r="AV32" s="21" t="s">
        <v>622</v>
      </c>
      <c r="AW32" s="21" t="s">
        <v>620</v>
      </c>
      <c r="AX32" s="21" t="s">
        <v>621</v>
      </c>
      <c r="AY32" s="21" t="s">
        <v>630</v>
      </c>
      <c r="AZ32" s="21" t="s">
        <v>624</v>
      </c>
      <c r="BA32" s="21" t="s">
        <v>625</v>
      </c>
      <c r="BB32" s="21" t="s">
        <v>626</v>
      </c>
      <c r="BC32" s="21" t="s">
        <v>581</v>
      </c>
      <c r="BD32" s="21" t="s">
        <v>583</v>
      </c>
      <c r="BE32" s="21" t="s">
        <v>582</v>
      </c>
      <c r="BF32" s="21" t="s">
        <v>629</v>
      </c>
      <c r="BG32" s="21" t="s">
        <v>627</v>
      </c>
      <c r="BH32" s="21" t="s">
        <v>628</v>
      </c>
      <c r="BI32" t="s">
        <v>165</v>
      </c>
      <c r="BJ32" t="s">
        <v>166</v>
      </c>
      <c r="BK32" s="13" t="s">
        <v>174</v>
      </c>
    </row>
    <row r="33" spans="1:63" x14ac:dyDescent="0.3">
      <c r="A33" t="s">
        <v>523</v>
      </c>
      <c r="B33" s="13" t="s">
        <v>199</v>
      </c>
      <c r="C33" s="21" t="s">
        <v>144</v>
      </c>
      <c r="D33" s="13" t="s">
        <v>199</v>
      </c>
      <c r="E33" s="21" t="s">
        <v>198</v>
      </c>
      <c r="F33" t="s">
        <v>97</v>
      </c>
      <c r="G33" t="s">
        <v>100</v>
      </c>
      <c r="J33" s="21" t="s">
        <v>197</v>
      </c>
      <c r="L33" s="21" t="s">
        <v>103</v>
      </c>
      <c r="M33" s="13" t="s">
        <v>200</v>
      </c>
      <c r="N33" t="s">
        <v>112</v>
      </c>
      <c r="O33" t="s">
        <v>118</v>
      </c>
      <c r="P33" t="s">
        <v>159</v>
      </c>
      <c r="Q33" t="s">
        <v>159</v>
      </c>
      <c r="R33" t="s">
        <v>153</v>
      </c>
      <c r="S33" t="s">
        <v>160</v>
      </c>
      <c r="T33" s="21" t="s">
        <v>462</v>
      </c>
      <c r="U33" t="s">
        <v>56</v>
      </c>
      <c r="V33" t="s">
        <v>161</v>
      </c>
      <c r="W33" t="s">
        <v>162</v>
      </c>
      <c r="X33" s="21" t="s">
        <v>463</v>
      </c>
      <c r="Y33" t="s">
        <v>163</v>
      </c>
      <c r="AA33" t="s">
        <v>164</v>
      </c>
      <c r="AB33" s="21" t="s">
        <v>464</v>
      </c>
      <c r="AC33" s="21" t="s">
        <v>363</v>
      </c>
      <c r="AD33" s="21" t="s">
        <v>603</v>
      </c>
      <c r="AE33" s="21" t="s">
        <v>604</v>
      </c>
      <c r="AF33" s="21" t="s">
        <v>605</v>
      </c>
      <c r="AG33" s="21" t="s">
        <v>606</v>
      </c>
      <c r="AH33" s="21" t="s">
        <v>607</v>
      </c>
      <c r="AI33" s="21" t="s">
        <v>608</v>
      </c>
      <c r="AJ33" s="21" t="s">
        <v>609</v>
      </c>
      <c r="AK33" s="21" t="s">
        <v>610</v>
      </c>
      <c r="AL33" s="21" t="s">
        <v>611</v>
      </c>
      <c r="AM33" s="21" t="s">
        <v>612</v>
      </c>
      <c r="AN33" s="21" t="s">
        <v>56</v>
      </c>
      <c r="AO33" s="21" t="s">
        <v>613</v>
      </c>
      <c r="AP33" s="21" t="s">
        <v>614</v>
      </c>
      <c r="AQ33" s="21" t="s">
        <v>615</v>
      </c>
      <c r="AR33" s="21" t="s">
        <v>616</v>
      </c>
      <c r="AS33" s="21" t="s">
        <v>617</v>
      </c>
      <c r="AT33" s="21" t="s">
        <v>618</v>
      </c>
      <c r="AU33" s="21" t="s">
        <v>619</v>
      </c>
      <c r="AV33" s="21" t="s">
        <v>622</v>
      </c>
      <c r="AW33" s="21" t="s">
        <v>620</v>
      </c>
      <c r="AX33" s="21" t="s">
        <v>621</v>
      </c>
      <c r="AY33" s="21" t="s">
        <v>630</v>
      </c>
      <c r="AZ33" s="21" t="s">
        <v>624</v>
      </c>
      <c r="BA33" s="21" t="s">
        <v>625</v>
      </c>
      <c r="BB33" s="21" t="s">
        <v>626</v>
      </c>
      <c r="BC33" s="21" t="s">
        <v>581</v>
      </c>
      <c r="BD33" s="21" t="s">
        <v>583</v>
      </c>
      <c r="BE33" s="21" t="s">
        <v>582</v>
      </c>
      <c r="BF33" s="21" t="s">
        <v>629</v>
      </c>
      <c r="BG33" s="21" t="s">
        <v>627</v>
      </c>
      <c r="BH33" s="21" t="s">
        <v>628</v>
      </c>
      <c r="BI33" t="s">
        <v>165</v>
      </c>
      <c r="BJ33" t="s">
        <v>166</v>
      </c>
      <c r="BK33" s="13" t="s">
        <v>174</v>
      </c>
    </row>
    <row r="36" spans="1:63" x14ac:dyDescent="0.3">
      <c r="A36" t="s">
        <v>73</v>
      </c>
    </row>
    <row r="37" spans="1:63" x14ac:dyDescent="0.3">
      <c r="B37" s="21" t="s">
        <v>15</v>
      </c>
      <c r="C37" s="21" t="s">
        <v>14</v>
      </c>
      <c r="D37" t="s">
        <v>16</v>
      </c>
      <c r="E37" t="s">
        <v>557</v>
      </c>
      <c r="F37" t="s">
        <v>19</v>
      </c>
      <c r="G37" t="s">
        <v>20</v>
      </c>
      <c r="H37" t="s">
        <v>22</v>
      </c>
      <c r="I37" t="s">
        <v>24</v>
      </c>
      <c r="J37" t="s">
        <v>53</v>
      </c>
      <c r="K37" t="s">
        <v>27</v>
      </c>
      <c r="L37" t="s">
        <v>28</v>
      </c>
      <c r="M37" s="12" t="s">
        <v>123</v>
      </c>
      <c r="N37" t="s">
        <v>108</v>
      </c>
      <c r="O37" t="s">
        <v>117</v>
      </c>
      <c r="P37" t="s">
        <v>150</v>
      </c>
      <c r="Q37" t="s">
        <v>151</v>
      </c>
      <c r="R37" t="s">
        <v>152</v>
      </c>
      <c r="S37" t="s">
        <v>67</v>
      </c>
      <c r="T37" t="s">
        <v>68</v>
      </c>
      <c r="U37" t="s">
        <v>56</v>
      </c>
      <c r="V37" t="s">
        <v>57</v>
      </c>
      <c r="W37" t="s">
        <v>58</v>
      </c>
      <c r="X37" t="s">
        <v>59</v>
      </c>
      <c r="Y37" t="s">
        <v>60</v>
      </c>
      <c r="Z37" t="s">
        <v>62</v>
      </c>
      <c r="AA37" t="s">
        <v>61</v>
      </c>
      <c r="AB37" t="s">
        <v>63</v>
      </c>
      <c r="AC37" s="21" t="s">
        <v>659</v>
      </c>
      <c r="AD37" s="21" t="s">
        <v>603</v>
      </c>
      <c r="AE37" s="21" t="s">
        <v>604</v>
      </c>
      <c r="AF37" s="21" t="s">
        <v>605</v>
      </c>
      <c r="AG37" s="21" t="s">
        <v>606</v>
      </c>
      <c r="AH37" s="21" t="s">
        <v>607</v>
      </c>
      <c r="AI37" s="21" t="s">
        <v>608</v>
      </c>
      <c r="AJ37" s="21" t="s">
        <v>609</v>
      </c>
      <c r="AK37" s="21" t="s">
        <v>610</v>
      </c>
      <c r="AL37" s="21" t="s">
        <v>611</v>
      </c>
      <c r="AM37" s="21" t="s">
        <v>612</v>
      </c>
      <c r="AN37" s="21" t="s">
        <v>56</v>
      </c>
      <c r="AO37" s="21" t="s">
        <v>613</v>
      </c>
      <c r="AP37" s="21" t="s">
        <v>614</v>
      </c>
      <c r="AQ37" s="21" t="s">
        <v>615</v>
      </c>
      <c r="AR37" s="21" t="s">
        <v>616</v>
      </c>
      <c r="AS37" s="21" t="s">
        <v>617</v>
      </c>
      <c r="AT37" s="21" t="s">
        <v>618</v>
      </c>
      <c r="AU37" s="21" t="s">
        <v>619</v>
      </c>
      <c r="AV37" s="21" t="s">
        <v>622</v>
      </c>
      <c r="AW37" s="21" t="s">
        <v>620</v>
      </c>
      <c r="AX37" s="21" t="s">
        <v>621</v>
      </c>
      <c r="AY37" s="21" t="s">
        <v>623</v>
      </c>
      <c r="AZ37" s="21" t="s">
        <v>624</v>
      </c>
      <c r="BA37" s="21" t="s">
        <v>625</v>
      </c>
      <c r="BB37" s="21" t="s">
        <v>626</v>
      </c>
      <c r="BC37" s="21" t="s">
        <v>581</v>
      </c>
      <c r="BD37" s="21" t="s">
        <v>583</v>
      </c>
      <c r="BE37" s="21" t="s">
        <v>582</v>
      </c>
      <c r="BF37" s="21" t="s">
        <v>629</v>
      </c>
      <c r="BG37" s="21" t="s">
        <v>627</v>
      </c>
      <c r="BH37" s="21" t="s">
        <v>628</v>
      </c>
      <c r="BI37" t="s">
        <v>29</v>
      </c>
      <c r="BJ37" t="s">
        <v>30</v>
      </c>
      <c r="BK37" t="s">
        <v>31</v>
      </c>
    </row>
    <row r="38" spans="1:63" x14ac:dyDescent="0.3">
      <c r="A38" t="s">
        <v>688</v>
      </c>
      <c r="B38" t="s">
        <v>94</v>
      </c>
      <c r="C38" s="21" t="s">
        <v>98</v>
      </c>
      <c r="D38" t="s">
        <v>94</v>
      </c>
      <c r="E38" t="s">
        <v>98</v>
      </c>
      <c r="F38" t="s">
        <v>98</v>
      </c>
      <c r="G38" t="s">
        <v>98</v>
      </c>
      <c r="J38" t="s">
        <v>98</v>
      </c>
      <c r="K38" t="s">
        <v>37</v>
      </c>
      <c r="L38" t="s">
        <v>37</v>
      </c>
      <c r="M38" t="s">
        <v>37</v>
      </c>
      <c r="N38" t="s">
        <v>37</v>
      </c>
      <c r="O38" t="s">
        <v>37</v>
      </c>
      <c r="P38" s="21" t="s">
        <v>37</v>
      </c>
      <c r="Q38" t="s">
        <v>37</v>
      </c>
      <c r="R38" t="s">
        <v>98</v>
      </c>
      <c r="BI38" t="s">
        <v>94</v>
      </c>
      <c r="BJ38" t="s">
        <v>94</v>
      </c>
      <c r="BK38" t="s">
        <v>94</v>
      </c>
    </row>
    <row r="39" spans="1:63" x14ac:dyDescent="0.3">
      <c r="A39" t="s">
        <v>33</v>
      </c>
      <c r="B39" t="s">
        <v>94</v>
      </c>
      <c r="C39" s="21" t="s">
        <v>98</v>
      </c>
      <c r="D39" t="s">
        <v>94</v>
      </c>
      <c r="F39" t="s">
        <v>98</v>
      </c>
      <c r="G39" t="s">
        <v>98</v>
      </c>
      <c r="J39" t="s">
        <v>98</v>
      </c>
      <c r="K39" t="s">
        <v>37</v>
      </c>
      <c r="L39" t="s">
        <v>37</v>
      </c>
      <c r="M39" t="s">
        <v>37</v>
      </c>
      <c r="N39" t="s">
        <v>37</v>
      </c>
      <c r="O39" t="s">
        <v>37</v>
      </c>
      <c r="P39" s="21" t="s">
        <v>37</v>
      </c>
      <c r="R39" t="s">
        <v>98</v>
      </c>
      <c r="BI39" t="s">
        <v>94</v>
      </c>
      <c r="BJ39" t="s">
        <v>94</v>
      </c>
      <c r="BK39" t="s">
        <v>94</v>
      </c>
    </row>
    <row r="40" spans="1:63" x14ac:dyDescent="0.3">
      <c r="A40" t="s">
        <v>517</v>
      </c>
      <c r="B40" t="s">
        <v>94</v>
      </c>
      <c r="C40" s="21" t="s">
        <v>98</v>
      </c>
      <c r="D40" t="s">
        <v>94</v>
      </c>
      <c r="E40" s="21" t="s">
        <v>98</v>
      </c>
      <c r="F40" t="s">
        <v>98</v>
      </c>
      <c r="G40" t="s">
        <v>98</v>
      </c>
      <c r="J40" t="s">
        <v>98</v>
      </c>
      <c r="K40" t="s">
        <v>37</v>
      </c>
      <c r="L40" t="s">
        <v>37</v>
      </c>
      <c r="M40" t="s">
        <v>37</v>
      </c>
      <c r="N40" t="s">
        <v>37</v>
      </c>
      <c r="O40" t="s">
        <v>37</v>
      </c>
      <c r="P40" t="s">
        <v>37</v>
      </c>
      <c r="Q40" t="s">
        <v>37</v>
      </c>
      <c r="R40" t="s">
        <v>98</v>
      </c>
      <c r="BI40" t="s">
        <v>94</v>
      </c>
      <c r="BJ40" t="s">
        <v>94</v>
      </c>
      <c r="BK40" t="s">
        <v>94</v>
      </c>
    </row>
    <row r="41" spans="1:63" x14ac:dyDescent="0.3">
      <c r="A41" t="s">
        <v>518</v>
      </c>
      <c r="B41" t="s">
        <v>94</v>
      </c>
      <c r="C41" s="21" t="s">
        <v>98</v>
      </c>
      <c r="D41" t="s">
        <v>94</v>
      </c>
      <c r="E41" s="21" t="s">
        <v>98</v>
      </c>
      <c r="F41" t="s">
        <v>98</v>
      </c>
      <c r="G41" t="s">
        <v>98</v>
      </c>
      <c r="J41" t="s">
        <v>98</v>
      </c>
      <c r="K41" t="s">
        <v>37</v>
      </c>
      <c r="L41" t="s">
        <v>37</v>
      </c>
      <c r="M41" t="s">
        <v>37</v>
      </c>
      <c r="N41" t="s">
        <v>37</v>
      </c>
      <c r="O41" t="s">
        <v>37</v>
      </c>
      <c r="P41" t="s">
        <v>37</v>
      </c>
      <c r="Q41" t="s">
        <v>37</v>
      </c>
      <c r="R41" t="s">
        <v>98</v>
      </c>
      <c r="BI41" t="s">
        <v>94</v>
      </c>
      <c r="BJ41" t="s">
        <v>94</v>
      </c>
      <c r="BK41" t="s">
        <v>94</v>
      </c>
    </row>
    <row r="42" spans="1:63" x14ac:dyDescent="0.3">
      <c r="A42" t="s">
        <v>524</v>
      </c>
      <c r="B42" t="s">
        <v>94</v>
      </c>
      <c r="C42" s="21" t="s">
        <v>98</v>
      </c>
      <c r="D42" t="s">
        <v>94</v>
      </c>
      <c r="E42" s="21" t="s">
        <v>98</v>
      </c>
      <c r="F42" t="s">
        <v>98</v>
      </c>
      <c r="G42" t="s">
        <v>98</v>
      </c>
      <c r="J42" t="s">
        <v>98</v>
      </c>
      <c r="K42" t="s">
        <v>37</v>
      </c>
      <c r="L42" t="s">
        <v>37</v>
      </c>
      <c r="M42" t="s">
        <v>37</v>
      </c>
      <c r="N42" t="s">
        <v>37</v>
      </c>
      <c r="O42" t="s">
        <v>37</v>
      </c>
      <c r="P42" t="s">
        <v>37</v>
      </c>
      <c r="Q42" t="s">
        <v>37</v>
      </c>
      <c r="R42" t="s">
        <v>98</v>
      </c>
      <c r="BI42" t="s">
        <v>94</v>
      </c>
      <c r="BJ42" t="s">
        <v>94</v>
      </c>
      <c r="BK42" t="s">
        <v>94</v>
      </c>
    </row>
    <row r="43" spans="1:63" x14ac:dyDescent="0.3">
      <c r="A43" t="s">
        <v>519</v>
      </c>
      <c r="B43" t="s">
        <v>94</v>
      </c>
      <c r="C43" s="21" t="s">
        <v>98</v>
      </c>
      <c r="D43" s="21" t="s">
        <v>94</v>
      </c>
      <c r="E43" s="21" t="s">
        <v>94</v>
      </c>
      <c r="F43" t="s">
        <v>98</v>
      </c>
      <c r="G43" t="s">
        <v>98</v>
      </c>
      <c r="L43" t="s">
        <v>37</v>
      </c>
      <c r="M43" t="s">
        <v>37</v>
      </c>
      <c r="N43" t="s">
        <v>37</v>
      </c>
      <c r="O43" t="s">
        <v>37</v>
      </c>
      <c r="P43" t="s">
        <v>37</v>
      </c>
      <c r="Q43" s="21" t="s">
        <v>37</v>
      </c>
      <c r="R43" t="s">
        <v>98</v>
      </c>
      <c r="BI43" t="s">
        <v>94</v>
      </c>
      <c r="BJ43" t="s">
        <v>94</v>
      </c>
      <c r="BK43" t="s">
        <v>94</v>
      </c>
    </row>
    <row r="44" spans="1:63" x14ac:dyDescent="0.3">
      <c r="A44" t="s">
        <v>645</v>
      </c>
      <c r="B44" t="s">
        <v>94</v>
      </c>
      <c r="C44" s="21" t="s">
        <v>98</v>
      </c>
      <c r="D44" t="s">
        <v>94</v>
      </c>
      <c r="I44" t="s">
        <v>94</v>
      </c>
      <c r="K44" t="s">
        <v>37</v>
      </c>
      <c r="M44" t="s">
        <v>37</v>
      </c>
      <c r="N44" t="s">
        <v>37</v>
      </c>
      <c r="O44" t="s">
        <v>37</v>
      </c>
      <c r="R44" t="s">
        <v>98</v>
      </c>
      <c r="BI44" t="s">
        <v>94</v>
      </c>
      <c r="BJ44" t="s">
        <v>94</v>
      </c>
      <c r="BK44" t="s">
        <v>94</v>
      </c>
    </row>
    <row r="45" spans="1:63" x14ac:dyDescent="0.3">
      <c r="A45" t="s">
        <v>646</v>
      </c>
      <c r="B45" t="s">
        <v>94</v>
      </c>
      <c r="C45" s="21" t="s">
        <v>98</v>
      </c>
      <c r="D45" t="s">
        <v>94</v>
      </c>
      <c r="I45" t="s">
        <v>94</v>
      </c>
      <c r="K45" t="s">
        <v>37</v>
      </c>
      <c r="M45" t="s">
        <v>37</v>
      </c>
      <c r="N45" t="s">
        <v>37</v>
      </c>
      <c r="O45" t="s">
        <v>37</v>
      </c>
      <c r="R45" t="s">
        <v>98</v>
      </c>
      <c r="BI45" t="s">
        <v>94</v>
      </c>
      <c r="BJ45" t="s">
        <v>94</v>
      </c>
      <c r="BK45" t="s">
        <v>94</v>
      </c>
    </row>
    <row r="46" spans="1:63" x14ac:dyDescent="0.3">
      <c r="A46" t="s">
        <v>647</v>
      </c>
      <c r="B46" t="s">
        <v>94</v>
      </c>
      <c r="C46" s="21" t="s">
        <v>98</v>
      </c>
      <c r="D46" t="s">
        <v>94</v>
      </c>
      <c r="I46" t="s">
        <v>94</v>
      </c>
      <c r="K46" t="s">
        <v>37</v>
      </c>
      <c r="M46" t="s">
        <v>37</v>
      </c>
      <c r="N46" t="s">
        <v>37</v>
      </c>
      <c r="O46" t="s">
        <v>37</v>
      </c>
      <c r="R46" t="s">
        <v>98</v>
      </c>
      <c r="BI46" t="s">
        <v>94</v>
      </c>
      <c r="BJ46" t="s">
        <v>94</v>
      </c>
      <c r="BK46" t="s">
        <v>94</v>
      </c>
    </row>
    <row r="47" spans="1:63" s="21" customFormat="1" x14ac:dyDescent="0.3">
      <c r="A47" s="21" t="s">
        <v>675</v>
      </c>
      <c r="B47" s="21" t="s">
        <v>94</v>
      </c>
      <c r="C47" s="21" t="s">
        <v>98</v>
      </c>
      <c r="D47" s="21" t="s">
        <v>94</v>
      </c>
      <c r="I47" s="21" t="s">
        <v>94</v>
      </c>
      <c r="K47" s="21" t="s">
        <v>37</v>
      </c>
      <c r="M47" s="21" t="s">
        <v>37</v>
      </c>
      <c r="N47" s="21" t="s">
        <v>37</v>
      </c>
      <c r="O47" s="21" t="s">
        <v>37</v>
      </c>
      <c r="R47" s="21" t="s">
        <v>98</v>
      </c>
      <c r="BI47" s="21" t="s">
        <v>94</v>
      </c>
      <c r="BJ47" s="21" t="s">
        <v>94</v>
      </c>
      <c r="BK47" s="21" t="s">
        <v>94</v>
      </c>
    </row>
    <row r="48" spans="1:63" s="21" customFormat="1" x14ac:dyDescent="0.3">
      <c r="A48" s="21" t="s">
        <v>676</v>
      </c>
      <c r="B48" s="21" t="s">
        <v>94</v>
      </c>
      <c r="C48" s="21" t="s">
        <v>98</v>
      </c>
      <c r="D48" s="21" t="s">
        <v>94</v>
      </c>
      <c r="I48" s="21" t="s">
        <v>94</v>
      </c>
      <c r="K48" s="21" t="s">
        <v>37</v>
      </c>
      <c r="M48" s="21" t="s">
        <v>37</v>
      </c>
      <c r="N48" s="21" t="s">
        <v>37</v>
      </c>
      <c r="O48" s="21" t="s">
        <v>37</v>
      </c>
      <c r="R48" s="21" t="s">
        <v>98</v>
      </c>
      <c r="BI48" s="21" t="s">
        <v>94</v>
      </c>
      <c r="BJ48" s="21" t="s">
        <v>94</v>
      </c>
      <c r="BK48" s="21" t="s">
        <v>94</v>
      </c>
    </row>
    <row r="49" spans="1:63" s="21" customFormat="1" x14ac:dyDescent="0.3">
      <c r="A49" s="21" t="s">
        <v>677</v>
      </c>
      <c r="B49" s="21" t="s">
        <v>94</v>
      </c>
      <c r="C49" s="21" t="s">
        <v>98</v>
      </c>
      <c r="D49" s="21" t="s">
        <v>94</v>
      </c>
      <c r="I49" s="21" t="s">
        <v>94</v>
      </c>
      <c r="K49" s="21" t="s">
        <v>37</v>
      </c>
      <c r="M49" s="21" t="s">
        <v>37</v>
      </c>
      <c r="N49" s="21" t="s">
        <v>37</v>
      </c>
      <c r="O49" s="21" t="s">
        <v>37</v>
      </c>
      <c r="R49" s="21" t="s">
        <v>98</v>
      </c>
      <c r="BI49" s="21" t="s">
        <v>94</v>
      </c>
      <c r="BJ49" s="21" t="s">
        <v>94</v>
      </c>
      <c r="BK49" s="21" t="s">
        <v>94</v>
      </c>
    </row>
    <row r="50" spans="1:63" x14ac:dyDescent="0.3">
      <c r="A50" t="s">
        <v>636</v>
      </c>
      <c r="B50" t="s">
        <v>94</v>
      </c>
      <c r="C50" s="21" t="s">
        <v>98</v>
      </c>
      <c r="D50" t="s">
        <v>94</v>
      </c>
      <c r="I50" t="s">
        <v>94</v>
      </c>
      <c r="K50" t="s">
        <v>37</v>
      </c>
      <c r="M50" t="s">
        <v>37</v>
      </c>
      <c r="N50" t="s">
        <v>37</v>
      </c>
      <c r="O50" t="s">
        <v>37</v>
      </c>
      <c r="R50" t="s">
        <v>98</v>
      </c>
      <c r="BI50" t="s">
        <v>94</v>
      </c>
      <c r="BJ50" t="s">
        <v>94</v>
      </c>
      <c r="BK50" t="s">
        <v>94</v>
      </c>
    </row>
    <row r="51" spans="1:63" x14ac:dyDescent="0.3">
      <c r="A51" t="s">
        <v>637</v>
      </c>
      <c r="B51" t="s">
        <v>94</v>
      </c>
      <c r="C51" s="21" t="s">
        <v>98</v>
      </c>
      <c r="D51" t="s">
        <v>94</v>
      </c>
      <c r="I51" t="s">
        <v>94</v>
      </c>
      <c r="K51" t="s">
        <v>37</v>
      </c>
      <c r="M51" t="s">
        <v>37</v>
      </c>
      <c r="N51" t="s">
        <v>37</v>
      </c>
      <c r="O51" t="s">
        <v>37</v>
      </c>
      <c r="R51" t="s">
        <v>98</v>
      </c>
      <c r="BI51" t="s">
        <v>94</v>
      </c>
      <c r="BJ51" t="s">
        <v>94</v>
      </c>
      <c r="BK51" t="s">
        <v>94</v>
      </c>
    </row>
    <row r="52" spans="1:63" x14ac:dyDescent="0.3">
      <c r="A52" t="s">
        <v>638</v>
      </c>
      <c r="B52" t="s">
        <v>94</v>
      </c>
      <c r="C52" s="21" t="s">
        <v>98</v>
      </c>
      <c r="D52" t="s">
        <v>94</v>
      </c>
      <c r="I52" t="s">
        <v>94</v>
      </c>
      <c r="K52" t="s">
        <v>37</v>
      </c>
      <c r="M52" t="s">
        <v>37</v>
      </c>
      <c r="N52" t="s">
        <v>37</v>
      </c>
      <c r="O52" t="s">
        <v>37</v>
      </c>
      <c r="R52" t="s">
        <v>98</v>
      </c>
      <c r="BI52" t="s">
        <v>94</v>
      </c>
      <c r="BJ52" t="s">
        <v>94</v>
      </c>
      <c r="BK52" t="s">
        <v>94</v>
      </c>
    </row>
    <row r="53" spans="1:63" s="21" customFormat="1" x14ac:dyDescent="0.3">
      <c r="A53" s="21" t="s">
        <v>674</v>
      </c>
      <c r="B53" s="21" t="s">
        <v>98</v>
      </c>
      <c r="C53" s="21" t="s">
        <v>98</v>
      </c>
      <c r="D53" s="21" t="s">
        <v>98</v>
      </c>
      <c r="E53" s="21" t="s">
        <v>98</v>
      </c>
      <c r="F53" s="21" t="s">
        <v>98</v>
      </c>
      <c r="G53" s="21" t="s">
        <v>98</v>
      </c>
      <c r="J53" s="21" t="s">
        <v>98</v>
      </c>
      <c r="L53" s="21" t="s">
        <v>37</v>
      </c>
      <c r="M53" s="21" t="s">
        <v>98</v>
      </c>
      <c r="N53" s="21" t="s">
        <v>37</v>
      </c>
      <c r="O53" s="21" t="s">
        <v>37</v>
      </c>
      <c r="P53" s="21" t="s">
        <v>98</v>
      </c>
      <c r="Q53" s="21" t="s">
        <v>98</v>
      </c>
      <c r="R53" s="21" t="s">
        <v>98</v>
      </c>
      <c r="BI53" s="21" t="s">
        <v>94</v>
      </c>
      <c r="BJ53" s="21" t="s">
        <v>94</v>
      </c>
      <c r="BK53" s="21" t="s">
        <v>94</v>
      </c>
    </row>
    <row r="54" spans="1:63" x14ac:dyDescent="0.3">
      <c r="A54" t="s">
        <v>631</v>
      </c>
      <c r="B54" t="s">
        <v>98</v>
      </c>
      <c r="C54" s="21" t="s">
        <v>98</v>
      </c>
      <c r="D54" t="s">
        <v>98</v>
      </c>
      <c r="E54" t="s">
        <v>98</v>
      </c>
      <c r="F54" t="s">
        <v>98</v>
      </c>
      <c r="G54" t="s">
        <v>98</v>
      </c>
      <c r="J54" t="s">
        <v>98</v>
      </c>
      <c r="L54" t="s">
        <v>37</v>
      </c>
      <c r="M54" t="s">
        <v>98</v>
      </c>
      <c r="N54" t="s">
        <v>37</v>
      </c>
      <c r="O54" t="s">
        <v>37</v>
      </c>
      <c r="P54" t="s">
        <v>98</v>
      </c>
      <c r="Q54" t="s">
        <v>98</v>
      </c>
      <c r="R54" t="s">
        <v>98</v>
      </c>
      <c r="BI54" t="s">
        <v>94</v>
      </c>
      <c r="BJ54" t="s">
        <v>94</v>
      </c>
      <c r="BK54" t="s">
        <v>94</v>
      </c>
    </row>
    <row r="55" spans="1:63" x14ac:dyDescent="0.3">
      <c r="A55" t="s">
        <v>712</v>
      </c>
      <c r="B55" t="s">
        <v>94</v>
      </c>
      <c r="C55" s="21" t="s">
        <v>98</v>
      </c>
      <c r="D55" t="s">
        <v>94</v>
      </c>
      <c r="I55" t="s">
        <v>94</v>
      </c>
      <c r="K55" t="s">
        <v>37</v>
      </c>
      <c r="M55" t="s">
        <v>37</v>
      </c>
      <c r="N55" t="s">
        <v>37</v>
      </c>
      <c r="O55" t="s">
        <v>37</v>
      </c>
      <c r="R55" t="s">
        <v>98</v>
      </c>
      <c r="BI55" t="s">
        <v>94</v>
      </c>
      <c r="BJ55" t="s">
        <v>94</v>
      </c>
      <c r="BK55" t="s">
        <v>94</v>
      </c>
    </row>
    <row r="56" spans="1:63" x14ac:dyDescent="0.3">
      <c r="A56" t="s">
        <v>713</v>
      </c>
      <c r="B56" t="s">
        <v>94</v>
      </c>
      <c r="C56" s="21" t="s">
        <v>98</v>
      </c>
      <c r="D56" t="s">
        <v>94</v>
      </c>
      <c r="I56" t="s">
        <v>94</v>
      </c>
      <c r="K56" t="s">
        <v>37</v>
      </c>
      <c r="M56" t="s">
        <v>37</v>
      </c>
      <c r="N56" t="s">
        <v>37</v>
      </c>
      <c r="O56" t="s">
        <v>37</v>
      </c>
      <c r="R56" t="s">
        <v>98</v>
      </c>
      <c r="BI56" t="s">
        <v>94</v>
      </c>
      <c r="BJ56" t="s">
        <v>94</v>
      </c>
      <c r="BK56" t="s">
        <v>94</v>
      </c>
    </row>
    <row r="57" spans="1:63" x14ac:dyDescent="0.3">
      <c r="A57" t="s">
        <v>714</v>
      </c>
      <c r="B57" t="s">
        <v>94</v>
      </c>
      <c r="C57" s="21" t="s">
        <v>98</v>
      </c>
      <c r="D57" t="s">
        <v>94</v>
      </c>
      <c r="I57" t="s">
        <v>94</v>
      </c>
      <c r="K57" t="s">
        <v>37</v>
      </c>
      <c r="M57" t="s">
        <v>37</v>
      </c>
      <c r="N57" t="s">
        <v>37</v>
      </c>
      <c r="O57" t="s">
        <v>37</v>
      </c>
      <c r="R57" t="s">
        <v>98</v>
      </c>
      <c r="BI57" t="s">
        <v>94</v>
      </c>
      <c r="BJ57" t="s">
        <v>94</v>
      </c>
      <c r="BK57" t="s">
        <v>94</v>
      </c>
    </row>
    <row r="58" spans="1:63" x14ac:dyDescent="0.3">
      <c r="A58" t="s">
        <v>694</v>
      </c>
      <c r="B58" t="s">
        <v>94</v>
      </c>
      <c r="C58" s="21" t="s">
        <v>98</v>
      </c>
      <c r="D58" t="s">
        <v>94</v>
      </c>
      <c r="I58" t="s">
        <v>94</v>
      </c>
      <c r="K58" t="s">
        <v>37</v>
      </c>
      <c r="M58" t="s">
        <v>37</v>
      </c>
      <c r="N58" t="s">
        <v>37</v>
      </c>
      <c r="O58" t="s">
        <v>37</v>
      </c>
      <c r="R58" t="s">
        <v>98</v>
      </c>
      <c r="BI58" t="s">
        <v>94</v>
      </c>
      <c r="BJ58" t="s">
        <v>94</v>
      </c>
      <c r="BK58" t="s">
        <v>94</v>
      </c>
    </row>
    <row r="59" spans="1:63" x14ac:dyDescent="0.3">
      <c r="A59" t="s">
        <v>695</v>
      </c>
      <c r="B59" t="s">
        <v>94</v>
      </c>
      <c r="C59" s="21" t="s">
        <v>98</v>
      </c>
      <c r="D59" t="s">
        <v>94</v>
      </c>
      <c r="I59" t="s">
        <v>94</v>
      </c>
      <c r="K59" t="s">
        <v>37</v>
      </c>
      <c r="M59" t="s">
        <v>37</v>
      </c>
      <c r="N59" t="s">
        <v>37</v>
      </c>
      <c r="O59" t="s">
        <v>37</v>
      </c>
      <c r="R59" t="s">
        <v>98</v>
      </c>
      <c r="BI59" t="s">
        <v>94</v>
      </c>
      <c r="BJ59" t="s">
        <v>94</v>
      </c>
      <c r="BK59" t="s">
        <v>94</v>
      </c>
    </row>
    <row r="60" spans="1:63" x14ac:dyDescent="0.3">
      <c r="A60" t="s">
        <v>696</v>
      </c>
      <c r="B60" t="s">
        <v>94</v>
      </c>
      <c r="C60" s="21" t="s">
        <v>98</v>
      </c>
      <c r="D60" t="s">
        <v>94</v>
      </c>
      <c r="I60" t="s">
        <v>94</v>
      </c>
      <c r="K60" t="s">
        <v>37</v>
      </c>
      <c r="M60" t="s">
        <v>37</v>
      </c>
      <c r="N60" t="s">
        <v>37</v>
      </c>
      <c r="O60" t="s">
        <v>37</v>
      </c>
      <c r="R60" t="s">
        <v>98</v>
      </c>
      <c r="BI60" t="s">
        <v>94</v>
      </c>
      <c r="BJ60" t="s">
        <v>94</v>
      </c>
      <c r="BK60" t="s">
        <v>94</v>
      </c>
    </row>
    <row r="61" spans="1:63" x14ac:dyDescent="0.3">
      <c r="A61" t="s">
        <v>703</v>
      </c>
      <c r="B61" t="s">
        <v>94</v>
      </c>
      <c r="C61" s="21" t="s">
        <v>98</v>
      </c>
      <c r="D61" t="s">
        <v>94</v>
      </c>
      <c r="I61" t="s">
        <v>94</v>
      </c>
      <c r="K61" t="s">
        <v>37</v>
      </c>
      <c r="M61" t="s">
        <v>37</v>
      </c>
      <c r="N61" t="s">
        <v>37</v>
      </c>
      <c r="O61" t="s">
        <v>37</v>
      </c>
      <c r="R61" t="s">
        <v>98</v>
      </c>
      <c r="BI61" t="s">
        <v>94</v>
      </c>
      <c r="BJ61" t="s">
        <v>94</v>
      </c>
      <c r="BK61" t="s">
        <v>94</v>
      </c>
    </row>
    <row r="62" spans="1:63" x14ac:dyDescent="0.3">
      <c r="A62" t="s">
        <v>704</v>
      </c>
      <c r="B62" t="s">
        <v>94</v>
      </c>
      <c r="C62" s="21" t="s">
        <v>98</v>
      </c>
      <c r="D62" t="s">
        <v>94</v>
      </c>
      <c r="I62" t="s">
        <v>94</v>
      </c>
      <c r="K62" t="s">
        <v>37</v>
      </c>
      <c r="M62" t="s">
        <v>37</v>
      </c>
      <c r="N62" t="s">
        <v>37</v>
      </c>
      <c r="O62" t="s">
        <v>37</v>
      </c>
      <c r="R62" t="s">
        <v>98</v>
      </c>
      <c r="BI62" t="s">
        <v>94</v>
      </c>
      <c r="BJ62" t="s">
        <v>94</v>
      </c>
      <c r="BK62" t="s">
        <v>94</v>
      </c>
    </row>
    <row r="63" spans="1:63" x14ac:dyDescent="0.3">
      <c r="A63" t="s">
        <v>705</v>
      </c>
      <c r="B63" t="s">
        <v>94</v>
      </c>
      <c r="C63" s="21" t="s">
        <v>98</v>
      </c>
      <c r="D63" t="s">
        <v>94</v>
      </c>
      <c r="I63" t="s">
        <v>94</v>
      </c>
      <c r="K63" t="s">
        <v>37</v>
      </c>
      <c r="M63" t="s">
        <v>37</v>
      </c>
      <c r="N63" t="s">
        <v>37</v>
      </c>
      <c r="O63" t="s">
        <v>37</v>
      </c>
      <c r="R63" t="s">
        <v>98</v>
      </c>
      <c r="BI63" t="s">
        <v>94</v>
      </c>
      <c r="BJ63" t="s">
        <v>94</v>
      </c>
      <c r="BK63" t="s">
        <v>94</v>
      </c>
    </row>
    <row r="64" spans="1:63" x14ac:dyDescent="0.3">
      <c r="A64" t="s">
        <v>520</v>
      </c>
      <c r="B64" t="s">
        <v>98</v>
      </c>
      <c r="C64" s="21" t="s">
        <v>98</v>
      </c>
      <c r="D64" t="s">
        <v>98</v>
      </c>
      <c r="E64" t="s">
        <v>98</v>
      </c>
      <c r="F64" t="s">
        <v>98</v>
      </c>
      <c r="G64" t="s">
        <v>98</v>
      </c>
      <c r="J64" t="s">
        <v>98</v>
      </c>
      <c r="L64" t="s">
        <v>37</v>
      </c>
      <c r="M64" s="21" t="s">
        <v>98</v>
      </c>
      <c r="N64" t="s">
        <v>37</v>
      </c>
      <c r="O64" t="s">
        <v>37</v>
      </c>
      <c r="P64" t="s">
        <v>98</v>
      </c>
      <c r="Q64" t="s">
        <v>98</v>
      </c>
      <c r="R64" t="s">
        <v>98</v>
      </c>
      <c r="BI64" t="s">
        <v>94</v>
      </c>
      <c r="BJ64" t="s">
        <v>94</v>
      </c>
      <c r="BK64" t="s">
        <v>94</v>
      </c>
    </row>
    <row r="65" spans="1:63" x14ac:dyDescent="0.3">
      <c r="A65" t="s">
        <v>521</v>
      </c>
      <c r="B65" t="s">
        <v>98</v>
      </c>
      <c r="C65" s="21" t="s">
        <v>98</v>
      </c>
      <c r="D65" t="s">
        <v>98</v>
      </c>
      <c r="E65" t="s">
        <v>98</v>
      </c>
      <c r="F65" t="s">
        <v>98</v>
      </c>
      <c r="G65" t="s">
        <v>98</v>
      </c>
      <c r="J65" t="s">
        <v>98</v>
      </c>
      <c r="L65" t="s">
        <v>37</v>
      </c>
      <c r="M65" s="21" t="s">
        <v>98</v>
      </c>
      <c r="N65" t="s">
        <v>37</v>
      </c>
      <c r="O65" t="s">
        <v>37</v>
      </c>
      <c r="P65" t="s">
        <v>98</v>
      </c>
      <c r="Q65" t="s">
        <v>98</v>
      </c>
      <c r="R65" t="s">
        <v>98</v>
      </c>
      <c r="BI65" t="s">
        <v>94</v>
      </c>
      <c r="BJ65" t="s">
        <v>94</v>
      </c>
      <c r="BK65" t="s">
        <v>94</v>
      </c>
    </row>
    <row r="66" spans="1:63" x14ac:dyDescent="0.3">
      <c r="A66" t="s">
        <v>522</v>
      </c>
      <c r="B66" t="s">
        <v>98</v>
      </c>
      <c r="C66" s="21" t="s">
        <v>98</v>
      </c>
      <c r="D66" t="s">
        <v>98</v>
      </c>
      <c r="E66" t="s">
        <v>98</v>
      </c>
      <c r="F66" t="s">
        <v>98</v>
      </c>
      <c r="G66" t="s">
        <v>98</v>
      </c>
      <c r="J66" t="s">
        <v>98</v>
      </c>
      <c r="L66" t="s">
        <v>37</v>
      </c>
      <c r="M66" s="21" t="s">
        <v>98</v>
      </c>
      <c r="N66" t="s">
        <v>37</v>
      </c>
      <c r="O66" t="s">
        <v>37</v>
      </c>
      <c r="P66" t="s">
        <v>98</v>
      </c>
      <c r="Q66" t="s">
        <v>98</v>
      </c>
      <c r="R66" t="s">
        <v>98</v>
      </c>
      <c r="BI66" t="s">
        <v>94</v>
      </c>
      <c r="BJ66" t="s">
        <v>94</v>
      </c>
      <c r="BK66" t="s">
        <v>94</v>
      </c>
    </row>
    <row r="67" spans="1:63" x14ac:dyDescent="0.3">
      <c r="A67" t="s">
        <v>523</v>
      </c>
      <c r="B67" t="s">
        <v>98</v>
      </c>
      <c r="C67" s="21" t="s">
        <v>98</v>
      </c>
      <c r="D67" t="s">
        <v>98</v>
      </c>
      <c r="E67" t="s">
        <v>98</v>
      </c>
      <c r="F67" t="s">
        <v>98</v>
      </c>
      <c r="G67" t="s">
        <v>98</v>
      </c>
      <c r="J67" t="s">
        <v>98</v>
      </c>
      <c r="L67" t="s">
        <v>37</v>
      </c>
      <c r="M67" s="21" t="s">
        <v>98</v>
      </c>
      <c r="N67" t="s">
        <v>37</v>
      </c>
      <c r="O67" t="s">
        <v>37</v>
      </c>
      <c r="P67" t="s">
        <v>98</v>
      </c>
      <c r="Q67" t="s">
        <v>98</v>
      </c>
      <c r="R67" t="s">
        <v>98</v>
      </c>
      <c r="BI67" t="s">
        <v>94</v>
      </c>
      <c r="BJ67" t="s">
        <v>94</v>
      </c>
      <c r="BK67" t="s">
        <v>94</v>
      </c>
    </row>
    <row r="69" spans="1:63" x14ac:dyDescent="0.3">
      <c r="A69" t="s">
        <v>74</v>
      </c>
    </row>
    <row r="70" spans="1:63" x14ac:dyDescent="0.3">
      <c r="B70" s="21" t="s">
        <v>15</v>
      </c>
      <c r="C70" s="21" t="s">
        <v>14</v>
      </c>
      <c r="D70" t="s">
        <v>16</v>
      </c>
      <c r="E70" t="s">
        <v>557</v>
      </c>
      <c r="F70" t="s">
        <v>19</v>
      </c>
      <c r="G70" t="s">
        <v>20</v>
      </c>
      <c r="H70" t="s">
        <v>22</v>
      </c>
      <c r="I70" t="s">
        <v>24</v>
      </c>
      <c r="J70" t="s">
        <v>53</v>
      </c>
      <c r="K70" t="s">
        <v>27</v>
      </c>
      <c r="L70" t="s">
        <v>28</v>
      </c>
      <c r="M70" s="12" t="s">
        <v>123</v>
      </c>
      <c r="N70" t="s">
        <v>108</v>
      </c>
      <c r="O70" t="s">
        <v>117</v>
      </c>
      <c r="P70" t="s">
        <v>150</v>
      </c>
      <c r="Q70" t="s">
        <v>151</v>
      </c>
      <c r="R70" t="s">
        <v>152</v>
      </c>
      <c r="S70" t="s">
        <v>67</v>
      </c>
      <c r="T70" t="s">
        <v>68</v>
      </c>
      <c r="U70" t="s">
        <v>56</v>
      </c>
      <c r="V70" t="s">
        <v>57</v>
      </c>
      <c r="W70" t="s">
        <v>58</v>
      </c>
      <c r="X70" t="s">
        <v>59</v>
      </c>
      <c r="Y70" t="s">
        <v>60</v>
      </c>
      <c r="Z70" t="s">
        <v>62</v>
      </c>
      <c r="AA70" t="s">
        <v>61</v>
      </c>
      <c r="AB70" t="s">
        <v>63</v>
      </c>
      <c r="AC70" s="21" t="s">
        <v>659</v>
      </c>
      <c r="AD70" s="21" t="s">
        <v>603</v>
      </c>
      <c r="AE70" s="21" t="s">
        <v>604</v>
      </c>
      <c r="AF70" s="21" t="s">
        <v>605</v>
      </c>
      <c r="AG70" s="21" t="s">
        <v>606</v>
      </c>
      <c r="AH70" s="21" t="s">
        <v>607</v>
      </c>
      <c r="AI70" s="21" t="s">
        <v>608</v>
      </c>
      <c r="AJ70" s="21" t="s">
        <v>609</v>
      </c>
      <c r="AK70" s="21" t="s">
        <v>610</v>
      </c>
      <c r="AL70" s="21" t="s">
        <v>611</v>
      </c>
      <c r="AM70" s="21" t="s">
        <v>612</v>
      </c>
      <c r="AN70" s="21" t="s">
        <v>56</v>
      </c>
      <c r="AO70" s="21" t="s">
        <v>613</v>
      </c>
      <c r="AP70" s="21" t="s">
        <v>614</v>
      </c>
      <c r="AQ70" s="21" t="s">
        <v>615</v>
      </c>
      <c r="AR70" s="21" t="s">
        <v>616</v>
      </c>
      <c r="AS70" s="21" t="s">
        <v>617</v>
      </c>
      <c r="AT70" s="21" t="s">
        <v>618</v>
      </c>
      <c r="AU70" s="21" t="s">
        <v>619</v>
      </c>
      <c r="AV70" s="21" t="s">
        <v>622</v>
      </c>
      <c r="AW70" s="21" t="s">
        <v>620</v>
      </c>
      <c r="AX70" s="21" t="s">
        <v>621</v>
      </c>
      <c r="AY70" s="21" t="s">
        <v>623</v>
      </c>
      <c r="AZ70" s="21" t="s">
        <v>624</v>
      </c>
      <c r="BA70" s="21" t="s">
        <v>625</v>
      </c>
      <c r="BB70" s="21" t="s">
        <v>626</v>
      </c>
      <c r="BC70" s="21" t="s">
        <v>581</v>
      </c>
      <c r="BD70" s="21" t="s">
        <v>583</v>
      </c>
      <c r="BE70" s="21" t="s">
        <v>582</v>
      </c>
      <c r="BF70" s="21" t="s">
        <v>629</v>
      </c>
      <c r="BG70" s="21" t="s">
        <v>627</v>
      </c>
      <c r="BH70" s="21" t="s">
        <v>628</v>
      </c>
      <c r="BI70" t="s">
        <v>29</v>
      </c>
      <c r="BJ70" t="s">
        <v>30</v>
      </c>
      <c r="BK70" t="s">
        <v>31</v>
      </c>
    </row>
    <row r="71" spans="1:63" x14ac:dyDescent="0.3">
      <c r="A71" t="s">
        <v>688</v>
      </c>
      <c r="B71" t="s">
        <v>95</v>
      </c>
      <c r="C71" s="21" t="s">
        <v>144</v>
      </c>
      <c r="D71" t="s">
        <v>95</v>
      </c>
      <c r="E71" s="21" t="s">
        <v>479</v>
      </c>
      <c r="F71" t="s">
        <v>99</v>
      </c>
      <c r="G71" t="s">
        <v>100</v>
      </c>
      <c r="J71" s="21" t="s">
        <v>657</v>
      </c>
      <c r="K71" t="s">
        <v>104</v>
      </c>
      <c r="L71" t="s">
        <v>105</v>
      </c>
      <c r="M71" t="s">
        <v>124</v>
      </c>
      <c r="N71" t="s">
        <v>113</v>
      </c>
      <c r="O71" t="s">
        <v>118</v>
      </c>
      <c r="P71" t="s">
        <v>574</v>
      </c>
      <c r="Q71" t="s">
        <v>156</v>
      </c>
      <c r="R71" t="s">
        <v>154</v>
      </c>
      <c r="BI71" t="s">
        <v>167</v>
      </c>
      <c r="BJ71" t="s">
        <v>168</v>
      </c>
      <c r="BK71" s="13" t="s">
        <v>169</v>
      </c>
    </row>
    <row r="72" spans="1:63" x14ac:dyDescent="0.3">
      <c r="A72" t="s">
        <v>33</v>
      </c>
      <c r="B72" t="s">
        <v>95</v>
      </c>
      <c r="C72" s="21" t="s">
        <v>144</v>
      </c>
      <c r="D72" t="s">
        <v>95</v>
      </c>
      <c r="E72" s="22"/>
      <c r="F72" t="s">
        <v>99</v>
      </c>
      <c r="G72" t="s">
        <v>100</v>
      </c>
      <c r="J72" s="21" t="s">
        <v>196</v>
      </c>
      <c r="K72" t="s">
        <v>104</v>
      </c>
      <c r="L72" t="s">
        <v>105</v>
      </c>
      <c r="M72" t="s">
        <v>124</v>
      </c>
      <c r="N72" t="s">
        <v>113</v>
      </c>
      <c r="O72" t="s">
        <v>118</v>
      </c>
      <c r="P72" s="21" t="s">
        <v>574</v>
      </c>
      <c r="R72" t="s">
        <v>154</v>
      </c>
      <c r="BI72" t="s">
        <v>167</v>
      </c>
      <c r="BJ72" t="s">
        <v>168</v>
      </c>
      <c r="BK72" s="13" t="s">
        <v>169</v>
      </c>
    </row>
    <row r="73" spans="1:63" x14ac:dyDescent="0.3">
      <c r="A73" t="s">
        <v>517</v>
      </c>
      <c r="B73" s="22" t="s">
        <v>501</v>
      </c>
      <c r="C73" s="21" t="s">
        <v>144</v>
      </c>
      <c r="D73" s="22" t="s">
        <v>501</v>
      </c>
      <c r="E73" s="21" t="s">
        <v>479</v>
      </c>
      <c r="F73" t="s">
        <v>99</v>
      </c>
      <c r="G73" t="s">
        <v>100</v>
      </c>
      <c r="J73" s="21" t="s">
        <v>196</v>
      </c>
      <c r="K73" t="s">
        <v>104</v>
      </c>
      <c r="L73" t="s">
        <v>105</v>
      </c>
      <c r="M73" s="21" t="s">
        <v>503</v>
      </c>
      <c r="N73" t="s">
        <v>113</v>
      </c>
      <c r="O73" t="s">
        <v>118</v>
      </c>
      <c r="P73" t="s">
        <v>156</v>
      </c>
      <c r="Q73" t="s">
        <v>156</v>
      </c>
      <c r="R73" t="s">
        <v>154</v>
      </c>
      <c r="BI73" t="s">
        <v>167</v>
      </c>
      <c r="BJ73" t="s">
        <v>168</v>
      </c>
      <c r="BK73" s="13" t="s">
        <v>169</v>
      </c>
    </row>
    <row r="74" spans="1:63" x14ac:dyDescent="0.3">
      <c r="A74" t="s">
        <v>518</v>
      </c>
      <c r="B74" s="22" t="s">
        <v>501</v>
      </c>
      <c r="C74" s="21" t="s">
        <v>144</v>
      </c>
      <c r="D74" s="22" t="s">
        <v>501</v>
      </c>
      <c r="E74" s="21" t="s">
        <v>479</v>
      </c>
      <c r="F74" t="s">
        <v>99</v>
      </c>
      <c r="G74" t="s">
        <v>100</v>
      </c>
      <c r="J74" s="21" t="s">
        <v>196</v>
      </c>
      <c r="K74" t="s">
        <v>104</v>
      </c>
      <c r="L74" t="s">
        <v>105</v>
      </c>
      <c r="M74" s="21" t="s">
        <v>503</v>
      </c>
      <c r="N74" t="s">
        <v>113</v>
      </c>
      <c r="O74" t="s">
        <v>118</v>
      </c>
      <c r="P74" t="s">
        <v>156</v>
      </c>
      <c r="Q74" t="s">
        <v>156</v>
      </c>
      <c r="R74" t="s">
        <v>154</v>
      </c>
      <c r="BI74" t="s">
        <v>167</v>
      </c>
      <c r="BJ74" t="s">
        <v>168</v>
      </c>
      <c r="BK74" s="13" t="s">
        <v>169</v>
      </c>
    </row>
    <row r="75" spans="1:63" x14ac:dyDescent="0.3">
      <c r="A75" t="s">
        <v>524</v>
      </c>
      <c r="B75" s="22" t="s">
        <v>501</v>
      </c>
      <c r="C75" s="21" t="s">
        <v>144</v>
      </c>
      <c r="D75" s="22" t="s">
        <v>501</v>
      </c>
      <c r="E75" s="21" t="s">
        <v>479</v>
      </c>
      <c r="F75" t="s">
        <v>99</v>
      </c>
      <c r="G75" t="s">
        <v>100</v>
      </c>
      <c r="J75" s="21" t="s">
        <v>196</v>
      </c>
      <c r="K75" t="s">
        <v>104</v>
      </c>
      <c r="L75" t="s">
        <v>105</v>
      </c>
      <c r="M75" s="21" t="s">
        <v>503</v>
      </c>
      <c r="N75" t="s">
        <v>113</v>
      </c>
      <c r="O75" t="s">
        <v>118</v>
      </c>
      <c r="P75" t="s">
        <v>156</v>
      </c>
      <c r="Q75" t="s">
        <v>156</v>
      </c>
      <c r="R75" t="s">
        <v>154</v>
      </c>
      <c r="BI75" t="s">
        <v>167</v>
      </c>
      <c r="BJ75" t="s">
        <v>168</v>
      </c>
      <c r="BK75" s="13" t="s">
        <v>169</v>
      </c>
    </row>
    <row r="76" spans="1:63" x14ac:dyDescent="0.3">
      <c r="A76" t="s">
        <v>519</v>
      </c>
      <c r="B76" t="s">
        <v>106</v>
      </c>
      <c r="C76" s="21" t="s">
        <v>144</v>
      </c>
      <c r="D76" t="s">
        <v>106</v>
      </c>
      <c r="E76" t="s">
        <v>106</v>
      </c>
      <c r="F76" t="s">
        <v>99</v>
      </c>
      <c r="G76" t="s">
        <v>100</v>
      </c>
      <c r="L76" t="s">
        <v>129</v>
      </c>
      <c r="M76" t="s">
        <v>125</v>
      </c>
      <c r="N76" t="s">
        <v>111</v>
      </c>
      <c r="P76" t="s">
        <v>569</v>
      </c>
      <c r="Q76" s="21" t="s">
        <v>569</v>
      </c>
      <c r="R76" t="s">
        <v>154</v>
      </c>
      <c r="BI76" t="s">
        <v>167</v>
      </c>
      <c r="BJ76" t="s">
        <v>168</v>
      </c>
      <c r="BK76" s="13" t="s">
        <v>169</v>
      </c>
    </row>
    <row r="77" spans="1:63" x14ac:dyDescent="0.3">
      <c r="A77" t="s">
        <v>645</v>
      </c>
      <c r="B77" t="s">
        <v>120</v>
      </c>
      <c r="C77" s="21" t="s">
        <v>144</v>
      </c>
      <c r="D77" t="s">
        <v>120</v>
      </c>
      <c r="I77" t="s">
        <v>122</v>
      </c>
      <c r="K77" t="s">
        <v>656</v>
      </c>
      <c r="M77" t="s">
        <v>126</v>
      </c>
      <c r="N77" t="s">
        <v>113</v>
      </c>
      <c r="O77" t="s">
        <v>118</v>
      </c>
      <c r="R77" t="s">
        <v>154</v>
      </c>
      <c r="BI77" t="s">
        <v>167</v>
      </c>
      <c r="BJ77" t="s">
        <v>168</v>
      </c>
      <c r="BK77" s="13" t="s">
        <v>169</v>
      </c>
    </row>
    <row r="78" spans="1:63" x14ac:dyDescent="0.3">
      <c r="A78" t="s">
        <v>646</v>
      </c>
      <c r="B78" t="s">
        <v>120</v>
      </c>
      <c r="C78" s="21" t="s">
        <v>144</v>
      </c>
      <c r="D78" t="s">
        <v>120</v>
      </c>
      <c r="I78" t="s">
        <v>122</v>
      </c>
      <c r="K78" s="21" t="s">
        <v>656</v>
      </c>
      <c r="M78" t="s">
        <v>126</v>
      </c>
      <c r="N78" t="s">
        <v>113</v>
      </c>
      <c r="O78" t="s">
        <v>118</v>
      </c>
      <c r="R78" t="s">
        <v>154</v>
      </c>
      <c r="BI78" t="s">
        <v>167</v>
      </c>
      <c r="BJ78" t="s">
        <v>168</v>
      </c>
      <c r="BK78" s="13" t="s">
        <v>169</v>
      </c>
    </row>
    <row r="79" spans="1:63" x14ac:dyDescent="0.3">
      <c r="A79" t="s">
        <v>647</v>
      </c>
      <c r="B79" t="s">
        <v>120</v>
      </c>
      <c r="C79" s="21" t="s">
        <v>144</v>
      </c>
      <c r="D79" t="s">
        <v>120</v>
      </c>
      <c r="I79" t="s">
        <v>122</v>
      </c>
      <c r="K79" s="21" t="s">
        <v>656</v>
      </c>
      <c r="M79" t="s">
        <v>126</v>
      </c>
      <c r="N79" t="s">
        <v>113</v>
      </c>
      <c r="O79" t="s">
        <v>118</v>
      </c>
      <c r="R79" t="s">
        <v>154</v>
      </c>
      <c r="BI79" t="s">
        <v>167</v>
      </c>
      <c r="BJ79" t="s">
        <v>168</v>
      </c>
      <c r="BK79" s="13" t="s">
        <v>169</v>
      </c>
    </row>
    <row r="80" spans="1:63" s="21" customFormat="1" x14ac:dyDescent="0.3">
      <c r="A80" s="21" t="s">
        <v>675</v>
      </c>
      <c r="B80" s="21" t="s">
        <v>120</v>
      </c>
      <c r="C80" s="21" t="s">
        <v>144</v>
      </c>
      <c r="D80" s="21" t="s">
        <v>120</v>
      </c>
      <c r="I80" s="21" t="s">
        <v>122</v>
      </c>
      <c r="K80" s="21" t="s">
        <v>656</v>
      </c>
      <c r="M80" s="21" t="s">
        <v>126</v>
      </c>
      <c r="N80" s="21" t="s">
        <v>113</v>
      </c>
      <c r="O80" s="21" t="s">
        <v>118</v>
      </c>
      <c r="R80" s="21" t="s">
        <v>154</v>
      </c>
      <c r="BI80" s="21" t="s">
        <v>167</v>
      </c>
      <c r="BJ80" s="21" t="s">
        <v>168</v>
      </c>
      <c r="BK80" s="13" t="s">
        <v>169</v>
      </c>
    </row>
    <row r="81" spans="1:63" s="21" customFormat="1" x14ac:dyDescent="0.3">
      <c r="A81" s="21" t="s">
        <v>676</v>
      </c>
      <c r="B81" s="21" t="s">
        <v>120</v>
      </c>
      <c r="C81" s="21" t="s">
        <v>144</v>
      </c>
      <c r="D81" s="21" t="s">
        <v>120</v>
      </c>
      <c r="I81" s="21" t="s">
        <v>122</v>
      </c>
      <c r="K81" s="21" t="s">
        <v>656</v>
      </c>
      <c r="M81" s="21" t="s">
        <v>126</v>
      </c>
      <c r="N81" s="21" t="s">
        <v>113</v>
      </c>
      <c r="O81" s="21" t="s">
        <v>118</v>
      </c>
      <c r="R81" s="21" t="s">
        <v>154</v>
      </c>
      <c r="BI81" s="21" t="s">
        <v>167</v>
      </c>
      <c r="BJ81" s="21" t="s">
        <v>168</v>
      </c>
      <c r="BK81" s="13" t="s">
        <v>169</v>
      </c>
    </row>
    <row r="82" spans="1:63" s="21" customFormat="1" x14ac:dyDescent="0.3">
      <c r="A82" s="21" t="s">
        <v>677</v>
      </c>
      <c r="B82" s="21" t="s">
        <v>120</v>
      </c>
      <c r="C82" s="21" t="s">
        <v>144</v>
      </c>
      <c r="D82" s="21" t="s">
        <v>120</v>
      </c>
      <c r="I82" s="21" t="s">
        <v>122</v>
      </c>
      <c r="K82" s="21" t="s">
        <v>656</v>
      </c>
      <c r="M82" s="21" t="s">
        <v>126</v>
      </c>
      <c r="N82" s="21" t="s">
        <v>113</v>
      </c>
      <c r="O82" s="21" t="s">
        <v>118</v>
      </c>
      <c r="R82" s="21" t="s">
        <v>154</v>
      </c>
      <c r="BI82" s="21" t="s">
        <v>167</v>
      </c>
      <c r="BJ82" s="21" t="s">
        <v>168</v>
      </c>
      <c r="BK82" s="13" t="s">
        <v>169</v>
      </c>
    </row>
    <row r="83" spans="1:63" x14ac:dyDescent="0.3">
      <c r="A83" t="s">
        <v>636</v>
      </c>
      <c r="B83" t="s">
        <v>120</v>
      </c>
      <c r="C83" s="21" t="s">
        <v>144</v>
      </c>
      <c r="D83" t="s">
        <v>120</v>
      </c>
      <c r="I83" t="s">
        <v>122</v>
      </c>
      <c r="K83" s="21" t="s">
        <v>656</v>
      </c>
      <c r="M83" t="s">
        <v>126</v>
      </c>
      <c r="N83" t="s">
        <v>113</v>
      </c>
      <c r="O83" t="s">
        <v>118</v>
      </c>
      <c r="R83" t="s">
        <v>154</v>
      </c>
      <c r="BI83" t="s">
        <v>167</v>
      </c>
      <c r="BJ83" t="s">
        <v>168</v>
      </c>
      <c r="BK83" s="13" t="s">
        <v>169</v>
      </c>
    </row>
    <row r="84" spans="1:63" x14ac:dyDescent="0.3">
      <c r="A84" t="s">
        <v>637</v>
      </c>
      <c r="B84" t="s">
        <v>120</v>
      </c>
      <c r="C84" s="21" t="s">
        <v>144</v>
      </c>
      <c r="D84" t="s">
        <v>120</v>
      </c>
      <c r="I84" t="s">
        <v>122</v>
      </c>
      <c r="K84" s="21" t="s">
        <v>656</v>
      </c>
      <c r="M84" t="s">
        <v>126</v>
      </c>
      <c r="N84" t="s">
        <v>113</v>
      </c>
      <c r="O84" t="s">
        <v>118</v>
      </c>
      <c r="R84" t="s">
        <v>154</v>
      </c>
      <c r="BI84" t="s">
        <v>167</v>
      </c>
      <c r="BJ84" t="s">
        <v>168</v>
      </c>
      <c r="BK84" s="13" t="s">
        <v>169</v>
      </c>
    </row>
    <row r="85" spans="1:63" x14ac:dyDescent="0.3">
      <c r="A85" t="s">
        <v>638</v>
      </c>
      <c r="B85" t="s">
        <v>120</v>
      </c>
      <c r="C85" s="21" t="s">
        <v>144</v>
      </c>
      <c r="D85" t="s">
        <v>120</v>
      </c>
      <c r="I85" t="s">
        <v>122</v>
      </c>
      <c r="K85" s="21" t="s">
        <v>656</v>
      </c>
      <c r="M85" t="s">
        <v>126</v>
      </c>
      <c r="N85" t="s">
        <v>113</v>
      </c>
      <c r="O85" t="s">
        <v>118</v>
      </c>
      <c r="R85" t="s">
        <v>154</v>
      </c>
      <c r="BI85" t="s">
        <v>167</v>
      </c>
      <c r="BJ85" t="s">
        <v>168</v>
      </c>
      <c r="BK85" s="13" t="s">
        <v>169</v>
      </c>
    </row>
    <row r="86" spans="1:63" s="21" customFormat="1" x14ac:dyDescent="0.3">
      <c r="A86" s="21" t="s">
        <v>674</v>
      </c>
      <c r="B86" s="21" t="s">
        <v>128</v>
      </c>
      <c r="C86" s="21" t="s">
        <v>144</v>
      </c>
      <c r="D86" s="21" t="s">
        <v>128</v>
      </c>
      <c r="E86" s="21" t="s">
        <v>157</v>
      </c>
      <c r="F86" s="21" t="s">
        <v>99</v>
      </c>
      <c r="G86" s="21" t="s">
        <v>100</v>
      </c>
      <c r="J86" s="21" t="s">
        <v>197</v>
      </c>
      <c r="L86" s="21" t="s">
        <v>105</v>
      </c>
      <c r="M86" s="21" t="s">
        <v>127</v>
      </c>
      <c r="N86" s="21" t="s">
        <v>113</v>
      </c>
      <c r="O86" s="21" t="s">
        <v>118</v>
      </c>
      <c r="P86" s="21" t="s">
        <v>158</v>
      </c>
      <c r="Q86" s="21" t="s">
        <v>158</v>
      </c>
      <c r="R86" s="21" t="s">
        <v>154</v>
      </c>
      <c r="BI86" s="21" t="s">
        <v>167</v>
      </c>
      <c r="BJ86" s="21" t="s">
        <v>168</v>
      </c>
      <c r="BK86" s="13" t="s">
        <v>169</v>
      </c>
    </row>
    <row r="87" spans="1:63" x14ac:dyDescent="0.3">
      <c r="A87" t="s">
        <v>631</v>
      </c>
      <c r="B87" t="s">
        <v>128</v>
      </c>
      <c r="C87" s="21" t="s">
        <v>144</v>
      </c>
      <c r="D87" s="21" t="s">
        <v>128</v>
      </c>
      <c r="E87" t="s">
        <v>157</v>
      </c>
      <c r="F87" t="s">
        <v>99</v>
      </c>
      <c r="G87" t="s">
        <v>100</v>
      </c>
      <c r="J87" t="s">
        <v>197</v>
      </c>
      <c r="L87" s="21" t="s">
        <v>105</v>
      </c>
      <c r="M87" t="s">
        <v>127</v>
      </c>
      <c r="N87" t="s">
        <v>113</v>
      </c>
      <c r="O87" t="s">
        <v>118</v>
      </c>
      <c r="P87" t="s">
        <v>158</v>
      </c>
      <c r="Q87" t="s">
        <v>158</v>
      </c>
      <c r="R87" t="s">
        <v>154</v>
      </c>
      <c r="BI87" t="s">
        <v>167</v>
      </c>
      <c r="BJ87" t="s">
        <v>168</v>
      </c>
      <c r="BK87" s="13" t="s">
        <v>169</v>
      </c>
    </row>
    <row r="88" spans="1:63" x14ac:dyDescent="0.3">
      <c r="A88" t="s">
        <v>712</v>
      </c>
      <c r="B88" t="s">
        <v>120</v>
      </c>
      <c r="C88" s="21" t="s">
        <v>144</v>
      </c>
      <c r="D88" t="s">
        <v>120</v>
      </c>
      <c r="I88" t="s">
        <v>122</v>
      </c>
      <c r="K88" t="s">
        <v>104</v>
      </c>
      <c r="M88" t="s">
        <v>126</v>
      </c>
      <c r="N88" t="s">
        <v>113</v>
      </c>
      <c r="O88" t="s">
        <v>118</v>
      </c>
      <c r="R88" t="s">
        <v>154</v>
      </c>
      <c r="BI88" t="s">
        <v>167</v>
      </c>
      <c r="BJ88" t="s">
        <v>168</v>
      </c>
      <c r="BK88" s="13" t="s">
        <v>169</v>
      </c>
    </row>
    <row r="89" spans="1:63" x14ac:dyDescent="0.3">
      <c r="A89" t="s">
        <v>713</v>
      </c>
      <c r="B89" t="s">
        <v>120</v>
      </c>
      <c r="C89" s="21" t="s">
        <v>144</v>
      </c>
      <c r="D89" t="s">
        <v>120</v>
      </c>
      <c r="I89" t="s">
        <v>122</v>
      </c>
      <c r="K89" t="s">
        <v>104</v>
      </c>
      <c r="M89" t="s">
        <v>126</v>
      </c>
      <c r="N89" t="s">
        <v>113</v>
      </c>
      <c r="O89" t="s">
        <v>118</v>
      </c>
      <c r="R89" t="s">
        <v>154</v>
      </c>
      <c r="BI89" t="s">
        <v>167</v>
      </c>
      <c r="BJ89" t="s">
        <v>168</v>
      </c>
      <c r="BK89" s="13" t="s">
        <v>169</v>
      </c>
    </row>
    <row r="90" spans="1:63" x14ac:dyDescent="0.3">
      <c r="A90" t="s">
        <v>714</v>
      </c>
      <c r="B90" t="s">
        <v>120</v>
      </c>
      <c r="C90" s="21" t="s">
        <v>144</v>
      </c>
      <c r="D90" t="s">
        <v>120</v>
      </c>
      <c r="I90" t="s">
        <v>122</v>
      </c>
      <c r="K90" t="s">
        <v>104</v>
      </c>
      <c r="M90" t="s">
        <v>126</v>
      </c>
      <c r="N90" t="s">
        <v>113</v>
      </c>
      <c r="O90" t="s">
        <v>118</v>
      </c>
      <c r="R90" t="s">
        <v>154</v>
      </c>
      <c r="BI90" t="s">
        <v>167</v>
      </c>
      <c r="BJ90" t="s">
        <v>168</v>
      </c>
      <c r="BK90" s="13" t="s">
        <v>169</v>
      </c>
    </row>
    <row r="91" spans="1:63" x14ac:dyDescent="0.3">
      <c r="A91" t="s">
        <v>694</v>
      </c>
      <c r="B91" t="s">
        <v>120</v>
      </c>
      <c r="C91" s="21" t="s">
        <v>144</v>
      </c>
      <c r="D91" t="s">
        <v>120</v>
      </c>
      <c r="I91" t="s">
        <v>122</v>
      </c>
      <c r="K91" t="s">
        <v>104</v>
      </c>
      <c r="M91" t="s">
        <v>126</v>
      </c>
      <c r="N91" t="s">
        <v>113</v>
      </c>
      <c r="O91" t="s">
        <v>118</v>
      </c>
      <c r="R91" t="s">
        <v>154</v>
      </c>
      <c r="BI91" t="s">
        <v>167</v>
      </c>
      <c r="BJ91" t="s">
        <v>168</v>
      </c>
      <c r="BK91" s="13" t="s">
        <v>169</v>
      </c>
    </row>
    <row r="92" spans="1:63" x14ac:dyDescent="0.3">
      <c r="A92" t="s">
        <v>695</v>
      </c>
      <c r="B92" t="s">
        <v>120</v>
      </c>
      <c r="C92" s="21" t="s">
        <v>144</v>
      </c>
      <c r="D92" t="s">
        <v>120</v>
      </c>
      <c r="I92" t="s">
        <v>122</v>
      </c>
      <c r="K92" t="s">
        <v>104</v>
      </c>
      <c r="M92" t="s">
        <v>126</v>
      </c>
      <c r="N92" t="s">
        <v>113</v>
      </c>
      <c r="O92" t="s">
        <v>118</v>
      </c>
      <c r="R92" t="s">
        <v>154</v>
      </c>
      <c r="BI92" t="s">
        <v>167</v>
      </c>
      <c r="BJ92" t="s">
        <v>168</v>
      </c>
      <c r="BK92" s="13" t="s">
        <v>169</v>
      </c>
    </row>
    <row r="93" spans="1:63" x14ac:dyDescent="0.3">
      <c r="A93" t="s">
        <v>696</v>
      </c>
      <c r="B93" t="s">
        <v>120</v>
      </c>
      <c r="C93" s="21" t="s">
        <v>144</v>
      </c>
      <c r="D93" t="s">
        <v>120</v>
      </c>
      <c r="I93" t="s">
        <v>122</v>
      </c>
      <c r="K93" t="s">
        <v>104</v>
      </c>
      <c r="M93" t="s">
        <v>126</v>
      </c>
      <c r="N93" t="s">
        <v>113</v>
      </c>
      <c r="O93" t="s">
        <v>118</v>
      </c>
      <c r="R93" t="s">
        <v>154</v>
      </c>
      <c r="BI93" t="s">
        <v>167</v>
      </c>
      <c r="BJ93" t="s">
        <v>168</v>
      </c>
      <c r="BK93" s="13" t="s">
        <v>169</v>
      </c>
    </row>
    <row r="94" spans="1:63" x14ac:dyDescent="0.3">
      <c r="A94" t="s">
        <v>703</v>
      </c>
      <c r="B94" t="s">
        <v>120</v>
      </c>
      <c r="C94" s="21" t="s">
        <v>144</v>
      </c>
      <c r="D94" t="s">
        <v>120</v>
      </c>
      <c r="I94" t="s">
        <v>122</v>
      </c>
      <c r="K94" t="s">
        <v>104</v>
      </c>
      <c r="M94" t="s">
        <v>126</v>
      </c>
      <c r="N94" t="s">
        <v>113</v>
      </c>
      <c r="O94" t="s">
        <v>118</v>
      </c>
      <c r="R94" t="s">
        <v>154</v>
      </c>
      <c r="BI94" t="s">
        <v>167</v>
      </c>
      <c r="BJ94" t="s">
        <v>168</v>
      </c>
      <c r="BK94" s="13" t="s">
        <v>169</v>
      </c>
    </row>
    <row r="95" spans="1:63" x14ac:dyDescent="0.3">
      <c r="A95" t="s">
        <v>704</v>
      </c>
      <c r="B95" t="s">
        <v>120</v>
      </c>
      <c r="C95" s="21" t="s">
        <v>144</v>
      </c>
      <c r="D95" t="s">
        <v>120</v>
      </c>
      <c r="I95" t="s">
        <v>122</v>
      </c>
      <c r="K95" t="s">
        <v>104</v>
      </c>
      <c r="M95" t="s">
        <v>126</v>
      </c>
      <c r="N95" t="s">
        <v>113</v>
      </c>
      <c r="O95" t="s">
        <v>118</v>
      </c>
      <c r="R95" t="s">
        <v>154</v>
      </c>
      <c r="BI95" t="s">
        <v>167</v>
      </c>
      <c r="BJ95" t="s">
        <v>168</v>
      </c>
      <c r="BK95" s="13" t="s">
        <v>169</v>
      </c>
    </row>
    <row r="96" spans="1:63" x14ac:dyDescent="0.3">
      <c r="A96" t="s">
        <v>705</v>
      </c>
      <c r="B96" t="s">
        <v>120</v>
      </c>
      <c r="C96" s="21" t="s">
        <v>144</v>
      </c>
      <c r="D96" t="s">
        <v>120</v>
      </c>
      <c r="I96" t="s">
        <v>122</v>
      </c>
      <c r="K96" t="s">
        <v>104</v>
      </c>
      <c r="M96" t="s">
        <v>126</v>
      </c>
      <c r="N96" t="s">
        <v>113</v>
      </c>
      <c r="O96" t="s">
        <v>118</v>
      </c>
      <c r="R96" t="s">
        <v>154</v>
      </c>
      <c r="BI96" t="s">
        <v>167</v>
      </c>
      <c r="BJ96" t="s">
        <v>168</v>
      </c>
      <c r="BK96" s="13" t="s">
        <v>169</v>
      </c>
    </row>
    <row r="97" spans="1:63" x14ac:dyDescent="0.3">
      <c r="A97" t="s">
        <v>520</v>
      </c>
      <c r="B97" t="s">
        <v>128</v>
      </c>
      <c r="C97" s="21" t="s">
        <v>144</v>
      </c>
      <c r="D97" s="21" t="s">
        <v>128</v>
      </c>
      <c r="E97" t="s">
        <v>157</v>
      </c>
      <c r="F97" t="s">
        <v>99</v>
      </c>
      <c r="G97" t="s">
        <v>100</v>
      </c>
      <c r="J97" s="21" t="s">
        <v>197</v>
      </c>
      <c r="L97" s="21" t="s">
        <v>105</v>
      </c>
      <c r="M97" t="s">
        <v>127</v>
      </c>
      <c r="N97" t="s">
        <v>113</v>
      </c>
      <c r="O97" t="s">
        <v>118</v>
      </c>
      <c r="P97" t="s">
        <v>158</v>
      </c>
      <c r="Q97" t="s">
        <v>158</v>
      </c>
      <c r="R97" t="s">
        <v>154</v>
      </c>
      <c r="BI97" t="s">
        <v>167</v>
      </c>
      <c r="BJ97" t="s">
        <v>168</v>
      </c>
      <c r="BK97" s="13" t="s">
        <v>169</v>
      </c>
    </row>
    <row r="98" spans="1:63" x14ac:dyDescent="0.3">
      <c r="A98" t="s">
        <v>521</v>
      </c>
      <c r="B98" t="s">
        <v>128</v>
      </c>
      <c r="C98" s="21" t="s">
        <v>144</v>
      </c>
      <c r="D98" s="21" t="s">
        <v>128</v>
      </c>
      <c r="E98" t="s">
        <v>157</v>
      </c>
      <c r="F98" t="s">
        <v>99</v>
      </c>
      <c r="G98" t="s">
        <v>100</v>
      </c>
      <c r="J98" s="21" t="s">
        <v>197</v>
      </c>
      <c r="L98" s="21" t="s">
        <v>105</v>
      </c>
      <c r="M98" t="s">
        <v>127</v>
      </c>
      <c r="N98" t="s">
        <v>113</v>
      </c>
      <c r="O98" t="s">
        <v>118</v>
      </c>
      <c r="P98" t="s">
        <v>158</v>
      </c>
      <c r="Q98" t="s">
        <v>158</v>
      </c>
      <c r="R98" t="s">
        <v>154</v>
      </c>
      <c r="BI98" t="s">
        <v>167</v>
      </c>
      <c r="BJ98" t="s">
        <v>168</v>
      </c>
      <c r="BK98" s="13" t="s">
        <v>169</v>
      </c>
    </row>
    <row r="99" spans="1:63" x14ac:dyDescent="0.3">
      <c r="A99" t="s">
        <v>522</v>
      </c>
      <c r="B99" t="s">
        <v>128</v>
      </c>
      <c r="C99" s="21" t="s">
        <v>144</v>
      </c>
      <c r="D99" s="21" t="s">
        <v>128</v>
      </c>
      <c r="E99" t="s">
        <v>157</v>
      </c>
      <c r="F99" t="s">
        <v>99</v>
      </c>
      <c r="G99" t="s">
        <v>100</v>
      </c>
      <c r="J99" s="21" t="s">
        <v>197</v>
      </c>
      <c r="L99" s="21" t="s">
        <v>105</v>
      </c>
      <c r="M99" t="s">
        <v>127</v>
      </c>
      <c r="N99" t="s">
        <v>113</v>
      </c>
      <c r="O99" t="s">
        <v>118</v>
      </c>
      <c r="P99" t="s">
        <v>158</v>
      </c>
      <c r="Q99" t="s">
        <v>158</v>
      </c>
      <c r="R99" t="s">
        <v>154</v>
      </c>
      <c r="BI99" t="s">
        <v>167</v>
      </c>
      <c r="BJ99" t="s">
        <v>168</v>
      </c>
      <c r="BK99" s="13" t="s">
        <v>169</v>
      </c>
    </row>
    <row r="100" spans="1:63" x14ac:dyDescent="0.3">
      <c r="A100" t="s">
        <v>523</v>
      </c>
      <c r="B100" t="s">
        <v>128</v>
      </c>
      <c r="C100" s="21" t="s">
        <v>144</v>
      </c>
      <c r="D100" s="21" t="s">
        <v>128</v>
      </c>
      <c r="E100" t="s">
        <v>157</v>
      </c>
      <c r="F100" t="s">
        <v>99</v>
      </c>
      <c r="G100" t="s">
        <v>100</v>
      </c>
      <c r="J100" s="21" t="s">
        <v>197</v>
      </c>
      <c r="L100" s="21" t="s">
        <v>105</v>
      </c>
      <c r="M100" t="s">
        <v>127</v>
      </c>
      <c r="N100" t="s">
        <v>113</v>
      </c>
      <c r="O100" t="s">
        <v>118</v>
      </c>
      <c r="P100" t="s">
        <v>158</v>
      </c>
      <c r="Q100" t="s">
        <v>158</v>
      </c>
      <c r="R100" t="s">
        <v>154</v>
      </c>
      <c r="BI100" t="s">
        <v>167</v>
      </c>
      <c r="BJ100" t="s">
        <v>168</v>
      </c>
      <c r="BK100" s="13" t="s">
        <v>169</v>
      </c>
    </row>
    <row r="102" spans="1:63" x14ac:dyDescent="0.3">
      <c r="A102" t="s">
        <v>77</v>
      </c>
    </row>
    <row r="103" spans="1:63" x14ac:dyDescent="0.3">
      <c r="B103" s="21" t="s">
        <v>15</v>
      </c>
      <c r="C103" s="21" t="s">
        <v>14</v>
      </c>
      <c r="D103" t="s">
        <v>16</v>
      </c>
      <c r="E103" t="s">
        <v>557</v>
      </c>
      <c r="F103" t="s">
        <v>19</v>
      </c>
      <c r="G103" t="s">
        <v>20</v>
      </c>
      <c r="H103" t="s">
        <v>22</v>
      </c>
      <c r="I103" t="s">
        <v>24</v>
      </c>
      <c r="J103" t="s">
        <v>53</v>
      </c>
      <c r="K103" t="s">
        <v>27</v>
      </c>
      <c r="L103" t="s">
        <v>28</v>
      </c>
      <c r="M103" s="12" t="s">
        <v>123</v>
      </c>
      <c r="N103" t="s">
        <v>108</v>
      </c>
      <c r="O103" t="s">
        <v>117</v>
      </c>
      <c r="P103" t="s">
        <v>150</v>
      </c>
      <c r="Q103" t="s">
        <v>151</v>
      </c>
      <c r="R103" t="s">
        <v>152</v>
      </c>
      <c r="S103" t="s">
        <v>67</v>
      </c>
      <c r="T103" t="s">
        <v>68</v>
      </c>
      <c r="U103" t="s">
        <v>56</v>
      </c>
      <c r="V103" t="s">
        <v>57</v>
      </c>
      <c r="W103" t="s">
        <v>58</v>
      </c>
      <c r="X103" t="s">
        <v>59</v>
      </c>
      <c r="Y103" t="s">
        <v>60</v>
      </c>
      <c r="Z103" t="s">
        <v>62</v>
      </c>
      <c r="AA103" t="s">
        <v>61</v>
      </c>
      <c r="AB103" t="s">
        <v>63</v>
      </c>
      <c r="AC103" s="21" t="s">
        <v>659</v>
      </c>
      <c r="AD103" s="21" t="s">
        <v>603</v>
      </c>
      <c r="AE103" s="21" t="s">
        <v>604</v>
      </c>
      <c r="AF103" s="21" t="s">
        <v>605</v>
      </c>
      <c r="AG103" s="21" t="s">
        <v>606</v>
      </c>
      <c r="AH103" s="21" t="s">
        <v>607</v>
      </c>
      <c r="AI103" s="21" t="s">
        <v>608</v>
      </c>
      <c r="AJ103" s="21" t="s">
        <v>609</v>
      </c>
      <c r="AK103" s="21" t="s">
        <v>610</v>
      </c>
      <c r="AL103" s="21" t="s">
        <v>611</v>
      </c>
      <c r="AM103" s="21" t="s">
        <v>612</v>
      </c>
      <c r="AN103" s="21" t="s">
        <v>56</v>
      </c>
      <c r="AO103" s="21" t="s">
        <v>613</v>
      </c>
      <c r="AP103" s="21" t="s">
        <v>614</v>
      </c>
      <c r="AQ103" s="21" t="s">
        <v>615</v>
      </c>
      <c r="AR103" s="21" t="s">
        <v>616</v>
      </c>
      <c r="AS103" s="21" t="s">
        <v>617</v>
      </c>
      <c r="AT103" s="21" t="s">
        <v>618</v>
      </c>
      <c r="AU103" s="21" t="s">
        <v>619</v>
      </c>
      <c r="AV103" s="21" t="s">
        <v>622</v>
      </c>
      <c r="AW103" s="21" t="s">
        <v>620</v>
      </c>
      <c r="AX103" s="21" t="s">
        <v>621</v>
      </c>
      <c r="AY103" s="21" t="s">
        <v>623</v>
      </c>
      <c r="AZ103" s="21" t="s">
        <v>624</v>
      </c>
      <c r="BA103" s="21" t="s">
        <v>625</v>
      </c>
      <c r="BB103" s="21" t="s">
        <v>626</v>
      </c>
      <c r="BC103" s="21" t="s">
        <v>581</v>
      </c>
      <c r="BD103" s="21" t="s">
        <v>583</v>
      </c>
      <c r="BE103" s="21" t="s">
        <v>582</v>
      </c>
      <c r="BF103" s="21" t="s">
        <v>629</v>
      </c>
      <c r="BG103" s="21" t="s">
        <v>627</v>
      </c>
      <c r="BH103" s="21" t="s">
        <v>628</v>
      </c>
      <c r="BI103" t="s">
        <v>29</v>
      </c>
      <c r="BJ103" t="s">
        <v>30</v>
      </c>
      <c r="BK103" t="s">
        <v>31</v>
      </c>
    </row>
    <row r="104" spans="1:63" x14ac:dyDescent="0.3">
      <c r="A104" t="s">
        <v>688</v>
      </c>
      <c r="B104" t="s">
        <v>77</v>
      </c>
      <c r="C104" s="21" t="s">
        <v>78</v>
      </c>
      <c r="D104" t="s">
        <v>77</v>
      </c>
      <c r="E104" t="s">
        <v>78</v>
      </c>
      <c r="F104" t="s">
        <v>78</v>
      </c>
      <c r="G104" t="s">
        <v>78</v>
      </c>
      <c r="J104" t="s">
        <v>77</v>
      </c>
      <c r="K104" t="s">
        <v>78</v>
      </c>
      <c r="L104" t="s">
        <v>101</v>
      </c>
      <c r="M104" t="s">
        <v>77</v>
      </c>
      <c r="N104" t="s">
        <v>110</v>
      </c>
      <c r="O104" t="s">
        <v>110</v>
      </c>
      <c r="P104" t="s">
        <v>77</v>
      </c>
      <c r="Q104" t="s">
        <v>77</v>
      </c>
      <c r="R104" t="s">
        <v>78</v>
      </c>
      <c r="S104" t="s">
        <v>78</v>
      </c>
      <c r="T104" t="s">
        <v>78</v>
      </c>
      <c r="U104" t="s">
        <v>78</v>
      </c>
      <c r="V104" t="s">
        <v>78</v>
      </c>
      <c r="W104" t="s">
        <v>78</v>
      </c>
      <c r="X104" t="s">
        <v>78</v>
      </c>
      <c r="Y104" t="s">
        <v>78</v>
      </c>
      <c r="Z104" t="s">
        <v>78</v>
      </c>
      <c r="AA104" t="s">
        <v>78</v>
      </c>
      <c r="AB104" t="s">
        <v>78</v>
      </c>
      <c r="AC104" s="21" t="s">
        <v>78</v>
      </c>
      <c r="AD104" s="21" t="s">
        <v>78</v>
      </c>
      <c r="AE104" s="21" t="s">
        <v>78</v>
      </c>
      <c r="AF104" s="21" t="s">
        <v>78</v>
      </c>
      <c r="AG104" s="21" t="s">
        <v>78</v>
      </c>
      <c r="AH104" s="21" t="s">
        <v>78</v>
      </c>
      <c r="AI104" s="21" t="s">
        <v>78</v>
      </c>
      <c r="AJ104" s="21" t="s">
        <v>78</v>
      </c>
      <c r="AK104" s="21" t="s">
        <v>78</v>
      </c>
      <c r="AL104" s="21" t="s">
        <v>78</v>
      </c>
      <c r="AM104" s="21" t="s">
        <v>78</v>
      </c>
      <c r="AN104" s="21" t="s">
        <v>78</v>
      </c>
      <c r="AO104" s="21" t="s">
        <v>78</v>
      </c>
      <c r="AP104" s="21" t="s">
        <v>78</v>
      </c>
      <c r="AQ104" s="21" t="s">
        <v>78</v>
      </c>
      <c r="AR104" s="21" t="s">
        <v>78</v>
      </c>
      <c r="AS104" s="21" t="s">
        <v>78</v>
      </c>
      <c r="AT104" s="21" t="s">
        <v>78</v>
      </c>
      <c r="AU104" s="21" t="s">
        <v>78</v>
      </c>
      <c r="AV104" s="21" t="s">
        <v>78</v>
      </c>
      <c r="AW104" s="21" t="s">
        <v>78</v>
      </c>
      <c r="AX104" s="21" t="s">
        <v>78</v>
      </c>
      <c r="AY104" s="21" t="s">
        <v>78</v>
      </c>
      <c r="AZ104" s="21" t="s">
        <v>78</v>
      </c>
      <c r="BA104" s="21" t="s">
        <v>78</v>
      </c>
      <c r="BB104" s="21" t="s">
        <v>78</v>
      </c>
      <c r="BC104" s="21" t="s">
        <v>78</v>
      </c>
      <c r="BD104" s="21" t="s">
        <v>78</v>
      </c>
      <c r="BE104" s="21" t="s">
        <v>78</v>
      </c>
      <c r="BF104" s="21" t="s">
        <v>78</v>
      </c>
      <c r="BG104" s="21" t="s">
        <v>78</v>
      </c>
      <c r="BH104" s="21" t="s">
        <v>78</v>
      </c>
      <c r="BI104" t="s">
        <v>78</v>
      </c>
      <c r="BJ104" t="s">
        <v>78</v>
      </c>
      <c r="BK104" t="s">
        <v>78</v>
      </c>
    </row>
    <row r="105" spans="1:63" x14ac:dyDescent="0.3">
      <c r="A105" t="s">
        <v>33</v>
      </c>
      <c r="B105" t="s">
        <v>77</v>
      </c>
      <c r="C105" s="21" t="s">
        <v>78</v>
      </c>
      <c r="D105" t="s">
        <v>77</v>
      </c>
      <c r="F105" t="s">
        <v>78</v>
      </c>
      <c r="G105" t="s">
        <v>78</v>
      </c>
      <c r="J105" t="s">
        <v>77</v>
      </c>
      <c r="K105" t="s">
        <v>78</v>
      </c>
      <c r="L105" t="s">
        <v>101</v>
      </c>
      <c r="M105" t="s">
        <v>77</v>
      </c>
      <c r="N105" t="s">
        <v>110</v>
      </c>
      <c r="O105" t="s">
        <v>110</v>
      </c>
      <c r="P105" t="s">
        <v>77</v>
      </c>
      <c r="R105" t="s">
        <v>78</v>
      </c>
      <c r="S105" t="s">
        <v>78</v>
      </c>
      <c r="T105" t="s">
        <v>78</v>
      </c>
      <c r="U105" t="s">
        <v>78</v>
      </c>
      <c r="V105" t="s">
        <v>78</v>
      </c>
      <c r="W105" t="s">
        <v>78</v>
      </c>
      <c r="X105" t="s">
        <v>78</v>
      </c>
      <c r="Y105" t="s">
        <v>78</v>
      </c>
      <c r="Z105" t="s">
        <v>78</v>
      </c>
      <c r="AA105" t="s">
        <v>78</v>
      </c>
      <c r="AB105" t="s">
        <v>78</v>
      </c>
      <c r="AC105" s="21" t="s">
        <v>78</v>
      </c>
      <c r="AD105" s="21" t="s">
        <v>78</v>
      </c>
      <c r="AE105" s="21" t="s">
        <v>78</v>
      </c>
      <c r="AF105" s="21" t="s">
        <v>78</v>
      </c>
      <c r="AG105" s="21" t="s">
        <v>78</v>
      </c>
      <c r="AH105" s="21" t="s">
        <v>78</v>
      </c>
      <c r="AI105" s="21" t="s">
        <v>78</v>
      </c>
      <c r="AJ105" s="21" t="s">
        <v>78</v>
      </c>
      <c r="AK105" s="21" t="s">
        <v>78</v>
      </c>
      <c r="AL105" s="21" t="s">
        <v>78</v>
      </c>
      <c r="AM105" s="21" t="s">
        <v>78</v>
      </c>
      <c r="AN105" s="21" t="s">
        <v>78</v>
      </c>
      <c r="AO105" s="21" t="s">
        <v>78</v>
      </c>
      <c r="AP105" s="21" t="s">
        <v>78</v>
      </c>
      <c r="AQ105" s="21" t="s">
        <v>78</v>
      </c>
      <c r="AR105" s="21" t="s">
        <v>78</v>
      </c>
      <c r="AS105" s="21" t="s">
        <v>78</v>
      </c>
      <c r="AT105" s="21" t="s">
        <v>78</v>
      </c>
      <c r="AU105" s="21" t="s">
        <v>78</v>
      </c>
      <c r="AV105" s="21" t="s">
        <v>78</v>
      </c>
      <c r="AW105" s="21" t="s">
        <v>78</v>
      </c>
      <c r="AX105" s="21" t="s">
        <v>78</v>
      </c>
      <c r="AY105" s="21" t="s">
        <v>78</v>
      </c>
      <c r="AZ105" s="21" t="s">
        <v>78</v>
      </c>
      <c r="BA105" s="21" t="s">
        <v>78</v>
      </c>
      <c r="BB105" s="21" t="s">
        <v>78</v>
      </c>
      <c r="BC105" s="21" t="s">
        <v>78</v>
      </c>
      <c r="BD105" s="21" t="s">
        <v>78</v>
      </c>
      <c r="BE105" s="21" t="s">
        <v>78</v>
      </c>
      <c r="BF105" s="21" t="s">
        <v>78</v>
      </c>
      <c r="BG105" s="21" t="s">
        <v>78</v>
      </c>
      <c r="BH105" s="21" t="s">
        <v>78</v>
      </c>
      <c r="BI105" t="s">
        <v>78</v>
      </c>
      <c r="BJ105" t="s">
        <v>78</v>
      </c>
      <c r="BK105" t="s">
        <v>78</v>
      </c>
    </row>
    <row r="106" spans="1:63" x14ac:dyDescent="0.3">
      <c r="A106" t="s">
        <v>517</v>
      </c>
      <c r="B106" t="s">
        <v>77</v>
      </c>
      <c r="C106" s="21" t="s">
        <v>78</v>
      </c>
      <c r="D106" t="s">
        <v>77</v>
      </c>
      <c r="E106" s="21" t="s">
        <v>78</v>
      </c>
      <c r="F106" t="s">
        <v>78</v>
      </c>
      <c r="G106" t="s">
        <v>78</v>
      </c>
      <c r="J106" t="s">
        <v>77</v>
      </c>
      <c r="K106" t="s">
        <v>78</v>
      </c>
      <c r="L106" t="s">
        <v>101</v>
      </c>
      <c r="M106" t="s">
        <v>77</v>
      </c>
      <c r="N106" t="s">
        <v>110</v>
      </c>
      <c r="O106" t="s">
        <v>110</v>
      </c>
      <c r="P106" t="s">
        <v>77</v>
      </c>
      <c r="Q106" t="s">
        <v>77</v>
      </c>
      <c r="R106" t="s">
        <v>78</v>
      </c>
      <c r="S106" t="s">
        <v>78</v>
      </c>
      <c r="T106" t="s">
        <v>78</v>
      </c>
      <c r="U106" t="s">
        <v>78</v>
      </c>
      <c r="V106" t="s">
        <v>78</v>
      </c>
      <c r="W106" t="s">
        <v>78</v>
      </c>
      <c r="X106" t="s">
        <v>78</v>
      </c>
      <c r="Y106" t="s">
        <v>78</v>
      </c>
      <c r="Z106" t="s">
        <v>78</v>
      </c>
      <c r="AA106" t="s">
        <v>78</v>
      </c>
      <c r="AB106" t="s">
        <v>78</v>
      </c>
      <c r="AC106" s="21" t="s">
        <v>78</v>
      </c>
      <c r="AD106" s="21" t="s">
        <v>78</v>
      </c>
      <c r="AE106" s="21" t="s">
        <v>78</v>
      </c>
      <c r="AF106" s="21" t="s">
        <v>78</v>
      </c>
      <c r="AG106" s="21" t="s">
        <v>78</v>
      </c>
      <c r="AH106" s="21" t="s">
        <v>78</v>
      </c>
      <c r="AI106" s="21" t="s">
        <v>78</v>
      </c>
      <c r="AJ106" s="21" t="s">
        <v>78</v>
      </c>
      <c r="AK106" s="21" t="s">
        <v>78</v>
      </c>
      <c r="AL106" s="21" t="s">
        <v>78</v>
      </c>
      <c r="AM106" s="21" t="s">
        <v>78</v>
      </c>
      <c r="AN106" s="21" t="s">
        <v>78</v>
      </c>
      <c r="AO106" s="21" t="s">
        <v>78</v>
      </c>
      <c r="AP106" s="21" t="s">
        <v>78</v>
      </c>
      <c r="AQ106" s="21" t="s">
        <v>78</v>
      </c>
      <c r="AR106" s="21" t="s">
        <v>78</v>
      </c>
      <c r="AS106" s="21" t="s">
        <v>78</v>
      </c>
      <c r="AT106" s="21" t="s">
        <v>78</v>
      </c>
      <c r="AU106" s="21" t="s">
        <v>78</v>
      </c>
      <c r="AV106" s="21" t="s">
        <v>78</v>
      </c>
      <c r="AW106" s="21" t="s">
        <v>78</v>
      </c>
      <c r="AX106" s="21" t="s">
        <v>78</v>
      </c>
      <c r="AY106" s="21" t="s">
        <v>78</v>
      </c>
      <c r="AZ106" s="21" t="s">
        <v>78</v>
      </c>
      <c r="BA106" s="21" t="s">
        <v>78</v>
      </c>
      <c r="BB106" s="21" t="s">
        <v>78</v>
      </c>
      <c r="BC106" s="21" t="s">
        <v>78</v>
      </c>
      <c r="BD106" s="21" t="s">
        <v>78</v>
      </c>
      <c r="BE106" s="21" t="s">
        <v>78</v>
      </c>
      <c r="BF106" s="21" t="s">
        <v>78</v>
      </c>
      <c r="BG106" s="21" t="s">
        <v>78</v>
      </c>
      <c r="BH106" s="21" t="s">
        <v>78</v>
      </c>
      <c r="BI106" t="s">
        <v>78</v>
      </c>
      <c r="BJ106" t="s">
        <v>78</v>
      </c>
      <c r="BK106" t="s">
        <v>78</v>
      </c>
    </row>
    <row r="107" spans="1:63" x14ac:dyDescent="0.3">
      <c r="A107" t="s">
        <v>518</v>
      </c>
      <c r="B107" t="s">
        <v>77</v>
      </c>
      <c r="C107" s="21" t="s">
        <v>78</v>
      </c>
      <c r="D107" t="s">
        <v>77</v>
      </c>
      <c r="E107" s="21" t="s">
        <v>78</v>
      </c>
      <c r="F107" t="s">
        <v>78</v>
      </c>
      <c r="G107" t="s">
        <v>78</v>
      </c>
      <c r="J107" t="s">
        <v>77</v>
      </c>
      <c r="K107" t="s">
        <v>78</v>
      </c>
      <c r="L107" t="s">
        <v>101</v>
      </c>
      <c r="M107" t="s">
        <v>77</v>
      </c>
      <c r="N107" t="s">
        <v>110</v>
      </c>
      <c r="O107" t="s">
        <v>110</v>
      </c>
      <c r="P107" t="s">
        <v>77</v>
      </c>
      <c r="Q107" t="s">
        <v>77</v>
      </c>
      <c r="R107" t="s">
        <v>78</v>
      </c>
      <c r="S107" t="s">
        <v>78</v>
      </c>
      <c r="T107" t="s">
        <v>78</v>
      </c>
      <c r="U107" t="s">
        <v>78</v>
      </c>
      <c r="V107" t="s">
        <v>78</v>
      </c>
      <c r="W107" t="s">
        <v>78</v>
      </c>
      <c r="X107" t="s">
        <v>78</v>
      </c>
      <c r="Y107" t="s">
        <v>78</v>
      </c>
      <c r="Z107" t="s">
        <v>78</v>
      </c>
      <c r="AA107" t="s">
        <v>78</v>
      </c>
      <c r="AB107" t="s">
        <v>78</v>
      </c>
      <c r="AC107" s="21" t="s">
        <v>78</v>
      </c>
      <c r="AD107" s="21" t="s">
        <v>78</v>
      </c>
      <c r="AE107" s="21" t="s">
        <v>78</v>
      </c>
      <c r="AF107" s="21" t="s">
        <v>78</v>
      </c>
      <c r="AG107" s="21" t="s">
        <v>78</v>
      </c>
      <c r="AH107" s="21" t="s">
        <v>78</v>
      </c>
      <c r="AI107" s="21" t="s">
        <v>78</v>
      </c>
      <c r="AJ107" s="21" t="s">
        <v>78</v>
      </c>
      <c r="AK107" s="21" t="s">
        <v>78</v>
      </c>
      <c r="AL107" s="21" t="s">
        <v>78</v>
      </c>
      <c r="AM107" s="21" t="s">
        <v>78</v>
      </c>
      <c r="AN107" s="21" t="s">
        <v>78</v>
      </c>
      <c r="AO107" s="21" t="s">
        <v>78</v>
      </c>
      <c r="AP107" s="21" t="s">
        <v>78</v>
      </c>
      <c r="AQ107" s="21" t="s">
        <v>78</v>
      </c>
      <c r="AR107" s="21" t="s">
        <v>78</v>
      </c>
      <c r="AS107" s="21" t="s">
        <v>78</v>
      </c>
      <c r="AT107" s="21" t="s">
        <v>78</v>
      </c>
      <c r="AU107" s="21" t="s">
        <v>78</v>
      </c>
      <c r="AV107" s="21" t="s">
        <v>78</v>
      </c>
      <c r="AW107" s="21" t="s">
        <v>78</v>
      </c>
      <c r="AX107" s="21" t="s">
        <v>78</v>
      </c>
      <c r="AY107" s="21" t="s">
        <v>78</v>
      </c>
      <c r="AZ107" s="21" t="s">
        <v>78</v>
      </c>
      <c r="BA107" s="21" t="s">
        <v>78</v>
      </c>
      <c r="BB107" s="21" t="s">
        <v>78</v>
      </c>
      <c r="BC107" s="21" t="s">
        <v>78</v>
      </c>
      <c r="BD107" s="21" t="s">
        <v>78</v>
      </c>
      <c r="BE107" s="21" t="s">
        <v>78</v>
      </c>
      <c r="BF107" s="21" t="s">
        <v>78</v>
      </c>
      <c r="BG107" s="21" t="s">
        <v>78</v>
      </c>
      <c r="BH107" s="21" t="s">
        <v>78</v>
      </c>
      <c r="BI107" t="s">
        <v>78</v>
      </c>
      <c r="BJ107" t="s">
        <v>78</v>
      </c>
      <c r="BK107" t="s">
        <v>78</v>
      </c>
    </row>
    <row r="108" spans="1:63" x14ac:dyDescent="0.3">
      <c r="A108" t="s">
        <v>524</v>
      </c>
      <c r="B108" t="s">
        <v>77</v>
      </c>
      <c r="C108" s="21" t="s">
        <v>78</v>
      </c>
      <c r="D108" t="s">
        <v>77</v>
      </c>
      <c r="E108" s="21" t="s">
        <v>78</v>
      </c>
      <c r="F108" t="s">
        <v>78</v>
      </c>
      <c r="G108" t="s">
        <v>78</v>
      </c>
      <c r="J108" t="s">
        <v>77</v>
      </c>
      <c r="K108" t="s">
        <v>78</v>
      </c>
      <c r="L108" t="s">
        <v>101</v>
      </c>
      <c r="M108" t="s">
        <v>77</v>
      </c>
      <c r="N108" t="s">
        <v>110</v>
      </c>
      <c r="O108" t="s">
        <v>110</v>
      </c>
      <c r="P108" t="s">
        <v>77</v>
      </c>
      <c r="Q108" t="s">
        <v>77</v>
      </c>
      <c r="R108" t="s">
        <v>78</v>
      </c>
      <c r="S108" t="s">
        <v>78</v>
      </c>
      <c r="T108" t="s">
        <v>78</v>
      </c>
      <c r="U108" t="s">
        <v>78</v>
      </c>
      <c r="V108" t="s">
        <v>78</v>
      </c>
      <c r="W108" t="s">
        <v>78</v>
      </c>
      <c r="X108" t="s">
        <v>78</v>
      </c>
      <c r="Y108" t="s">
        <v>78</v>
      </c>
      <c r="Z108" t="s">
        <v>78</v>
      </c>
      <c r="AA108" t="s">
        <v>78</v>
      </c>
      <c r="AB108" t="s">
        <v>78</v>
      </c>
      <c r="AC108" s="21" t="s">
        <v>78</v>
      </c>
      <c r="AD108" s="21" t="s">
        <v>78</v>
      </c>
      <c r="AE108" s="21" t="s">
        <v>78</v>
      </c>
      <c r="AF108" s="21" t="s">
        <v>78</v>
      </c>
      <c r="AG108" s="21" t="s">
        <v>78</v>
      </c>
      <c r="AH108" s="21" t="s">
        <v>78</v>
      </c>
      <c r="AI108" s="21" t="s">
        <v>78</v>
      </c>
      <c r="AJ108" s="21" t="s">
        <v>78</v>
      </c>
      <c r="AK108" s="21" t="s">
        <v>78</v>
      </c>
      <c r="AL108" s="21" t="s">
        <v>78</v>
      </c>
      <c r="AM108" s="21" t="s">
        <v>78</v>
      </c>
      <c r="AN108" s="21" t="s">
        <v>78</v>
      </c>
      <c r="AO108" s="21" t="s">
        <v>78</v>
      </c>
      <c r="AP108" s="21" t="s">
        <v>78</v>
      </c>
      <c r="AQ108" s="21" t="s">
        <v>78</v>
      </c>
      <c r="AR108" s="21" t="s">
        <v>78</v>
      </c>
      <c r="AS108" s="21" t="s">
        <v>78</v>
      </c>
      <c r="AT108" s="21" t="s">
        <v>78</v>
      </c>
      <c r="AU108" s="21" t="s">
        <v>78</v>
      </c>
      <c r="AV108" s="21" t="s">
        <v>78</v>
      </c>
      <c r="AW108" s="21" t="s">
        <v>78</v>
      </c>
      <c r="AX108" s="21" t="s">
        <v>78</v>
      </c>
      <c r="AY108" s="21" t="s">
        <v>78</v>
      </c>
      <c r="AZ108" s="21" t="s">
        <v>78</v>
      </c>
      <c r="BA108" s="21" t="s">
        <v>78</v>
      </c>
      <c r="BB108" s="21" t="s">
        <v>78</v>
      </c>
      <c r="BC108" s="21" t="s">
        <v>78</v>
      </c>
      <c r="BD108" s="21" t="s">
        <v>78</v>
      </c>
      <c r="BE108" s="21" t="s">
        <v>78</v>
      </c>
      <c r="BF108" s="21" t="s">
        <v>78</v>
      </c>
      <c r="BG108" s="21" t="s">
        <v>78</v>
      </c>
      <c r="BH108" s="21" t="s">
        <v>78</v>
      </c>
      <c r="BI108" t="s">
        <v>78</v>
      </c>
      <c r="BJ108" t="s">
        <v>78</v>
      </c>
      <c r="BK108" t="s">
        <v>78</v>
      </c>
    </row>
    <row r="109" spans="1:63" x14ac:dyDescent="0.3">
      <c r="A109" t="s">
        <v>519</v>
      </c>
      <c r="B109" t="s">
        <v>77</v>
      </c>
      <c r="C109" s="21" t="s">
        <v>78</v>
      </c>
      <c r="D109" t="s">
        <v>77</v>
      </c>
      <c r="E109" t="s">
        <v>77</v>
      </c>
      <c r="F109" t="s">
        <v>78</v>
      </c>
      <c r="G109" t="s">
        <v>78</v>
      </c>
      <c r="K109" t="s">
        <v>78</v>
      </c>
      <c r="L109" t="s">
        <v>101</v>
      </c>
      <c r="M109" t="s">
        <v>77</v>
      </c>
      <c r="N109" t="s">
        <v>110</v>
      </c>
      <c r="P109" t="s">
        <v>77</v>
      </c>
      <c r="Q109" s="21" t="s">
        <v>77</v>
      </c>
      <c r="R109" t="s">
        <v>78</v>
      </c>
      <c r="S109" t="s">
        <v>78</v>
      </c>
      <c r="T109" t="s">
        <v>78</v>
      </c>
      <c r="U109" t="s">
        <v>78</v>
      </c>
      <c r="V109" t="s">
        <v>78</v>
      </c>
      <c r="W109" t="s">
        <v>78</v>
      </c>
      <c r="X109" t="s">
        <v>78</v>
      </c>
      <c r="Y109" t="s">
        <v>78</v>
      </c>
      <c r="Z109" t="s">
        <v>78</v>
      </c>
      <c r="AA109" t="s">
        <v>78</v>
      </c>
      <c r="AB109" t="s">
        <v>78</v>
      </c>
      <c r="AC109" s="21" t="s">
        <v>78</v>
      </c>
      <c r="AD109" s="21" t="s">
        <v>78</v>
      </c>
      <c r="AE109" s="21" t="s">
        <v>78</v>
      </c>
      <c r="AF109" s="21" t="s">
        <v>78</v>
      </c>
      <c r="AG109" s="21" t="s">
        <v>78</v>
      </c>
      <c r="AH109" s="21" t="s">
        <v>78</v>
      </c>
      <c r="AI109" s="21" t="s">
        <v>78</v>
      </c>
      <c r="AJ109" s="21" t="s">
        <v>78</v>
      </c>
      <c r="AK109" s="21" t="s">
        <v>78</v>
      </c>
      <c r="AL109" s="21" t="s">
        <v>78</v>
      </c>
      <c r="AM109" s="21" t="s">
        <v>78</v>
      </c>
      <c r="AN109" s="21" t="s">
        <v>78</v>
      </c>
      <c r="AO109" s="21" t="s">
        <v>78</v>
      </c>
      <c r="AP109" s="21" t="s">
        <v>78</v>
      </c>
      <c r="AQ109" s="21" t="s">
        <v>78</v>
      </c>
      <c r="AR109" s="21" t="s">
        <v>78</v>
      </c>
      <c r="AS109" s="21" t="s">
        <v>78</v>
      </c>
      <c r="AT109" s="21" t="s">
        <v>78</v>
      </c>
      <c r="AU109" s="21" t="s">
        <v>78</v>
      </c>
      <c r="AV109" s="21" t="s">
        <v>78</v>
      </c>
      <c r="AW109" s="21" t="s">
        <v>78</v>
      </c>
      <c r="AX109" s="21" t="s">
        <v>78</v>
      </c>
      <c r="AY109" s="21" t="s">
        <v>78</v>
      </c>
      <c r="AZ109" s="21" t="s">
        <v>78</v>
      </c>
      <c r="BA109" s="21" t="s">
        <v>78</v>
      </c>
      <c r="BB109" s="21" t="s">
        <v>78</v>
      </c>
      <c r="BC109" s="21" t="s">
        <v>78</v>
      </c>
      <c r="BD109" s="21" t="s">
        <v>78</v>
      </c>
      <c r="BE109" s="21" t="s">
        <v>78</v>
      </c>
      <c r="BF109" s="21" t="s">
        <v>78</v>
      </c>
      <c r="BG109" s="21" t="s">
        <v>78</v>
      </c>
      <c r="BH109" s="21" t="s">
        <v>78</v>
      </c>
      <c r="BI109" t="s">
        <v>78</v>
      </c>
      <c r="BJ109" t="s">
        <v>78</v>
      </c>
      <c r="BK109" t="s">
        <v>78</v>
      </c>
    </row>
    <row r="110" spans="1:63" x14ac:dyDescent="0.3">
      <c r="A110" t="s">
        <v>645</v>
      </c>
      <c r="B110" t="s">
        <v>77</v>
      </c>
      <c r="C110" s="21" t="s">
        <v>78</v>
      </c>
      <c r="D110" t="s">
        <v>77</v>
      </c>
      <c r="I110" t="s">
        <v>78</v>
      </c>
      <c r="K110" t="s">
        <v>78</v>
      </c>
      <c r="L110" s="21" t="s">
        <v>101</v>
      </c>
      <c r="M110" t="s">
        <v>77</v>
      </c>
      <c r="N110" t="s">
        <v>110</v>
      </c>
      <c r="O110" t="s">
        <v>110</v>
      </c>
      <c r="R110" t="s">
        <v>78</v>
      </c>
      <c r="S110" t="s">
        <v>78</v>
      </c>
      <c r="T110" t="s">
        <v>78</v>
      </c>
      <c r="U110" t="s">
        <v>78</v>
      </c>
      <c r="V110" t="s">
        <v>78</v>
      </c>
      <c r="W110" t="s">
        <v>78</v>
      </c>
      <c r="X110" t="s">
        <v>78</v>
      </c>
      <c r="Y110" t="s">
        <v>78</v>
      </c>
      <c r="Z110" t="s">
        <v>78</v>
      </c>
      <c r="AA110" t="s">
        <v>78</v>
      </c>
      <c r="AB110" t="s">
        <v>78</v>
      </c>
      <c r="AC110" s="21" t="s">
        <v>78</v>
      </c>
      <c r="AD110" s="21" t="s">
        <v>78</v>
      </c>
      <c r="AE110" s="21" t="s">
        <v>78</v>
      </c>
      <c r="AF110" s="21" t="s">
        <v>78</v>
      </c>
      <c r="AG110" s="21" t="s">
        <v>78</v>
      </c>
      <c r="AH110" s="21" t="s">
        <v>78</v>
      </c>
      <c r="AI110" s="21" t="s">
        <v>78</v>
      </c>
      <c r="AJ110" s="21" t="s">
        <v>78</v>
      </c>
      <c r="AK110" s="21" t="s">
        <v>78</v>
      </c>
      <c r="AL110" s="21" t="s">
        <v>78</v>
      </c>
      <c r="AM110" s="21" t="s">
        <v>78</v>
      </c>
      <c r="AN110" s="21" t="s">
        <v>78</v>
      </c>
      <c r="AO110" s="21" t="s">
        <v>78</v>
      </c>
      <c r="AP110" s="21" t="s">
        <v>78</v>
      </c>
      <c r="AQ110" s="21" t="s">
        <v>78</v>
      </c>
      <c r="AR110" s="21" t="s">
        <v>78</v>
      </c>
      <c r="AS110" s="21" t="s">
        <v>78</v>
      </c>
      <c r="AT110" s="21" t="s">
        <v>78</v>
      </c>
      <c r="AU110" s="21" t="s">
        <v>78</v>
      </c>
      <c r="AV110" s="21" t="s">
        <v>78</v>
      </c>
      <c r="AW110" s="21" t="s">
        <v>78</v>
      </c>
      <c r="AX110" s="21" t="s">
        <v>78</v>
      </c>
      <c r="AY110" s="21" t="s">
        <v>78</v>
      </c>
      <c r="AZ110" s="21" t="s">
        <v>78</v>
      </c>
      <c r="BA110" s="21" t="s">
        <v>78</v>
      </c>
      <c r="BB110" s="21" t="s">
        <v>78</v>
      </c>
      <c r="BC110" s="21" t="s">
        <v>78</v>
      </c>
      <c r="BD110" s="21" t="s">
        <v>78</v>
      </c>
      <c r="BE110" s="21" t="s">
        <v>78</v>
      </c>
      <c r="BF110" s="21" t="s">
        <v>78</v>
      </c>
      <c r="BG110" s="21" t="s">
        <v>78</v>
      </c>
      <c r="BH110" s="21" t="s">
        <v>78</v>
      </c>
      <c r="BI110" t="s">
        <v>78</v>
      </c>
      <c r="BJ110" t="s">
        <v>78</v>
      </c>
      <c r="BK110" t="s">
        <v>78</v>
      </c>
    </row>
    <row r="111" spans="1:63" x14ac:dyDescent="0.3">
      <c r="A111" t="s">
        <v>646</v>
      </c>
      <c r="B111" t="s">
        <v>77</v>
      </c>
      <c r="C111" s="21" t="s">
        <v>78</v>
      </c>
      <c r="D111" t="s">
        <v>77</v>
      </c>
      <c r="I111" t="s">
        <v>78</v>
      </c>
      <c r="K111" t="s">
        <v>78</v>
      </c>
      <c r="L111" s="21" t="s">
        <v>101</v>
      </c>
      <c r="M111" t="s">
        <v>77</v>
      </c>
      <c r="N111" t="s">
        <v>110</v>
      </c>
      <c r="O111" t="s">
        <v>110</v>
      </c>
      <c r="R111" t="s">
        <v>78</v>
      </c>
      <c r="S111" t="s">
        <v>78</v>
      </c>
      <c r="T111" t="s">
        <v>78</v>
      </c>
      <c r="U111" t="s">
        <v>78</v>
      </c>
      <c r="V111" t="s">
        <v>78</v>
      </c>
      <c r="W111" t="s">
        <v>78</v>
      </c>
      <c r="X111" t="s">
        <v>78</v>
      </c>
      <c r="Y111" t="s">
        <v>78</v>
      </c>
      <c r="Z111" t="s">
        <v>78</v>
      </c>
      <c r="AA111" t="s">
        <v>78</v>
      </c>
      <c r="AB111" t="s">
        <v>78</v>
      </c>
      <c r="AC111" s="21" t="s">
        <v>78</v>
      </c>
      <c r="AD111" s="21" t="s">
        <v>78</v>
      </c>
      <c r="AE111" s="21" t="s">
        <v>78</v>
      </c>
      <c r="AF111" s="21" t="s">
        <v>78</v>
      </c>
      <c r="AG111" s="21" t="s">
        <v>78</v>
      </c>
      <c r="AH111" s="21" t="s">
        <v>78</v>
      </c>
      <c r="AI111" s="21" t="s">
        <v>78</v>
      </c>
      <c r="AJ111" s="21" t="s">
        <v>78</v>
      </c>
      <c r="AK111" s="21" t="s">
        <v>78</v>
      </c>
      <c r="AL111" s="21" t="s">
        <v>78</v>
      </c>
      <c r="AM111" s="21" t="s">
        <v>78</v>
      </c>
      <c r="AN111" s="21" t="s">
        <v>78</v>
      </c>
      <c r="AO111" s="21" t="s">
        <v>78</v>
      </c>
      <c r="AP111" s="21" t="s">
        <v>78</v>
      </c>
      <c r="AQ111" s="21" t="s">
        <v>78</v>
      </c>
      <c r="AR111" s="21" t="s">
        <v>78</v>
      </c>
      <c r="AS111" s="21" t="s">
        <v>78</v>
      </c>
      <c r="AT111" s="21" t="s">
        <v>78</v>
      </c>
      <c r="AU111" s="21" t="s">
        <v>78</v>
      </c>
      <c r="AV111" s="21" t="s">
        <v>78</v>
      </c>
      <c r="AW111" s="21" t="s">
        <v>78</v>
      </c>
      <c r="AX111" s="21" t="s">
        <v>78</v>
      </c>
      <c r="AY111" s="21" t="s">
        <v>78</v>
      </c>
      <c r="AZ111" s="21" t="s">
        <v>78</v>
      </c>
      <c r="BA111" s="21" t="s">
        <v>78</v>
      </c>
      <c r="BB111" s="21" t="s">
        <v>78</v>
      </c>
      <c r="BC111" s="21" t="s">
        <v>78</v>
      </c>
      <c r="BD111" s="21" t="s">
        <v>78</v>
      </c>
      <c r="BE111" s="21" t="s">
        <v>78</v>
      </c>
      <c r="BF111" s="21" t="s">
        <v>78</v>
      </c>
      <c r="BG111" s="21" t="s">
        <v>78</v>
      </c>
      <c r="BH111" s="21" t="s">
        <v>78</v>
      </c>
      <c r="BI111" t="s">
        <v>78</v>
      </c>
      <c r="BJ111" t="s">
        <v>78</v>
      </c>
      <c r="BK111" t="s">
        <v>78</v>
      </c>
    </row>
    <row r="112" spans="1:63" x14ac:dyDescent="0.3">
      <c r="A112" t="s">
        <v>647</v>
      </c>
      <c r="B112" t="s">
        <v>77</v>
      </c>
      <c r="C112" s="21" t="s">
        <v>78</v>
      </c>
      <c r="D112" t="s">
        <v>77</v>
      </c>
      <c r="I112" t="s">
        <v>78</v>
      </c>
      <c r="K112" t="s">
        <v>78</v>
      </c>
      <c r="L112" s="21" t="s">
        <v>101</v>
      </c>
      <c r="M112" t="s">
        <v>77</v>
      </c>
      <c r="N112" t="s">
        <v>110</v>
      </c>
      <c r="O112" t="s">
        <v>110</v>
      </c>
      <c r="R112" t="s">
        <v>78</v>
      </c>
      <c r="S112" t="s">
        <v>78</v>
      </c>
      <c r="T112" t="s">
        <v>78</v>
      </c>
      <c r="U112" t="s">
        <v>78</v>
      </c>
      <c r="V112" t="s">
        <v>78</v>
      </c>
      <c r="W112" t="s">
        <v>78</v>
      </c>
      <c r="X112" t="s">
        <v>78</v>
      </c>
      <c r="Y112" t="s">
        <v>78</v>
      </c>
      <c r="Z112" t="s">
        <v>78</v>
      </c>
      <c r="AA112" t="s">
        <v>78</v>
      </c>
      <c r="AB112" t="s">
        <v>78</v>
      </c>
      <c r="AC112" s="21" t="s">
        <v>78</v>
      </c>
      <c r="AD112" s="21" t="s">
        <v>78</v>
      </c>
      <c r="AE112" s="21" t="s">
        <v>78</v>
      </c>
      <c r="AF112" s="21" t="s">
        <v>78</v>
      </c>
      <c r="AG112" s="21" t="s">
        <v>78</v>
      </c>
      <c r="AH112" s="21" t="s">
        <v>78</v>
      </c>
      <c r="AI112" s="21" t="s">
        <v>78</v>
      </c>
      <c r="AJ112" s="21" t="s">
        <v>78</v>
      </c>
      <c r="AK112" s="21" t="s">
        <v>78</v>
      </c>
      <c r="AL112" s="21" t="s">
        <v>78</v>
      </c>
      <c r="AM112" s="21" t="s">
        <v>78</v>
      </c>
      <c r="AN112" s="21" t="s">
        <v>78</v>
      </c>
      <c r="AO112" s="21" t="s">
        <v>78</v>
      </c>
      <c r="AP112" s="21" t="s">
        <v>78</v>
      </c>
      <c r="AQ112" s="21" t="s">
        <v>78</v>
      </c>
      <c r="AR112" s="21" t="s">
        <v>78</v>
      </c>
      <c r="AS112" s="21" t="s">
        <v>78</v>
      </c>
      <c r="AT112" s="21" t="s">
        <v>78</v>
      </c>
      <c r="AU112" s="21" t="s">
        <v>78</v>
      </c>
      <c r="AV112" s="21" t="s">
        <v>78</v>
      </c>
      <c r="AW112" s="21" t="s">
        <v>78</v>
      </c>
      <c r="AX112" s="21" t="s">
        <v>78</v>
      </c>
      <c r="AY112" s="21" t="s">
        <v>78</v>
      </c>
      <c r="AZ112" s="21" t="s">
        <v>78</v>
      </c>
      <c r="BA112" s="21" t="s">
        <v>78</v>
      </c>
      <c r="BB112" s="21" t="s">
        <v>78</v>
      </c>
      <c r="BC112" s="21" t="s">
        <v>78</v>
      </c>
      <c r="BD112" s="21" t="s">
        <v>78</v>
      </c>
      <c r="BE112" s="21" t="s">
        <v>78</v>
      </c>
      <c r="BF112" s="21" t="s">
        <v>78</v>
      </c>
      <c r="BG112" s="21" t="s">
        <v>78</v>
      </c>
      <c r="BH112" s="21" t="s">
        <v>78</v>
      </c>
      <c r="BI112" t="s">
        <v>78</v>
      </c>
      <c r="BJ112" t="s">
        <v>78</v>
      </c>
      <c r="BK112" t="s">
        <v>78</v>
      </c>
    </row>
    <row r="113" spans="1:63" s="21" customFormat="1" x14ac:dyDescent="0.3">
      <c r="A113" s="21" t="s">
        <v>675</v>
      </c>
      <c r="B113" s="21" t="s">
        <v>77</v>
      </c>
      <c r="C113" s="21" t="s">
        <v>78</v>
      </c>
      <c r="D113" s="21" t="s">
        <v>77</v>
      </c>
      <c r="I113" s="21" t="s">
        <v>78</v>
      </c>
      <c r="K113" s="21" t="s">
        <v>78</v>
      </c>
      <c r="L113" s="21" t="s">
        <v>101</v>
      </c>
      <c r="M113" s="21" t="s">
        <v>77</v>
      </c>
      <c r="N113" s="21" t="s">
        <v>110</v>
      </c>
      <c r="O113" s="21" t="s">
        <v>110</v>
      </c>
      <c r="R113" s="21" t="s">
        <v>78</v>
      </c>
      <c r="S113" s="21" t="s">
        <v>78</v>
      </c>
      <c r="T113" s="21" t="s">
        <v>78</v>
      </c>
      <c r="U113" s="21" t="s">
        <v>78</v>
      </c>
      <c r="V113" s="21" t="s">
        <v>78</v>
      </c>
      <c r="W113" s="21" t="s">
        <v>78</v>
      </c>
      <c r="X113" s="21" t="s">
        <v>78</v>
      </c>
      <c r="Y113" s="21" t="s">
        <v>78</v>
      </c>
      <c r="Z113" s="21" t="s">
        <v>78</v>
      </c>
      <c r="AA113" s="21" t="s">
        <v>78</v>
      </c>
      <c r="AB113" s="21" t="s">
        <v>78</v>
      </c>
      <c r="AC113" s="21" t="s">
        <v>78</v>
      </c>
      <c r="AD113" s="21" t="s">
        <v>78</v>
      </c>
      <c r="AE113" s="21" t="s">
        <v>78</v>
      </c>
      <c r="AF113" s="21" t="s">
        <v>78</v>
      </c>
      <c r="AG113" s="21" t="s">
        <v>78</v>
      </c>
      <c r="AH113" s="21" t="s">
        <v>78</v>
      </c>
      <c r="AI113" s="21" t="s">
        <v>78</v>
      </c>
      <c r="AJ113" s="21" t="s">
        <v>78</v>
      </c>
      <c r="AK113" s="21" t="s">
        <v>78</v>
      </c>
      <c r="AL113" s="21" t="s">
        <v>78</v>
      </c>
      <c r="AM113" s="21" t="s">
        <v>78</v>
      </c>
      <c r="AN113" s="21" t="s">
        <v>78</v>
      </c>
      <c r="AO113" s="21" t="s">
        <v>78</v>
      </c>
      <c r="AP113" s="21" t="s">
        <v>78</v>
      </c>
      <c r="AQ113" s="21" t="s">
        <v>78</v>
      </c>
      <c r="AR113" s="21" t="s">
        <v>78</v>
      </c>
      <c r="AS113" s="21" t="s">
        <v>78</v>
      </c>
      <c r="AT113" s="21" t="s">
        <v>78</v>
      </c>
      <c r="AU113" s="21" t="s">
        <v>78</v>
      </c>
      <c r="AV113" s="21" t="s">
        <v>78</v>
      </c>
      <c r="AW113" s="21" t="s">
        <v>78</v>
      </c>
      <c r="AX113" s="21" t="s">
        <v>78</v>
      </c>
      <c r="AY113" s="21" t="s">
        <v>78</v>
      </c>
      <c r="AZ113" s="21" t="s">
        <v>78</v>
      </c>
      <c r="BA113" s="21" t="s">
        <v>78</v>
      </c>
      <c r="BB113" s="21" t="s">
        <v>78</v>
      </c>
      <c r="BC113" s="21" t="s">
        <v>78</v>
      </c>
      <c r="BD113" s="21" t="s">
        <v>78</v>
      </c>
      <c r="BE113" s="21" t="s">
        <v>78</v>
      </c>
      <c r="BF113" s="21" t="s">
        <v>78</v>
      </c>
      <c r="BG113" s="21" t="s">
        <v>78</v>
      </c>
      <c r="BH113" s="21" t="s">
        <v>78</v>
      </c>
      <c r="BI113" s="21" t="s">
        <v>78</v>
      </c>
      <c r="BJ113" s="21" t="s">
        <v>78</v>
      </c>
      <c r="BK113" s="21" t="s">
        <v>78</v>
      </c>
    </row>
    <row r="114" spans="1:63" s="21" customFormat="1" x14ac:dyDescent="0.3">
      <c r="A114" s="21" t="s">
        <v>676</v>
      </c>
      <c r="B114" s="21" t="s">
        <v>77</v>
      </c>
      <c r="C114" s="21" t="s">
        <v>78</v>
      </c>
      <c r="D114" s="21" t="s">
        <v>77</v>
      </c>
      <c r="I114" s="21" t="s">
        <v>78</v>
      </c>
      <c r="K114" s="21" t="s">
        <v>78</v>
      </c>
      <c r="L114" s="21" t="s">
        <v>101</v>
      </c>
      <c r="M114" s="21" t="s">
        <v>77</v>
      </c>
      <c r="N114" s="21" t="s">
        <v>110</v>
      </c>
      <c r="O114" s="21" t="s">
        <v>110</v>
      </c>
      <c r="R114" s="21" t="s">
        <v>78</v>
      </c>
      <c r="S114" s="21" t="s">
        <v>78</v>
      </c>
      <c r="T114" s="21" t="s">
        <v>78</v>
      </c>
      <c r="U114" s="21" t="s">
        <v>78</v>
      </c>
      <c r="V114" s="21" t="s">
        <v>78</v>
      </c>
      <c r="W114" s="21" t="s">
        <v>78</v>
      </c>
      <c r="X114" s="21" t="s">
        <v>78</v>
      </c>
      <c r="Y114" s="21" t="s">
        <v>78</v>
      </c>
      <c r="Z114" s="21" t="s">
        <v>78</v>
      </c>
      <c r="AA114" s="21" t="s">
        <v>78</v>
      </c>
      <c r="AB114" s="21" t="s">
        <v>78</v>
      </c>
      <c r="AC114" s="21" t="s">
        <v>78</v>
      </c>
      <c r="AD114" s="21" t="s">
        <v>78</v>
      </c>
      <c r="AE114" s="21" t="s">
        <v>78</v>
      </c>
      <c r="AF114" s="21" t="s">
        <v>78</v>
      </c>
      <c r="AG114" s="21" t="s">
        <v>78</v>
      </c>
      <c r="AH114" s="21" t="s">
        <v>78</v>
      </c>
      <c r="AI114" s="21" t="s">
        <v>78</v>
      </c>
      <c r="AJ114" s="21" t="s">
        <v>78</v>
      </c>
      <c r="AK114" s="21" t="s">
        <v>78</v>
      </c>
      <c r="AL114" s="21" t="s">
        <v>78</v>
      </c>
      <c r="AM114" s="21" t="s">
        <v>78</v>
      </c>
      <c r="AN114" s="21" t="s">
        <v>78</v>
      </c>
      <c r="AO114" s="21" t="s">
        <v>78</v>
      </c>
      <c r="AP114" s="21" t="s">
        <v>78</v>
      </c>
      <c r="AQ114" s="21" t="s">
        <v>78</v>
      </c>
      <c r="AR114" s="21" t="s">
        <v>78</v>
      </c>
      <c r="AS114" s="21" t="s">
        <v>78</v>
      </c>
      <c r="AT114" s="21" t="s">
        <v>78</v>
      </c>
      <c r="AU114" s="21" t="s">
        <v>78</v>
      </c>
      <c r="AV114" s="21" t="s">
        <v>78</v>
      </c>
      <c r="AW114" s="21" t="s">
        <v>78</v>
      </c>
      <c r="AX114" s="21" t="s">
        <v>78</v>
      </c>
      <c r="AY114" s="21" t="s">
        <v>78</v>
      </c>
      <c r="AZ114" s="21" t="s">
        <v>78</v>
      </c>
      <c r="BA114" s="21" t="s">
        <v>78</v>
      </c>
      <c r="BB114" s="21" t="s">
        <v>78</v>
      </c>
      <c r="BC114" s="21" t="s">
        <v>78</v>
      </c>
      <c r="BD114" s="21" t="s">
        <v>78</v>
      </c>
      <c r="BE114" s="21" t="s">
        <v>78</v>
      </c>
      <c r="BF114" s="21" t="s">
        <v>78</v>
      </c>
      <c r="BG114" s="21" t="s">
        <v>78</v>
      </c>
      <c r="BH114" s="21" t="s">
        <v>78</v>
      </c>
      <c r="BI114" s="21" t="s">
        <v>78</v>
      </c>
      <c r="BJ114" s="21" t="s">
        <v>78</v>
      </c>
      <c r="BK114" s="21" t="s">
        <v>78</v>
      </c>
    </row>
    <row r="115" spans="1:63" s="21" customFormat="1" x14ac:dyDescent="0.3">
      <c r="A115" s="21" t="s">
        <v>677</v>
      </c>
      <c r="B115" s="21" t="s">
        <v>77</v>
      </c>
      <c r="C115" s="21" t="s">
        <v>78</v>
      </c>
      <c r="D115" s="21" t="s">
        <v>77</v>
      </c>
      <c r="I115" s="21" t="s">
        <v>78</v>
      </c>
      <c r="K115" s="21" t="s">
        <v>78</v>
      </c>
      <c r="L115" s="21" t="s">
        <v>101</v>
      </c>
      <c r="M115" s="21" t="s">
        <v>77</v>
      </c>
      <c r="N115" s="21" t="s">
        <v>110</v>
      </c>
      <c r="O115" s="21" t="s">
        <v>110</v>
      </c>
      <c r="R115" s="21" t="s">
        <v>78</v>
      </c>
      <c r="S115" s="21" t="s">
        <v>78</v>
      </c>
      <c r="T115" s="21" t="s">
        <v>78</v>
      </c>
      <c r="U115" s="21" t="s">
        <v>78</v>
      </c>
      <c r="V115" s="21" t="s">
        <v>78</v>
      </c>
      <c r="W115" s="21" t="s">
        <v>78</v>
      </c>
      <c r="X115" s="21" t="s">
        <v>78</v>
      </c>
      <c r="Y115" s="21" t="s">
        <v>78</v>
      </c>
      <c r="Z115" s="21" t="s">
        <v>78</v>
      </c>
      <c r="AA115" s="21" t="s">
        <v>78</v>
      </c>
      <c r="AB115" s="21" t="s">
        <v>78</v>
      </c>
      <c r="AC115" s="21" t="s">
        <v>78</v>
      </c>
      <c r="AD115" s="21" t="s">
        <v>78</v>
      </c>
      <c r="AE115" s="21" t="s">
        <v>78</v>
      </c>
      <c r="AF115" s="21" t="s">
        <v>78</v>
      </c>
      <c r="AG115" s="21" t="s">
        <v>78</v>
      </c>
      <c r="AH115" s="21" t="s">
        <v>78</v>
      </c>
      <c r="AI115" s="21" t="s">
        <v>78</v>
      </c>
      <c r="AJ115" s="21" t="s">
        <v>78</v>
      </c>
      <c r="AK115" s="21" t="s">
        <v>78</v>
      </c>
      <c r="AL115" s="21" t="s">
        <v>78</v>
      </c>
      <c r="AM115" s="21" t="s">
        <v>78</v>
      </c>
      <c r="AN115" s="21" t="s">
        <v>78</v>
      </c>
      <c r="AO115" s="21" t="s">
        <v>78</v>
      </c>
      <c r="AP115" s="21" t="s">
        <v>78</v>
      </c>
      <c r="AQ115" s="21" t="s">
        <v>78</v>
      </c>
      <c r="AR115" s="21" t="s">
        <v>78</v>
      </c>
      <c r="AS115" s="21" t="s">
        <v>78</v>
      </c>
      <c r="AT115" s="21" t="s">
        <v>78</v>
      </c>
      <c r="AU115" s="21" t="s">
        <v>78</v>
      </c>
      <c r="AV115" s="21" t="s">
        <v>78</v>
      </c>
      <c r="AW115" s="21" t="s">
        <v>78</v>
      </c>
      <c r="AX115" s="21" t="s">
        <v>78</v>
      </c>
      <c r="AY115" s="21" t="s">
        <v>78</v>
      </c>
      <c r="AZ115" s="21" t="s">
        <v>78</v>
      </c>
      <c r="BA115" s="21" t="s">
        <v>78</v>
      </c>
      <c r="BB115" s="21" t="s">
        <v>78</v>
      </c>
      <c r="BC115" s="21" t="s">
        <v>78</v>
      </c>
      <c r="BD115" s="21" t="s">
        <v>78</v>
      </c>
      <c r="BE115" s="21" t="s">
        <v>78</v>
      </c>
      <c r="BF115" s="21" t="s">
        <v>78</v>
      </c>
      <c r="BG115" s="21" t="s">
        <v>78</v>
      </c>
      <c r="BH115" s="21" t="s">
        <v>78</v>
      </c>
      <c r="BI115" s="21" t="s">
        <v>78</v>
      </c>
      <c r="BJ115" s="21" t="s">
        <v>78</v>
      </c>
      <c r="BK115" s="21" t="s">
        <v>78</v>
      </c>
    </row>
    <row r="116" spans="1:63" x14ac:dyDescent="0.3">
      <c r="A116" t="s">
        <v>636</v>
      </c>
      <c r="B116" t="s">
        <v>77</v>
      </c>
      <c r="C116" s="21" t="s">
        <v>78</v>
      </c>
      <c r="D116" t="s">
        <v>77</v>
      </c>
      <c r="I116" t="s">
        <v>78</v>
      </c>
      <c r="K116" t="s">
        <v>78</v>
      </c>
      <c r="L116" s="21" t="s">
        <v>101</v>
      </c>
      <c r="M116" t="s">
        <v>77</v>
      </c>
      <c r="N116" t="s">
        <v>110</v>
      </c>
      <c r="O116" t="s">
        <v>110</v>
      </c>
      <c r="R116" t="s">
        <v>78</v>
      </c>
      <c r="S116" t="s">
        <v>78</v>
      </c>
      <c r="T116" t="s">
        <v>78</v>
      </c>
      <c r="U116" t="s">
        <v>78</v>
      </c>
      <c r="V116" t="s">
        <v>78</v>
      </c>
      <c r="W116" t="s">
        <v>78</v>
      </c>
      <c r="X116" t="s">
        <v>78</v>
      </c>
      <c r="Y116" t="s">
        <v>78</v>
      </c>
      <c r="Z116" t="s">
        <v>78</v>
      </c>
      <c r="AA116" t="s">
        <v>78</v>
      </c>
      <c r="AB116" t="s">
        <v>78</v>
      </c>
      <c r="AC116" s="21" t="s">
        <v>78</v>
      </c>
      <c r="AD116" s="21" t="s">
        <v>78</v>
      </c>
      <c r="AE116" s="21" t="s">
        <v>78</v>
      </c>
      <c r="AF116" s="21" t="s">
        <v>78</v>
      </c>
      <c r="AG116" s="21" t="s">
        <v>78</v>
      </c>
      <c r="AH116" s="21" t="s">
        <v>78</v>
      </c>
      <c r="AI116" s="21" t="s">
        <v>78</v>
      </c>
      <c r="AJ116" s="21" t="s">
        <v>78</v>
      </c>
      <c r="AK116" s="21" t="s">
        <v>78</v>
      </c>
      <c r="AL116" s="21" t="s">
        <v>78</v>
      </c>
      <c r="AM116" s="21" t="s">
        <v>78</v>
      </c>
      <c r="AN116" s="21" t="s">
        <v>78</v>
      </c>
      <c r="AO116" s="21" t="s">
        <v>78</v>
      </c>
      <c r="AP116" s="21" t="s">
        <v>78</v>
      </c>
      <c r="AQ116" s="21" t="s">
        <v>78</v>
      </c>
      <c r="AR116" s="21" t="s">
        <v>78</v>
      </c>
      <c r="AS116" s="21" t="s">
        <v>78</v>
      </c>
      <c r="AT116" s="21" t="s">
        <v>78</v>
      </c>
      <c r="AU116" s="21" t="s">
        <v>78</v>
      </c>
      <c r="AV116" s="21" t="s">
        <v>78</v>
      </c>
      <c r="AW116" s="21" t="s">
        <v>78</v>
      </c>
      <c r="AX116" s="21" t="s">
        <v>78</v>
      </c>
      <c r="AY116" s="21" t="s">
        <v>78</v>
      </c>
      <c r="AZ116" s="21" t="s">
        <v>78</v>
      </c>
      <c r="BA116" s="21" t="s">
        <v>78</v>
      </c>
      <c r="BB116" s="21" t="s">
        <v>78</v>
      </c>
      <c r="BC116" s="21" t="s">
        <v>78</v>
      </c>
      <c r="BD116" s="21" t="s">
        <v>78</v>
      </c>
      <c r="BE116" s="21" t="s">
        <v>78</v>
      </c>
      <c r="BF116" s="21" t="s">
        <v>78</v>
      </c>
      <c r="BG116" s="21" t="s">
        <v>78</v>
      </c>
      <c r="BH116" s="21" t="s">
        <v>78</v>
      </c>
      <c r="BI116" t="s">
        <v>78</v>
      </c>
      <c r="BJ116" t="s">
        <v>78</v>
      </c>
      <c r="BK116" t="s">
        <v>78</v>
      </c>
    </row>
    <row r="117" spans="1:63" x14ac:dyDescent="0.3">
      <c r="A117" t="s">
        <v>637</v>
      </c>
      <c r="B117" t="s">
        <v>77</v>
      </c>
      <c r="C117" s="21" t="s">
        <v>78</v>
      </c>
      <c r="D117" t="s">
        <v>77</v>
      </c>
      <c r="I117" t="s">
        <v>78</v>
      </c>
      <c r="K117" t="s">
        <v>78</v>
      </c>
      <c r="L117" s="21" t="s">
        <v>101</v>
      </c>
      <c r="M117" t="s">
        <v>77</v>
      </c>
      <c r="N117" t="s">
        <v>110</v>
      </c>
      <c r="O117" t="s">
        <v>110</v>
      </c>
      <c r="R117" t="s">
        <v>78</v>
      </c>
      <c r="S117" t="s">
        <v>78</v>
      </c>
      <c r="T117" t="s">
        <v>78</v>
      </c>
      <c r="U117" t="s">
        <v>78</v>
      </c>
      <c r="V117" t="s">
        <v>78</v>
      </c>
      <c r="W117" t="s">
        <v>78</v>
      </c>
      <c r="X117" t="s">
        <v>78</v>
      </c>
      <c r="Y117" t="s">
        <v>78</v>
      </c>
      <c r="Z117" t="s">
        <v>78</v>
      </c>
      <c r="AA117" t="s">
        <v>78</v>
      </c>
      <c r="AB117" t="s">
        <v>78</v>
      </c>
      <c r="AC117" s="21" t="s">
        <v>78</v>
      </c>
      <c r="AD117" s="21" t="s">
        <v>78</v>
      </c>
      <c r="AE117" s="21" t="s">
        <v>78</v>
      </c>
      <c r="AF117" s="21" t="s">
        <v>78</v>
      </c>
      <c r="AG117" s="21" t="s">
        <v>78</v>
      </c>
      <c r="AH117" s="21" t="s">
        <v>78</v>
      </c>
      <c r="AI117" s="21" t="s">
        <v>78</v>
      </c>
      <c r="AJ117" s="21" t="s">
        <v>78</v>
      </c>
      <c r="AK117" s="21" t="s">
        <v>78</v>
      </c>
      <c r="AL117" s="21" t="s">
        <v>78</v>
      </c>
      <c r="AM117" s="21" t="s">
        <v>78</v>
      </c>
      <c r="AN117" s="21" t="s">
        <v>78</v>
      </c>
      <c r="AO117" s="21" t="s">
        <v>78</v>
      </c>
      <c r="AP117" s="21" t="s">
        <v>78</v>
      </c>
      <c r="AQ117" s="21" t="s">
        <v>78</v>
      </c>
      <c r="AR117" s="21" t="s">
        <v>78</v>
      </c>
      <c r="AS117" s="21" t="s">
        <v>78</v>
      </c>
      <c r="AT117" s="21" t="s">
        <v>78</v>
      </c>
      <c r="AU117" s="21" t="s">
        <v>78</v>
      </c>
      <c r="AV117" s="21" t="s">
        <v>78</v>
      </c>
      <c r="AW117" s="21" t="s">
        <v>78</v>
      </c>
      <c r="AX117" s="21" t="s">
        <v>78</v>
      </c>
      <c r="AY117" s="21" t="s">
        <v>78</v>
      </c>
      <c r="AZ117" s="21" t="s">
        <v>78</v>
      </c>
      <c r="BA117" s="21" t="s">
        <v>78</v>
      </c>
      <c r="BB117" s="21" t="s">
        <v>78</v>
      </c>
      <c r="BC117" s="21" t="s">
        <v>78</v>
      </c>
      <c r="BD117" s="21" t="s">
        <v>78</v>
      </c>
      <c r="BE117" s="21" t="s">
        <v>78</v>
      </c>
      <c r="BF117" s="21" t="s">
        <v>78</v>
      </c>
      <c r="BG117" s="21" t="s">
        <v>78</v>
      </c>
      <c r="BH117" s="21" t="s">
        <v>78</v>
      </c>
      <c r="BI117" t="s">
        <v>78</v>
      </c>
      <c r="BJ117" t="s">
        <v>78</v>
      </c>
      <c r="BK117" t="s">
        <v>78</v>
      </c>
    </row>
    <row r="118" spans="1:63" x14ac:dyDescent="0.3">
      <c r="A118" t="s">
        <v>638</v>
      </c>
      <c r="B118" t="s">
        <v>77</v>
      </c>
      <c r="C118" s="21" t="s">
        <v>78</v>
      </c>
      <c r="D118" t="s">
        <v>77</v>
      </c>
      <c r="I118" t="s">
        <v>78</v>
      </c>
      <c r="K118" t="s">
        <v>78</v>
      </c>
      <c r="L118" s="21" t="s">
        <v>101</v>
      </c>
      <c r="M118" t="s">
        <v>77</v>
      </c>
      <c r="N118" t="s">
        <v>110</v>
      </c>
      <c r="O118" t="s">
        <v>110</v>
      </c>
      <c r="R118" t="s">
        <v>78</v>
      </c>
      <c r="S118" t="s">
        <v>78</v>
      </c>
      <c r="T118" t="s">
        <v>78</v>
      </c>
      <c r="U118" t="s">
        <v>78</v>
      </c>
      <c r="V118" t="s">
        <v>78</v>
      </c>
      <c r="W118" t="s">
        <v>78</v>
      </c>
      <c r="X118" t="s">
        <v>78</v>
      </c>
      <c r="Y118" t="s">
        <v>78</v>
      </c>
      <c r="Z118" t="s">
        <v>78</v>
      </c>
      <c r="AA118" t="s">
        <v>78</v>
      </c>
      <c r="AB118" t="s">
        <v>78</v>
      </c>
      <c r="AC118" s="21" t="s">
        <v>78</v>
      </c>
      <c r="AD118" s="21" t="s">
        <v>78</v>
      </c>
      <c r="AE118" s="21" t="s">
        <v>78</v>
      </c>
      <c r="AF118" s="21" t="s">
        <v>78</v>
      </c>
      <c r="AG118" s="21" t="s">
        <v>78</v>
      </c>
      <c r="AH118" s="21" t="s">
        <v>78</v>
      </c>
      <c r="AI118" s="21" t="s">
        <v>78</v>
      </c>
      <c r="AJ118" s="21" t="s">
        <v>78</v>
      </c>
      <c r="AK118" s="21" t="s">
        <v>78</v>
      </c>
      <c r="AL118" s="21" t="s">
        <v>78</v>
      </c>
      <c r="AM118" s="21" t="s">
        <v>78</v>
      </c>
      <c r="AN118" s="21" t="s">
        <v>78</v>
      </c>
      <c r="AO118" s="21" t="s">
        <v>78</v>
      </c>
      <c r="AP118" s="21" t="s">
        <v>78</v>
      </c>
      <c r="AQ118" s="21" t="s">
        <v>78</v>
      </c>
      <c r="AR118" s="21" t="s">
        <v>78</v>
      </c>
      <c r="AS118" s="21" t="s">
        <v>78</v>
      </c>
      <c r="AT118" s="21" t="s">
        <v>78</v>
      </c>
      <c r="AU118" s="21" t="s">
        <v>78</v>
      </c>
      <c r="AV118" s="21" t="s">
        <v>78</v>
      </c>
      <c r="AW118" s="21" t="s">
        <v>78</v>
      </c>
      <c r="AX118" s="21" t="s">
        <v>78</v>
      </c>
      <c r="AY118" s="21" t="s">
        <v>78</v>
      </c>
      <c r="AZ118" s="21" t="s">
        <v>78</v>
      </c>
      <c r="BA118" s="21" t="s">
        <v>78</v>
      </c>
      <c r="BB118" s="21" t="s">
        <v>78</v>
      </c>
      <c r="BC118" s="21" t="s">
        <v>78</v>
      </c>
      <c r="BD118" s="21" t="s">
        <v>78</v>
      </c>
      <c r="BE118" s="21" t="s">
        <v>78</v>
      </c>
      <c r="BF118" s="21" t="s">
        <v>78</v>
      </c>
      <c r="BG118" s="21" t="s">
        <v>78</v>
      </c>
      <c r="BH118" s="21" t="s">
        <v>78</v>
      </c>
      <c r="BI118" t="s">
        <v>78</v>
      </c>
      <c r="BJ118" t="s">
        <v>78</v>
      </c>
      <c r="BK118" t="s">
        <v>78</v>
      </c>
    </row>
    <row r="119" spans="1:63" s="21" customFormat="1" x14ac:dyDescent="0.3">
      <c r="A119" s="21" t="s">
        <v>674</v>
      </c>
      <c r="B119" s="21" t="s">
        <v>78</v>
      </c>
      <c r="C119" s="21" t="s">
        <v>78</v>
      </c>
      <c r="D119" s="21" t="s">
        <v>78</v>
      </c>
      <c r="E119" s="21" t="s">
        <v>78</v>
      </c>
      <c r="F119" s="21" t="s">
        <v>78</v>
      </c>
      <c r="G119" s="21" t="s">
        <v>78</v>
      </c>
      <c r="J119" s="21" t="s">
        <v>77</v>
      </c>
      <c r="K119" s="21" t="s">
        <v>78</v>
      </c>
      <c r="L119" s="21" t="s">
        <v>101</v>
      </c>
      <c r="M119" s="21" t="s">
        <v>77</v>
      </c>
      <c r="N119" s="21" t="s">
        <v>110</v>
      </c>
      <c r="O119" s="21" t="s">
        <v>110</v>
      </c>
      <c r="P119" s="21" t="s">
        <v>77</v>
      </c>
      <c r="Q119" s="21" t="s">
        <v>77</v>
      </c>
      <c r="R119" s="21" t="s">
        <v>78</v>
      </c>
      <c r="S119" s="21" t="s">
        <v>78</v>
      </c>
      <c r="T119" s="21" t="s">
        <v>78</v>
      </c>
      <c r="U119" s="21" t="s">
        <v>78</v>
      </c>
      <c r="V119" s="21" t="s">
        <v>78</v>
      </c>
      <c r="W119" s="21" t="s">
        <v>78</v>
      </c>
      <c r="X119" s="21" t="s">
        <v>78</v>
      </c>
      <c r="Y119" s="21" t="s">
        <v>78</v>
      </c>
      <c r="Z119" s="21" t="s">
        <v>78</v>
      </c>
      <c r="AA119" s="21" t="s">
        <v>78</v>
      </c>
      <c r="AB119" s="21" t="s">
        <v>78</v>
      </c>
      <c r="AC119" s="21" t="s">
        <v>78</v>
      </c>
      <c r="AD119" s="21" t="s">
        <v>78</v>
      </c>
      <c r="AE119" s="21" t="s">
        <v>78</v>
      </c>
      <c r="AF119" s="21" t="s">
        <v>78</v>
      </c>
      <c r="AG119" s="21" t="s">
        <v>78</v>
      </c>
      <c r="AH119" s="21" t="s">
        <v>78</v>
      </c>
      <c r="AI119" s="21" t="s">
        <v>78</v>
      </c>
      <c r="AJ119" s="21" t="s">
        <v>78</v>
      </c>
      <c r="AK119" s="21" t="s">
        <v>78</v>
      </c>
      <c r="AL119" s="21" t="s">
        <v>78</v>
      </c>
      <c r="AM119" s="21" t="s">
        <v>78</v>
      </c>
      <c r="AN119" s="21" t="s">
        <v>78</v>
      </c>
      <c r="AO119" s="21" t="s">
        <v>78</v>
      </c>
      <c r="AP119" s="21" t="s">
        <v>78</v>
      </c>
      <c r="AQ119" s="21" t="s">
        <v>78</v>
      </c>
      <c r="AR119" s="21" t="s">
        <v>78</v>
      </c>
      <c r="AS119" s="21" t="s">
        <v>78</v>
      </c>
      <c r="AT119" s="21" t="s">
        <v>78</v>
      </c>
      <c r="AU119" s="21" t="s">
        <v>78</v>
      </c>
      <c r="AV119" s="21" t="s">
        <v>78</v>
      </c>
      <c r="AW119" s="21" t="s">
        <v>78</v>
      </c>
      <c r="AX119" s="21" t="s">
        <v>78</v>
      </c>
      <c r="AY119" s="21" t="s">
        <v>78</v>
      </c>
      <c r="AZ119" s="21" t="s">
        <v>78</v>
      </c>
      <c r="BA119" s="21" t="s">
        <v>78</v>
      </c>
      <c r="BB119" s="21" t="s">
        <v>78</v>
      </c>
      <c r="BC119" s="21" t="s">
        <v>78</v>
      </c>
      <c r="BD119" s="21" t="s">
        <v>78</v>
      </c>
      <c r="BE119" s="21" t="s">
        <v>78</v>
      </c>
      <c r="BF119" s="21" t="s">
        <v>78</v>
      </c>
      <c r="BG119" s="21" t="s">
        <v>78</v>
      </c>
      <c r="BH119" s="21" t="s">
        <v>78</v>
      </c>
      <c r="BI119" s="21" t="s">
        <v>78</v>
      </c>
      <c r="BJ119" s="21" t="s">
        <v>78</v>
      </c>
      <c r="BK119" s="21" t="s">
        <v>78</v>
      </c>
    </row>
    <row r="120" spans="1:63" x14ac:dyDescent="0.3">
      <c r="A120" t="s">
        <v>631</v>
      </c>
      <c r="B120" t="s">
        <v>78</v>
      </c>
      <c r="C120" s="21" t="s">
        <v>78</v>
      </c>
      <c r="D120" s="21" t="s">
        <v>78</v>
      </c>
      <c r="E120" s="21" t="s">
        <v>78</v>
      </c>
      <c r="F120" t="s">
        <v>78</v>
      </c>
      <c r="G120" t="s">
        <v>78</v>
      </c>
      <c r="J120" t="s">
        <v>77</v>
      </c>
      <c r="K120" t="s">
        <v>78</v>
      </c>
      <c r="L120" s="21" t="s">
        <v>101</v>
      </c>
      <c r="M120" t="s">
        <v>77</v>
      </c>
      <c r="N120" t="s">
        <v>110</v>
      </c>
      <c r="O120" t="s">
        <v>110</v>
      </c>
      <c r="P120" t="s">
        <v>77</v>
      </c>
      <c r="Q120" t="s">
        <v>77</v>
      </c>
      <c r="R120" t="s">
        <v>78</v>
      </c>
      <c r="S120" t="s">
        <v>78</v>
      </c>
      <c r="T120" t="s">
        <v>78</v>
      </c>
      <c r="U120" t="s">
        <v>78</v>
      </c>
      <c r="V120" t="s">
        <v>78</v>
      </c>
      <c r="W120" t="s">
        <v>78</v>
      </c>
      <c r="X120" t="s">
        <v>78</v>
      </c>
      <c r="Y120" t="s">
        <v>78</v>
      </c>
      <c r="Z120" t="s">
        <v>78</v>
      </c>
      <c r="AA120" t="s">
        <v>78</v>
      </c>
      <c r="AB120" t="s">
        <v>78</v>
      </c>
      <c r="AC120" s="21" t="s">
        <v>78</v>
      </c>
      <c r="AD120" s="21" t="s">
        <v>78</v>
      </c>
      <c r="AE120" s="21" t="s">
        <v>78</v>
      </c>
      <c r="AF120" s="21" t="s">
        <v>78</v>
      </c>
      <c r="AG120" s="21" t="s">
        <v>78</v>
      </c>
      <c r="AH120" s="21" t="s">
        <v>78</v>
      </c>
      <c r="AI120" s="21" t="s">
        <v>78</v>
      </c>
      <c r="AJ120" s="21" t="s">
        <v>78</v>
      </c>
      <c r="AK120" s="21" t="s">
        <v>78</v>
      </c>
      <c r="AL120" s="21" t="s">
        <v>78</v>
      </c>
      <c r="AM120" s="21" t="s">
        <v>78</v>
      </c>
      <c r="AN120" s="21" t="s">
        <v>78</v>
      </c>
      <c r="AO120" s="21" t="s">
        <v>78</v>
      </c>
      <c r="AP120" s="21" t="s">
        <v>78</v>
      </c>
      <c r="AQ120" s="21" t="s">
        <v>78</v>
      </c>
      <c r="AR120" s="21" t="s">
        <v>78</v>
      </c>
      <c r="AS120" s="21" t="s">
        <v>78</v>
      </c>
      <c r="AT120" s="21" t="s">
        <v>78</v>
      </c>
      <c r="AU120" s="21" t="s">
        <v>78</v>
      </c>
      <c r="AV120" s="21" t="s">
        <v>78</v>
      </c>
      <c r="AW120" s="21" t="s">
        <v>78</v>
      </c>
      <c r="AX120" s="21" t="s">
        <v>78</v>
      </c>
      <c r="AY120" s="21" t="s">
        <v>78</v>
      </c>
      <c r="AZ120" s="21" t="s">
        <v>78</v>
      </c>
      <c r="BA120" s="21" t="s">
        <v>78</v>
      </c>
      <c r="BB120" s="21" t="s">
        <v>78</v>
      </c>
      <c r="BC120" s="21" t="s">
        <v>78</v>
      </c>
      <c r="BD120" s="21" t="s">
        <v>78</v>
      </c>
      <c r="BE120" s="21" t="s">
        <v>78</v>
      </c>
      <c r="BF120" s="21" t="s">
        <v>78</v>
      </c>
      <c r="BG120" s="21" t="s">
        <v>78</v>
      </c>
      <c r="BH120" s="21" t="s">
        <v>78</v>
      </c>
      <c r="BI120" t="s">
        <v>78</v>
      </c>
      <c r="BJ120" t="s">
        <v>78</v>
      </c>
      <c r="BK120" t="s">
        <v>78</v>
      </c>
    </row>
    <row r="121" spans="1:63" x14ac:dyDescent="0.3">
      <c r="A121" t="s">
        <v>712</v>
      </c>
      <c r="B121" t="s">
        <v>77</v>
      </c>
      <c r="C121" s="21" t="s">
        <v>78</v>
      </c>
      <c r="D121" t="s">
        <v>77</v>
      </c>
      <c r="I121" t="s">
        <v>78</v>
      </c>
      <c r="K121" t="s">
        <v>78</v>
      </c>
      <c r="L121" s="21" t="s">
        <v>101</v>
      </c>
      <c r="M121" t="s">
        <v>77</v>
      </c>
      <c r="N121" t="s">
        <v>110</v>
      </c>
      <c r="O121" t="s">
        <v>110</v>
      </c>
      <c r="R121" t="s">
        <v>78</v>
      </c>
      <c r="S121" t="s">
        <v>78</v>
      </c>
      <c r="T121" t="s">
        <v>78</v>
      </c>
      <c r="U121" t="s">
        <v>78</v>
      </c>
      <c r="V121" t="s">
        <v>78</v>
      </c>
      <c r="W121" t="s">
        <v>78</v>
      </c>
      <c r="X121" t="s">
        <v>78</v>
      </c>
      <c r="Y121" t="s">
        <v>78</v>
      </c>
      <c r="Z121" t="s">
        <v>78</v>
      </c>
      <c r="AA121" t="s">
        <v>78</v>
      </c>
      <c r="AB121" t="s">
        <v>78</v>
      </c>
      <c r="AC121" s="21" t="s">
        <v>78</v>
      </c>
      <c r="AD121" s="21" t="s">
        <v>78</v>
      </c>
      <c r="AE121" s="21" t="s">
        <v>78</v>
      </c>
      <c r="AF121" s="21" t="s">
        <v>78</v>
      </c>
      <c r="AG121" s="21" t="s">
        <v>78</v>
      </c>
      <c r="AH121" s="21" t="s">
        <v>78</v>
      </c>
      <c r="AI121" s="21" t="s">
        <v>78</v>
      </c>
      <c r="AJ121" s="21" t="s">
        <v>78</v>
      </c>
      <c r="AK121" s="21" t="s">
        <v>78</v>
      </c>
      <c r="AL121" s="21" t="s">
        <v>78</v>
      </c>
      <c r="AM121" s="21" t="s">
        <v>78</v>
      </c>
      <c r="AN121" s="21" t="s">
        <v>78</v>
      </c>
      <c r="AO121" s="21" t="s">
        <v>78</v>
      </c>
      <c r="AP121" s="21" t="s">
        <v>78</v>
      </c>
      <c r="AQ121" s="21" t="s">
        <v>78</v>
      </c>
      <c r="AR121" s="21" t="s">
        <v>78</v>
      </c>
      <c r="AS121" s="21" t="s">
        <v>78</v>
      </c>
      <c r="AT121" s="21" t="s">
        <v>78</v>
      </c>
      <c r="AU121" s="21" t="s">
        <v>78</v>
      </c>
      <c r="AV121" s="21" t="s">
        <v>78</v>
      </c>
      <c r="AW121" s="21" t="s">
        <v>78</v>
      </c>
      <c r="AX121" s="21" t="s">
        <v>78</v>
      </c>
      <c r="AY121" s="21" t="s">
        <v>78</v>
      </c>
      <c r="AZ121" s="21" t="s">
        <v>78</v>
      </c>
      <c r="BA121" s="21" t="s">
        <v>78</v>
      </c>
      <c r="BB121" s="21" t="s">
        <v>78</v>
      </c>
      <c r="BC121" s="21" t="s">
        <v>78</v>
      </c>
      <c r="BD121" s="21" t="s">
        <v>78</v>
      </c>
      <c r="BE121" s="21" t="s">
        <v>78</v>
      </c>
      <c r="BF121" s="21" t="s">
        <v>78</v>
      </c>
      <c r="BG121" s="21" t="s">
        <v>78</v>
      </c>
      <c r="BH121" s="21" t="s">
        <v>78</v>
      </c>
      <c r="BI121" t="s">
        <v>78</v>
      </c>
      <c r="BJ121" t="s">
        <v>78</v>
      </c>
      <c r="BK121" t="s">
        <v>78</v>
      </c>
    </row>
    <row r="122" spans="1:63" x14ac:dyDescent="0.3">
      <c r="A122" t="s">
        <v>713</v>
      </c>
      <c r="B122" t="s">
        <v>77</v>
      </c>
      <c r="C122" s="21" t="s">
        <v>78</v>
      </c>
      <c r="D122" t="s">
        <v>77</v>
      </c>
      <c r="I122" t="s">
        <v>78</v>
      </c>
      <c r="K122" t="s">
        <v>78</v>
      </c>
      <c r="L122" s="21" t="s">
        <v>101</v>
      </c>
      <c r="M122" t="s">
        <v>77</v>
      </c>
      <c r="N122" t="s">
        <v>110</v>
      </c>
      <c r="O122" t="s">
        <v>110</v>
      </c>
      <c r="R122" t="s">
        <v>78</v>
      </c>
      <c r="S122" t="s">
        <v>78</v>
      </c>
      <c r="T122" t="s">
        <v>78</v>
      </c>
      <c r="U122" t="s">
        <v>78</v>
      </c>
      <c r="V122" t="s">
        <v>78</v>
      </c>
      <c r="W122" t="s">
        <v>78</v>
      </c>
      <c r="X122" t="s">
        <v>78</v>
      </c>
      <c r="Y122" t="s">
        <v>78</v>
      </c>
      <c r="Z122" t="s">
        <v>78</v>
      </c>
      <c r="AA122" t="s">
        <v>78</v>
      </c>
      <c r="AB122" t="s">
        <v>78</v>
      </c>
      <c r="AC122" s="21" t="s">
        <v>78</v>
      </c>
      <c r="AD122" s="21" t="s">
        <v>78</v>
      </c>
      <c r="AE122" s="21" t="s">
        <v>78</v>
      </c>
      <c r="AF122" s="21" t="s">
        <v>78</v>
      </c>
      <c r="AG122" s="21" t="s">
        <v>78</v>
      </c>
      <c r="AH122" s="21" t="s">
        <v>78</v>
      </c>
      <c r="AI122" s="21" t="s">
        <v>78</v>
      </c>
      <c r="AJ122" s="21" t="s">
        <v>78</v>
      </c>
      <c r="AK122" s="21" t="s">
        <v>78</v>
      </c>
      <c r="AL122" s="21" t="s">
        <v>78</v>
      </c>
      <c r="AM122" s="21" t="s">
        <v>78</v>
      </c>
      <c r="AN122" s="21" t="s">
        <v>78</v>
      </c>
      <c r="AO122" s="21" t="s">
        <v>78</v>
      </c>
      <c r="AP122" s="21" t="s">
        <v>78</v>
      </c>
      <c r="AQ122" s="21" t="s">
        <v>78</v>
      </c>
      <c r="AR122" s="21" t="s">
        <v>78</v>
      </c>
      <c r="AS122" s="21" t="s">
        <v>78</v>
      </c>
      <c r="AT122" s="21" t="s">
        <v>78</v>
      </c>
      <c r="AU122" s="21" t="s">
        <v>78</v>
      </c>
      <c r="AV122" s="21" t="s">
        <v>78</v>
      </c>
      <c r="AW122" s="21" t="s">
        <v>78</v>
      </c>
      <c r="AX122" s="21" t="s">
        <v>78</v>
      </c>
      <c r="AY122" s="21" t="s">
        <v>78</v>
      </c>
      <c r="AZ122" s="21" t="s">
        <v>78</v>
      </c>
      <c r="BA122" s="21" t="s">
        <v>78</v>
      </c>
      <c r="BB122" s="21" t="s">
        <v>78</v>
      </c>
      <c r="BC122" s="21" t="s">
        <v>78</v>
      </c>
      <c r="BD122" s="21" t="s">
        <v>78</v>
      </c>
      <c r="BE122" s="21" t="s">
        <v>78</v>
      </c>
      <c r="BF122" s="21" t="s">
        <v>78</v>
      </c>
      <c r="BG122" s="21" t="s">
        <v>78</v>
      </c>
      <c r="BH122" s="21" t="s">
        <v>78</v>
      </c>
      <c r="BI122" t="s">
        <v>78</v>
      </c>
      <c r="BJ122" t="s">
        <v>78</v>
      </c>
      <c r="BK122" t="s">
        <v>78</v>
      </c>
    </row>
    <row r="123" spans="1:63" x14ac:dyDescent="0.3">
      <c r="A123" t="s">
        <v>714</v>
      </c>
      <c r="B123" t="s">
        <v>77</v>
      </c>
      <c r="C123" s="21" t="s">
        <v>78</v>
      </c>
      <c r="D123" t="s">
        <v>77</v>
      </c>
      <c r="I123" t="s">
        <v>78</v>
      </c>
      <c r="K123" t="s">
        <v>78</v>
      </c>
      <c r="L123" s="21" t="s">
        <v>101</v>
      </c>
      <c r="M123" t="s">
        <v>77</v>
      </c>
      <c r="N123" t="s">
        <v>110</v>
      </c>
      <c r="O123" t="s">
        <v>110</v>
      </c>
      <c r="R123" t="s">
        <v>78</v>
      </c>
      <c r="S123" t="s">
        <v>78</v>
      </c>
      <c r="T123" t="s">
        <v>78</v>
      </c>
      <c r="U123" t="s">
        <v>78</v>
      </c>
      <c r="V123" t="s">
        <v>78</v>
      </c>
      <c r="W123" t="s">
        <v>78</v>
      </c>
      <c r="X123" t="s">
        <v>78</v>
      </c>
      <c r="Y123" t="s">
        <v>78</v>
      </c>
      <c r="Z123" t="s">
        <v>78</v>
      </c>
      <c r="AA123" t="s">
        <v>78</v>
      </c>
      <c r="AB123" t="s">
        <v>78</v>
      </c>
      <c r="AC123" s="21" t="s">
        <v>78</v>
      </c>
      <c r="AD123" s="21" t="s">
        <v>78</v>
      </c>
      <c r="AE123" s="21" t="s">
        <v>78</v>
      </c>
      <c r="AF123" s="21" t="s">
        <v>78</v>
      </c>
      <c r="AG123" s="21" t="s">
        <v>78</v>
      </c>
      <c r="AH123" s="21" t="s">
        <v>78</v>
      </c>
      <c r="AI123" s="21" t="s">
        <v>78</v>
      </c>
      <c r="AJ123" s="21" t="s">
        <v>78</v>
      </c>
      <c r="AK123" s="21" t="s">
        <v>78</v>
      </c>
      <c r="AL123" s="21" t="s">
        <v>78</v>
      </c>
      <c r="AM123" s="21" t="s">
        <v>78</v>
      </c>
      <c r="AN123" s="21" t="s">
        <v>78</v>
      </c>
      <c r="AO123" s="21" t="s">
        <v>78</v>
      </c>
      <c r="AP123" s="21" t="s">
        <v>78</v>
      </c>
      <c r="AQ123" s="21" t="s">
        <v>78</v>
      </c>
      <c r="AR123" s="21" t="s">
        <v>78</v>
      </c>
      <c r="AS123" s="21" t="s">
        <v>78</v>
      </c>
      <c r="AT123" s="21" t="s">
        <v>78</v>
      </c>
      <c r="AU123" s="21" t="s">
        <v>78</v>
      </c>
      <c r="AV123" s="21" t="s">
        <v>78</v>
      </c>
      <c r="AW123" s="21" t="s">
        <v>78</v>
      </c>
      <c r="AX123" s="21" t="s">
        <v>78</v>
      </c>
      <c r="AY123" s="21" t="s">
        <v>78</v>
      </c>
      <c r="AZ123" s="21" t="s">
        <v>78</v>
      </c>
      <c r="BA123" s="21" t="s">
        <v>78</v>
      </c>
      <c r="BB123" s="21" t="s">
        <v>78</v>
      </c>
      <c r="BC123" s="21" t="s">
        <v>78</v>
      </c>
      <c r="BD123" s="21" t="s">
        <v>78</v>
      </c>
      <c r="BE123" s="21" t="s">
        <v>78</v>
      </c>
      <c r="BF123" s="21" t="s">
        <v>78</v>
      </c>
      <c r="BG123" s="21" t="s">
        <v>78</v>
      </c>
      <c r="BH123" s="21" t="s">
        <v>78</v>
      </c>
      <c r="BI123" t="s">
        <v>78</v>
      </c>
      <c r="BJ123" t="s">
        <v>78</v>
      </c>
      <c r="BK123" t="s">
        <v>78</v>
      </c>
    </row>
    <row r="124" spans="1:63" x14ac:dyDescent="0.3">
      <c r="A124" t="s">
        <v>694</v>
      </c>
      <c r="B124" t="s">
        <v>77</v>
      </c>
      <c r="C124" s="21" t="s">
        <v>78</v>
      </c>
      <c r="D124" t="s">
        <v>77</v>
      </c>
      <c r="I124" t="s">
        <v>78</v>
      </c>
      <c r="K124" t="s">
        <v>78</v>
      </c>
      <c r="L124" s="21" t="s">
        <v>101</v>
      </c>
      <c r="M124" t="s">
        <v>77</v>
      </c>
      <c r="N124" t="s">
        <v>110</v>
      </c>
      <c r="O124" t="s">
        <v>110</v>
      </c>
      <c r="R124" t="s">
        <v>78</v>
      </c>
      <c r="S124" t="s">
        <v>78</v>
      </c>
      <c r="T124" t="s">
        <v>78</v>
      </c>
      <c r="U124" t="s">
        <v>78</v>
      </c>
      <c r="V124" t="s">
        <v>78</v>
      </c>
      <c r="W124" t="s">
        <v>78</v>
      </c>
      <c r="X124" t="s">
        <v>78</v>
      </c>
      <c r="Y124" t="s">
        <v>78</v>
      </c>
      <c r="Z124" t="s">
        <v>78</v>
      </c>
      <c r="AA124" t="s">
        <v>78</v>
      </c>
      <c r="AB124" t="s">
        <v>78</v>
      </c>
      <c r="AC124" s="21" t="s">
        <v>78</v>
      </c>
      <c r="AD124" s="21" t="s">
        <v>78</v>
      </c>
      <c r="AE124" s="21" t="s">
        <v>78</v>
      </c>
      <c r="AF124" s="21" t="s">
        <v>78</v>
      </c>
      <c r="AG124" s="21" t="s">
        <v>78</v>
      </c>
      <c r="AH124" s="21" t="s">
        <v>78</v>
      </c>
      <c r="AI124" s="21" t="s">
        <v>78</v>
      </c>
      <c r="AJ124" s="21" t="s">
        <v>78</v>
      </c>
      <c r="AK124" s="21" t="s">
        <v>78</v>
      </c>
      <c r="AL124" s="21" t="s">
        <v>78</v>
      </c>
      <c r="AM124" s="21" t="s">
        <v>78</v>
      </c>
      <c r="AN124" s="21" t="s">
        <v>78</v>
      </c>
      <c r="AO124" s="21" t="s">
        <v>78</v>
      </c>
      <c r="AP124" s="21" t="s">
        <v>78</v>
      </c>
      <c r="AQ124" s="21" t="s">
        <v>78</v>
      </c>
      <c r="AR124" s="21" t="s">
        <v>78</v>
      </c>
      <c r="AS124" s="21" t="s">
        <v>78</v>
      </c>
      <c r="AT124" s="21" t="s">
        <v>78</v>
      </c>
      <c r="AU124" s="21" t="s">
        <v>78</v>
      </c>
      <c r="AV124" s="21" t="s">
        <v>78</v>
      </c>
      <c r="AW124" s="21" t="s">
        <v>78</v>
      </c>
      <c r="AX124" s="21" t="s">
        <v>78</v>
      </c>
      <c r="AY124" s="21" t="s">
        <v>78</v>
      </c>
      <c r="AZ124" s="21" t="s">
        <v>78</v>
      </c>
      <c r="BA124" s="21" t="s">
        <v>78</v>
      </c>
      <c r="BB124" s="21" t="s">
        <v>78</v>
      </c>
      <c r="BC124" s="21" t="s">
        <v>78</v>
      </c>
      <c r="BD124" s="21" t="s">
        <v>78</v>
      </c>
      <c r="BE124" s="21" t="s">
        <v>78</v>
      </c>
      <c r="BF124" s="21" t="s">
        <v>78</v>
      </c>
      <c r="BG124" s="21" t="s">
        <v>78</v>
      </c>
      <c r="BH124" s="21" t="s">
        <v>78</v>
      </c>
      <c r="BI124" t="s">
        <v>78</v>
      </c>
      <c r="BJ124" t="s">
        <v>78</v>
      </c>
      <c r="BK124" t="s">
        <v>78</v>
      </c>
    </row>
    <row r="125" spans="1:63" x14ac:dyDescent="0.3">
      <c r="A125" t="s">
        <v>695</v>
      </c>
      <c r="B125" t="s">
        <v>77</v>
      </c>
      <c r="C125" s="21" t="s">
        <v>78</v>
      </c>
      <c r="D125" t="s">
        <v>77</v>
      </c>
      <c r="I125" t="s">
        <v>78</v>
      </c>
      <c r="K125" t="s">
        <v>78</v>
      </c>
      <c r="L125" s="21" t="s">
        <v>101</v>
      </c>
      <c r="M125" t="s">
        <v>77</v>
      </c>
      <c r="N125" t="s">
        <v>110</v>
      </c>
      <c r="O125" t="s">
        <v>110</v>
      </c>
      <c r="R125" t="s">
        <v>78</v>
      </c>
      <c r="S125" t="s">
        <v>78</v>
      </c>
      <c r="T125" t="s">
        <v>78</v>
      </c>
      <c r="U125" t="s">
        <v>78</v>
      </c>
      <c r="V125" t="s">
        <v>78</v>
      </c>
      <c r="W125" t="s">
        <v>78</v>
      </c>
      <c r="X125" t="s">
        <v>78</v>
      </c>
      <c r="Y125" t="s">
        <v>78</v>
      </c>
      <c r="Z125" t="s">
        <v>78</v>
      </c>
      <c r="AA125" t="s">
        <v>78</v>
      </c>
      <c r="AB125" t="s">
        <v>78</v>
      </c>
      <c r="AC125" s="21" t="s">
        <v>78</v>
      </c>
      <c r="AD125" s="21" t="s">
        <v>78</v>
      </c>
      <c r="AE125" s="21" t="s">
        <v>78</v>
      </c>
      <c r="AF125" s="21" t="s">
        <v>78</v>
      </c>
      <c r="AG125" s="21" t="s">
        <v>78</v>
      </c>
      <c r="AH125" s="21" t="s">
        <v>78</v>
      </c>
      <c r="AI125" s="21" t="s">
        <v>78</v>
      </c>
      <c r="AJ125" s="21" t="s">
        <v>78</v>
      </c>
      <c r="AK125" s="21" t="s">
        <v>78</v>
      </c>
      <c r="AL125" s="21" t="s">
        <v>78</v>
      </c>
      <c r="AM125" s="21" t="s">
        <v>78</v>
      </c>
      <c r="AN125" s="21" t="s">
        <v>78</v>
      </c>
      <c r="AO125" s="21" t="s">
        <v>78</v>
      </c>
      <c r="AP125" s="21" t="s">
        <v>78</v>
      </c>
      <c r="AQ125" s="21" t="s">
        <v>78</v>
      </c>
      <c r="AR125" s="21" t="s">
        <v>78</v>
      </c>
      <c r="AS125" s="21" t="s">
        <v>78</v>
      </c>
      <c r="AT125" s="21" t="s">
        <v>78</v>
      </c>
      <c r="AU125" s="21" t="s">
        <v>78</v>
      </c>
      <c r="AV125" s="21" t="s">
        <v>78</v>
      </c>
      <c r="AW125" s="21" t="s">
        <v>78</v>
      </c>
      <c r="AX125" s="21" t="s">
        <v>78</v>
      </c>
      <c r="AY125" s="21" t="s">
        <v>78</v>
      </c>
      <c r="AZ125" s="21" t="s">
        <v>78</v>
      </c>
      <c r="BA125" s="21" t="s">
        <v>78</v>
      </c>
      <c r="BB125" s="21" t="s">
        <v>78</v>
      </c>
      <c r="BC125" s="21" t="s">
        <v>78</v>
      </c>
      <c r="BD125" s="21" t="s">
        <v>78</v>
      </c>
      <c r="BE125" s="21" t="s">
        <v>78</v>
      </c>
      <c r="BF125" s="21" t="s">
        <v>78</v>
      </c>
      <c r="BG125" s="21" t="s">
        <v>78</v>
      </c>
      <c r="BH125" s="21" t="s">
        <v>78</v>
      </c>
      <c r="BI125" t="s">
        <v>78</v>
      </c>
      <c r="BJ125" t="s">
        <v>78</v>
      </c>
      <c r="BK125" t="s">
        <v>78</v>
      </c>
    </row>
    <row r="126" spans="1:63" x14ac:dyDescent="0.3">
      <c r="A126" t="s">
        <v>696</v>
      </c>
      <c r="B126" t="s">
        <v>77</v>
      </c>
      <c r="C126" s="21" t="s">
        <v>78</v>
      </c>
      <c r="D126" t="s">
        <v>77</v>
      </c>
      <c r="I126" t="s">
        <v>78</v>
      </c>
      <c r="K126" t="s">
        <v>78</v>
      </c>
      <c r="L126" s="21" t="s">
        <v>101</v>
      </c>
      <c r="M126" t="s">
        <v>77</v>
      </c>
      <c r="N126" t="s">
        <v>110</v>
      </c>
      <c r="O126" t="s">
        <v>110</v>
      </c>
      <c r="R126" t="s">
        <v>78</v>
      </c>
      <c r="S126" t="s">
        <v>78</v>
      </c>
      <c r="T126" t="s">
        <v>78</v>
      </c>
      <c r="U126" t="s">
        <v>78</v>
      </c>
      <c r="V126" t="s">
        <v>78</v>
      </c>
      <c r="W126" t="s">
        <v>78</v>
      </c>
      <c r="X126" t="s">
        <v>78</v>
      </c>
      <c r="Y126" t="s">
        <v>78</v>
      </c>
      <c r="Z126" t="s">
        <v>78</v>
      </c>
      <c r="AA126" t="s">
        <v>78</v>
      </c>
      <c r="AB126" t="s">
        <v>78</v>
      </c>
      <c r="AC126" s="21" t="s">
        <v>78</v>
      </c>
      <c r="AD126" s="21" t="s">
        <v>78</v>
      </c>
      <c r="AE126" s="21" t="s">
        <v>78</v>
      </c>
      <c r="AF126" s="21" t="s">
        <v>78</v>
      </c>
      <c r="AG126" s="21" t="s">
        <v>78</v>
      </c>
      <c r="AH126" s="21" t="s">
        <v>78</v>
      </c>
      <c r="AI126" s="21" t="s">
        <v>78</v>
      </c>
      <c r="AJ126" s="21" t="s">
        <v>78</v>
      </c>
      <c r="AK126" s="21" t="s">
        <v>78</v>
      </c>
      <c r="AL126" s="21" t="s">
        <v>78</v>
      </c>
      <c r="AM126" s="21" t="s">
        <v>78</v>
      </c>
      <c r="AN126" s="21" t="s">
        <v>78</v>
      </c>
      <c r="AO126" s="21" t="s">
        <v>78</v>
      </c>
      <c r="AP126" s="21" t="s">
        <v>78</v>
      </c>
      <c r="AQ126" s="21" t="s">
        <v>78</v>
      </c>
      <c r="AR126" s="21" t="s">
        <v>78</v>
      </c>
      <c r="AS126" s="21" t="s">
        <v>78</v>
      </c>
      <c r="AT126" s="21" t="s">
        <v>78</v>
      </c>
      <c r="AU126" s="21" t="s">
        <v>78</v>
      </c>
      <c r="AV126" s="21" t="s">
        <v>78</v>
      </c>
      <c r="AW126" s="21" t="s">
        <v>78</v>
      </c>
      <c r="AX126" s="21" t="s">
        <v>78</v>
      </c>
      <c r="AY126" s="21" t="s">
        <v>78</v>
      </c>
      <c r="AZ126" s="21" t="s">
        <v>78</v>
      </c>
      <c r="BA126" s="21" t="s">
        <v>78</v>
      </c>
      <c r="BB126" s="21" t="s">
        <v>78</v>
      </c>
      <c r="BC126" s="21" t="s">
        <v>78</v>
      </c>
      <c r="BD126" s="21" t="s">
        <v>78</v>
      </c>
      <c r="BE126" s="21" t="s">
        <v>78</v>
      </c>
      <c r="BF126" s="21" t="s">
        <v>78</v>
      </c>
      <c r="BG126" s="21" t="s">
        <v>78</v>
      </c>
      <c r="BH126" s="21" t="s">
        <v>78</v>
      </c>
      <c r="BI126" t="s">
        <v>78</v>
      </c>
      <c r="BJ126" t="s">
        <v>78</v>
      </c>
      <c r="BK126" t="s">
        <v>78</v>
      </c>
    </row>
    <row r="127" spans="1:63" x14ac:dyDescent="0.3">
      <c r="A127" t="s">
        <v>703</v>
      </c>
      <c r="B127" t="s">
        <v>77</v>
      </c>
      <c r="C127" s="21" t="s">
        <v>78</v>
      </c>
      <c r="D127" t="s">
        <v>77</v>
      </c>
      <c r="I127" t="s">
        <v>78</v>
      </c>
      <c r="K127" t="s">
        <v>78</v>
      </c>
      <c r="L127" s="21" t="s">
        <v>101</v>
      </c>
      <c r="M127" t="s">
        <v>77</v>
      </c>
      <c r="N127" t="s">
        <v>110</v>
      </c>
      <c r="O127" t="s">
        <v>110</v>
      </c>
      <c r="R127" t="s">
        <v>78</v>
      </c>
      <c r="S127" t="s">
        <v>78</v>
      </c>
      <c r="T127" t="s">
        <v>78</v>
      </c>
      <c r="U127" t="s">
        <v>78</v>
      </c>
      <c r="V127" t="s">
        <v>78</v>
      </c>
      <c r="W127" t="s">
        <v>78</v>
      </c>
      <c r="X127" t="s">
        <v>78</v>
      </c>
      <c r="Y127" t="s">
        <v>78</v>
      </c>
      <c r="Z127" t="s">
        <v>78</v>
      </c>
      <c r="AA127" t="s">
        <v>78</v>
      </c>
      <c r="AB127" t="s">
        <v>78</v>
      </c>
      <c r="AC127" s="21" t="s">
        <v>78</v>
      </c>
      <c r="AD127" s="21" t="s">
        <v>78</v>
      </c>
      <c r="AE127" s="21" t="s">
        <v>78</v>
      </c>
      <c r="AF127" s="21" t="s">
        <v>78</v>
      </c>
      <c r="AG127" s="21" t="s">
        <v>78</v>
      </c>
      <c r="AH127" s="21" t="s">
        <v>78</v>
      </c>
      <c r="AI127" s="21" t="s">
        <v>78</v>
      </c>
      <c r="AJ127" s="21" t="s">
        <v>78</v>
      </c>
      <c r="AK127" s="21" t="s">
        <v>78</v>
      </c>
      <c r="AL127" s="21" t="s">
        <v>78</v>
      </c>
      <c r="AM127" s="21" t="s">
        <v>78</v>
      </c>
      <c r="AN127" s="21" t="s">
        <v>78</v>
      </c>
      <c r="AO127" s="21" t="s">
        <v>78</v>
      </c>
      <c r="AP127" s="21" t="s">
        <v>78</v>
      </c>
      <c r="AQ127" s="21" t="s">
        <v>78</v>
      </c>
      <c r="AR127" s="21" t="s">
        <v>78</v>
      </c>
      <c r="AS127" s="21" t="s">
        <v>78</v>
      </c>
      <c r="AT127" s="21" t="s">
        <v>78</v>
      </c>
      <c r="AU127" s="21" t="s">
        <v>78</v>
      </c>
      <c r="AV127" s="21" t="s">
        <v>78</v>
      </c>
      <c r="AW127" s="21" t="s">
        <v>78</v>
      </c>
      <c r="AX127" s="21" t="s">
        <v>78</v>
      </c>
      <c r="AY127" s="21" t="s">
        <v>78</v>
      </c>
      <c r="AZ127" s="21" t="s">
        <v>78</v>
      </c>
      <c r="BA127" s="21" t="s">
        <v>78</v>
      </c>
      <c r="BB127" s="21" t="s">
        <v>78</v>
      </c>
      <c r="BC127" s="21" t="s">
        <v>78</v>
      </c>
      <c r="BD127" s="21" t="s">
        <v>78</v>
      </c>
      <c r="BE127" s="21" t="s">
        <v>78</v>
      </c>
      <c r="BF127" s="21" t="s">
        <v>78</v>
      </c>
      <c r="BG127" s="21" t="s">
        <v>78</v>
      </c>
      <c r="BH127" s="21" t="s">
        <v>78</v>
      </c>
      <c r="BI127" t="s">
        <v>78</v>
      </c>
      <c r="BJ127" t="s">
        <v>78</v>
      </c>
      <c r="BK127" t="s">
        <v>78</v>
      </c>
    </row>
    <row r="128" spans="1:63" x14ac:dyDescent="0.3">
      <c r="A128" t="s">
        <v>704</v>
      </c>
      <c r="B128" t="s">
        <v>77</v>
      </c>
      <c r="C128" s="21" t="s">
        <v>78</v>
      </c>
      <c r="D128" t="s">
        <v>77</v>
      </c>
      <c r="I128" t="s">
        <v>78</v>
      </c>
      <c r="K128" t="s">
        <v>78</v>
      </c>
      <c r="L128" s="21" t="s">
        <v>101</v>
      </c>
      <c r="M128" t="s">
        <v>77</v>
      </c>
      <c r="N128" t="s">
        <v>110</v>
      </c>
      <c r="O128" t="s">
        <v>110</v>
      </c>
      <c r="R128" t="s">
        <v>78</v>
      </c>
      <c r="S128" t="s">
        <v>78</v>
      </c>
      <c r="T128" t="s">
        <v>78</v>
      </c>
      <c r="U128" t="s">
        <v>78</v>
      </c>
      <c r="V128" t="s">
        <v>78</v>
      </c>
      <c r="W128" t="s">
        <v>78</v>
      </c>
      <c r="X128" t="s">
        <v>78</v>
      </c>
      <c r="Y128" t="s">
        <v>78</v>
      </c>
      <c r="Z128" t="s">
        <v>78</v>
      </c>
      <c r="AA128" t="s">
        <v>78</v>
      </c>
      <c r="AB128" t="s">
        <v>78</v>
      </c>
      <c r="AC128" s="21" t="s">
        <v>78</v>
      </c>
      <c r="AD128" s="21" t="s">
        <v>78</v>
      </c>
      <c r="AE128" s="21" t="s">
        <v>78</v>
      </c>
      <c r="AF128" s="21" t="s">
        <v>78</v>
      </c>
      <c r="AG128" s="21" t="s">
        <v>78</v>
      </c>
      <c r="AH128" s="21" t="s">
        <v>78</v>
      </c>
      <c r="AI128" s="21" t="s">
        <v>78</v>
      </c>
      <c r="AJ128" s="21" t="s">
        <v>78</v>
      </c>
      <c r="AK128" s="21" t="s">
        <v>78</v>
      </c>
      <c r="AL128" s="21" t="s">
        <v>78</v>
      </c>
      <c r="AM128" s="21" t="s">
        <v>78</v>
      </c>
      <c r="AN128" s="21" t="s">
        <v>78</v>
      </c>
      <c r="AO128" s="21" t="s">
        <v>78</v>
      </c>
      <c r="AP128" s="21" t="s">
        <v>78</v>
      </c>
      <c r="AQ128" s="21" t="s">
        <v>78</v>
      </c>
      <c r="AR128" s="21" t="s">
        <v>78</v>
      </c>
      <c r="AS128" s="21" t="s">
        <v>78</v>
      </c>
      <c r="AT128" s="21" t="s">
        <v>78</v>
      </c>
      <c r="AU128" s="21" t="s">
        <v>78</v>
      </c>
      <c r="AV128" s="21" t="s">
        <v>78</v>
      </c>
      <c r="AW128" s="21" t="s">
        <v>78</v>
      </c>
      <c r="AX128" s="21" t="s">
        <v>78</v>
      </c>
      <c r="AY128" s="21" t="s">
        <v>78</v>
      </c>
      <c r="AZ128" s="21" t="s">
        <v>78</v>
      </c>
      <c r="BA128" s="21" t="s">
        <v>78</v>
      </c>
      <c r="BB128" s="21" t="s">
        <v>78</v>
      </c>
      <c r="BC128" s="21" t="s">
        <v>78</v>
      </c>
      <c r="BD128" s="21" t="s">
        <v>78</v>
      </c>
      <c r="BE128" s="21" t="s">
        <v>78</v>
      </c>
      <c r="BF128" s="21" t="s">
        <v>78</v>
      </c>
      <c r="BG128" s="21" t="s">
        <v>78</v>
      </c>
      <c r="BH128" s="21" t="s">
        <v>78</v>
      </c>
      <c r="BI128" t="s">
        <v>78</v>
      </c>
      <c r="BJ128" t="s">
        <v>78</v>
      </c>
      <c r="BK128" t="s">
        <v>78</v>
      </c>
    </row>
    <row r="129" spans="1:63" x14ac:dyDescent="0.3">
      <c r="A129" t="s">
        <v>705</v>
      </c>
      <c r="B129" t="s">
        <v>77</v>
      </c>
      <c r="C129" s="21" t="s">
        <v>78</v>
      </c>
      <c r="D129" t="s">
        <v>77</v>
      </c>
      <c r="I129" t="s">
        <v>78</v>
      </c>
      <c r="K129" t="s">
        <v>78</v>
      </c>
      <c r="L129" s="21" t="s">
        <v>101</v>
      </c>
      <c r="M129" t="s">
        <v>77</v>
      </c>
      <c r="N129" t="s">
        <v>110</v>
      </c>
      <c r="O129" t="s">
        <v>110</v>
      </c>
      <c r="R129" t="s">
        <v>78</v>
      </c>
      <c r="S129" t="s">
        <v>78</v>
      </c>
      <c r="T129" t="s">
        <v>78</v>
      </c>
      <c r="U129" t="s">
        <v>78</v>
      </c>
      <c r="V129" t="s">
        <v>78</v>
      </c>
      <c r="W129" t="s">
        <v>78</v>
      </c>
      <c r="X129" t="s">
        <v>78</v>
      </c>
      <c r="Y129" t="s">
        <v>78</v>
      </c>
      <c r="Z129" t="s">
        <v>78</v>
      </c>
      <c r="AA129" t="s">
        <v>78</v>
      </c>
      <c r="AB129" t="s">
        <v>78</v>
      </c>
      <c r="AC129" s="21" t="s">
        <v>78</v>
      </c>
      <c r="AD129" s="21" t="s">
        <v>78</v>
      </c>
      <c r="AE129" s="21" t="s">
        <v>78</v>
      </c>
      <c r="AF129" s="21" t="s">
        <v>78</v>
      </c>
      <c r="AG129" s="21" t="s">
        <v>78</v>
      </c>
      <c r="AH129" s="21" t="s">
        <v>78</v>
      </c>
      <c r="AI129" s="21" t="s">
        <v>78</v>
      </c>
      <c r="AJ129" s="21" t="s">
        <v>78</v>
      </c>
      <c r="AK129" s="21" t="s">
        <v>78</v>
      </c>
      <c r="AL129" s="21" t="s">
        <v>78</v>
      </c>
      <c r="AM129" s="21" t="s">
        <v>78</v>
      </c>
      <c r="AN129" s="21" t="s">
        <v>78</v>
      </c>
      <c r="AO129" s="21" t="s">
        <v>78</v>
      </c>
      <c r="AP129" s="21" t="s">
        <v>78</v>
      </c>
      <c r="AQ129" s="21" t="s">
        <v>78</v>
      </c>
      <c r="AR129" s="21" t="s">
        <v>78</v>
      </c>
      <c r="AS129" s="21" t="s">
        <v>78</v>
      </c>
      <c r="AT129" s="21" t="s">
        <v>78</v>
      </c>
      <c r="AU129" s="21" t="s">
        <v>78</v>
      </c>
      <c r="AV129" s="21" t="s">
        <v>78</v>
      </c>
      <c r="AW129" s="21" t="s">
        <v>78</v>
      </c>
      <c r="AX129" s="21" t="s">
        <v>78</v>
      </c>
      <c r="AY129" s="21" t="s">
        <v>78</v>
      </c>
      <c r="AZ129" s="21" t="s">
        <v>78</v>
      </c>
      <c r="BA129" s="21" t="s">
        <v>78</v>
      </c>
      <c r="BB129" s="21" t="s">
        <v>78</v>
      </c>
      <c r="BC129" s="21" t="s">
        <v>78</v>
      </c>
      <c r="BD129" s="21" t="s">
        <v>78</v>
      </c>
      <c r="BE129" s="21" t="s">
        <v>78</v>
      </c>
      <c r="BF129" s="21" t="s">
        <v>78</v>
      </c>
      <c r="BG129" s="21" t="s">
        <v>78</v>
      </c>
      <c r="BH129" s="21" t="s">
        <v>78</v>
      </c>
      <c r="BI129" t="s">
        <v>78</v>
      </c>
      <c r="BJ129" t="s">
        <v>78</v>
      </c>
      <c r="BK129" t="s">
        <v>78</v>
      </c>
    </row>
    <row r="130" spans="1:63" x14ac:dyDescent="0.3">
      <c r="A130" t="s">
        <v>520</v>
      </c>
      <c r="B130" s="21" t="s">
        <v>78</v>
      </c>
      <c r="C130" s="21" t="s">
        <v>78</v>
      </c>
      <c r="D130" s="21" t="s">
        <v>78</v>
      </c>
      <c r="E130" s="21" t="s">
        <v>78</v>
      </c>
      <c r="F130" t="s">
        <v>78</v>
      </c>
      <c r="G130" t="s">
        <v>78</v>
      </c>
      <c r="J130" t="s">
        <v>77</v>
      </c>
      <c r="K130" t="s">
        <v>78</v>
      </c>
      <c r="L130" t="s">
        <v>101</v>
      </c>
      <c r="M130" t="s">
        <v>77</v>
      </c>
      <c r="N130" t="s">
        <v>110</v>
      </c>
      <c r="O130" t="s">
        <v>110</v>
      </c>
      <c r="P130" s="21" t="s">
        <v>77</v>
      </c>
      <c r="Q130" t="s">
        <v>77</v>
      </c>
      <c r="R130" t="s">
        <v>78</v>
      </c>
      <c r="S130" t="s">
        <v>78</v>
      </c>
      <c r="T130" t="s">
        <v>78</v>
      </c>
      <c r="U130" t="s">
        <v>78</v>
      </c>
      <c r="V130" t="s">
        <v>78</v>
      </c>
      <c r="W130" t="s">
        <v>78</v>
      </c>
      <c r="X130" t="s">
        <v>78</v>
      </c>
      <c r="Y130" t="s">
        <v>78</v>
      </c>
      <c r="Z130" t="s">
        <v>78</v>
      </c>
      <c r="AA130" t="s">
        <v>78</v>
      </c>
      <c r="AB130" t="s">
        <v>78</v>
      </c>
      <c r="AC130" s="21" t="s">
        <v>78</v>
      </c>
      <c r="AD130" s="21" t="s">
        <v>78</v>
      </c>
      <c r="AE130" s="21" t="s">
        <v>78</v>
      </c>
      <c r="AF130" s="21" t="s">
        <v>78</v>
      </c>
      <c r="AG130" s="21" t="s">
        <v>78</v>
      </c>
      <c r="AH130" s="21" t="s">
        <v>78</v>
      </c>
      <c r="AI130" s="21" t="s">
        <v>78</v>
      </c>
      <c r="AJ130" s="21" t="s">
        <v>78</v>
      </c>
      <c r="AK130" s="21" t="s">
        <v>78</v>
      </c>
      <c r="AL130" s="21" t="s">
        <v>78</v>
      </c>
      <c r="AM130" s="21" t="s">
        <v>78</v>
      </c>
      <c r="AN130" s="21" t="s">
        <v>78</v>
      </c>
      <c r="AO130" s="21" t="s">
        <v>78</v>
      </c>
      <c r="AP130" s="21" t="s">
        <v>78</v>
      </c>
      <c r="AQ130" s="21" t="s">
        <v>78</v>
      </c>
      <c r="AR130" s="21" t="s">
        <v>78</v>
      </c>
      <c r="AS130" s="21" t="s">
        <v>78</v>
      </c>
      <c r="AT130" s="21" t="s">
        <v>78</v>
      </c>
      <c r="AU130" s="21" t="s">
        <v>78</v>
      </c>
      <c r="AV130" s="21" t="s">
        <v>78</v>
      </c>
      <c r="AW130" s="21" t="s">
        <v>78</v>
      </c>
      <c r="AX130" s="21" t="s">
        <v>78</v>
      </c>
      <c r="AY130" s="21" t="s">
        <v>78</v>
      </c>
      <c r="AZ130" s="21" t="s">
        <v>78</v>
      </c>
      <c r="BA130" s="21" t="s">
        <v>78</v>
      </c>
      <c r="BB130" s="21" t="s">
        <v>78</v>
      </c>
      <c r="BC130" s="21" t="s">
        <v>78</v>
      </c>
      <c r="BD130" s="21" t="s">
        <v>78</v>
      </c>
      <c r="BE130" s="21" t="s">
        <v>78</v>
      </c>
      <c r="BF130" s="21" t="s">
        <v>78</v>
      </c>
      <c r="BG130" s="21" t="s">
        <v>78</v>
      </c>
      <c r="BH130" s="21" t="s">
        <v>78</v>
      </c>
      <c r="BI130" t="s">
        <v>78</v>
      </c>
      <c r="BJ130" t="s">
        <v>78</v>
      </c>
      <c r="BK130" t="s">
        <v>78</v>
      </c>
    </row>
    <row r="131" spans="1:63" x14ac:dyDescent="0.3">
      <c r="A131" t="s">
        <v>521</v>
      </c>
      <c r="B131" s="21" t="s">
        <v>78</v>
      </c>
      <c r="C131" s="21" t="s">
        <v>78</v>
      </c>
      <c r="D131" s="21" t="s">
        <v>78</v>
      </c>
      <c r="E131" s="21" t="s">
        <v>78</v>
      </c>
      <c r="F131" t="s">
        <v>78</v>
      </c>
      <c r="G131" t="s">
        <v>78</v>
      </c>
      <c r="J131" t="s">
        <v>77</v>
      </c>
      <c r="K131" t="s">
        <v>78</v>
      </c>
      <c r="L131" t="s">
        <v>101</v>
      </c>
      <c r="M131" t="s">
        <v>77</v>
      </c>
      <c r="N131" t="s">
        <v>110</v>
      </c>
      <c r="O131" t="s">
        <v>110</v>
      </c>
      <c r="P131" s="21" t="s">
        <v>77</v>
      </c>
      <c r="Q131" s="21" t="s">
        <v>77</v>
      </c>
      <c r="R131" t="s">
        <v>78</v>
      </c>
      <c r="S131" t="s">
        <v>78</v>
      </c>
      <c r="T131" t="s">
        <v>78</v>
      </c>
      <c r="U131" t="s">
        <v>78</v>
      </c>
      <c r="V131" t="s">
        <v>78</v>
      </c>
      <c r="W131" t="s">
        <v>78</v>
      </c>
      <c r="X131" t="s">
        <v>78</v>
      </c>
      <c r="Y131" t="s">
        <v>78</v>
      </c>
      <c r="Z131" t="s">
        <v>78</v>
      </c>
      <c r="AA131" t="s">
        <v>78</v>
      </c>
      <c r="AB131" t="s">
        <v>78</v>
      </c>
      <c r="AC131" s="21" t="s">
        <v>78</v>
      </c>
      <c r="AD131" s="21" t="s">
        <v>78</v>
      </c>
      <c r="AE131" s="21" t="s">
        <v>78</v>
      </c>
      <c r="AF131" s="21" t="s">
        <v>78</v>
      </c>
      <c r="AG131" s="21" t="s">
        <v>78</v>
      </c>
      <c r="AH131" s="21" t="s">
        <v>78</v>
      </c>
      <c r="AI131" s="21" t="s">
        <v>78</v>
      </c>
      <c r="AJ131" s="21" t="s">
        <v>78</v>
      </c>
      <c r="AK131" s="21" t="s">
        <v>78</v>
      </c>
      <c r="AL131" s="21" t="s">
        <v>78</v>
      </c>
      <c r="AM131" s="21" t="s">
        <v>78</v>
      </c>
      <c r="AN131" s="21" t="s">
        <v>78</v>
      </c>
      <c r="AO131" s="21" t="s">
        <v>78</v>
      </c>
      <c r="AP131" s="21" t="s">
        <v>78</v>
      </c>
      <c r="AQ131" s="21" t="s">
        <v>78</v>
      </c>
      <c r="AR131" s="21" t="s">
        <v>78</v>
      </c>
      <c r="AS131" s="21" t="s">
        <v>78</v>
      </c>
      <c r="AT131" s="21" t="s">
        <v>78</v>
      </c>
      <c r="AU131" s="21" t="s">
        <v>78</v>
      </c>
      <c r="AV131" s="21" t="s">
        <v>78</v>
      </c>
      <c r="AW131" s="21" t="s">
        <v>78</v>
      </c>
      <c r="AX131" s="21" t="s">
        <v>78</v>
      </c>
      <c r="AY131" s="21" t="s">
        <v>78</v>
      </c>
      <c r="AZ131" s="21" t="s">
        <v>78</v>
      </c>
      <c r="BA131" s="21" t="s">
        <v>78</v>
      </c>
      <c r="BB131" s="21" t="s">
        <v>78</v>
      </c>
      <c r="BC131" s="21" t="s">
        <v>78</v>
      </c>
      <c r="BD131" s="21" t="s">
        <v>78</v>
      </c>
      <c r="BE131" s="21" t="s">
        <v>78</v>
      </c>
      <c r="BF131" s="21" t="s">
        <v>78</v>
      </c>
      <c r="BG131" s="21" t="s">
        <v>78</v>
      </c>
      <c r="BH131" s="21" t="s">
        <v>78</v>
      </c>
      <c r="BI131" t="s">
        <v>78</v>
      </c>
      <c r="BJ131" t="s">
        <v>78</v>
      </c>
      <c r="BK131" t="s">
        <v>78</v>
      </c>
    </row>
    <row r="132" spans="1:63" x14ac:dyDescent="0.3">
      <c r="A132" t="s">
        <v>522</v>
      </c>
      <c r="B132" s="21" t="s">
        <v>78</v>
      </c>
      <c r="C132" s="21" t="s">
        <v>78</v>
      </c>
      <c r="D132" s="21" t="s">
        <v>78</v>
      </c>
      <c r="E132" s="21" t="s">
        <v>78</v>
      </c>
      <c r="F132" t="s">
        <v>78</v>
      </c>
      <c r="G132" t="s">
        <v>78</v>
      </c>
      <c r="J132" t="s">
        <v>77</v>
      </c>
      <c r="K132" t="s">
        <v>78</v>
      </c>
      <c r="L132" t="s">
        <v>101</v>
      </c>
      <c r="M132" t="s">
        <v>77</v>
      </c>
      <c r="N132" t="s">
        <v>110</v>
      </c>
      <c r="O132" t="s">
        <v>110</v>
      </c>
      <c r="P132" s="21" t="s">
        <v>77</v>
      </c>
      <c r="Q132" s="21" t="s">
        <v>77</v>
      </c>
      <c r="R132" t="s">
        <v>78</v>
      </c>
      <c r="S132" t="s">
        <v>78</v>
      </c>
      <c r="T132" t="s">
        <v>78</v>
      </c>
      <c r="U132" t="s">
        <v>78</v>
      </c>
      <c r="V132" t="s">
        <v>78</v>
      </c>
      <c r="W132" t="s">
        <v>78</v>
      </c>
      <c r="X132" t="s">
        <v>78</v>
      </c>
      <c r="Y132" t="s">
        <v>78</v>
      </c>
      <c r="Z132" t="s">
        <v>78</v>
      </c>
      <c r="AA132" t="s">
        <v>78</v>
      </c>
      <c r="AB132" t="s">
        <v>78</v>
      </c>
      <c r="AC132" s="21" t="s">
        <v>78</v>
      </c>
      <c r="AD132" s="21" t="s">
        <v>78</v>
      </c>
      <c r="AE132" s="21" t="s">
        <v>78</v>
      </c>
      <c r="AF132" s="21" t="s">
        <v>78</v>
      </c>
      <c r="AG132" s="21" t="s">
        <v>78</v>
      </c>
      <c r="AH132" s="21" t="s">
        <v>78</v>
      </c>
      <c r="AI132" s="21" t="s">
        <v>78</v>
      </c>
      <c r="AJ132" s="21" t="s">
        <v>78</v>
      </c>
      <c r="AK132" s="21" t="s">
        <v>78</v>
      </c>
      <c r="AL132" s="21" t="s">
        <v>78</v>
      </c>
      <c r="AM132" s="21" t="s">
        <v>78</v>
      </c>
      <c r="AN132" s="21" t="s">
        <v>78</v>
      </c>
      <c r="AO132" s="21" t="s">
        <v>78</v>
      </c>
      <c r="AP132" s="21" t="s">
        <v>78</v>
      </c>
      <c r="AQ132" s="21" t="s">
        <v>78</v>
      </c>
      <c r="AR132" s="21" t="s">
        <v>78</v>
      </c>
      <c r="AS132" s="21" t="s">
        <v>78</v>
      </c>
      <c r="AT132" s="21" t="s">
        <v>78</v>
      </c>
      <c r="AU132" s="21" t="s">
        <v>78</v>
      </c>
      <c r="AV132" s="21" t="s">
        <v>78</v>
      </c>
      <c r="AW132" s="21" t="s">
        <v>78</v>
      </c>
      <c r="AX132" s="21" t="s">
        <v>78</v>
      </c>
      <c r="AY132" s="21" t="s">
        <v>78</v>
      </c>
      <c r="AZ132" s="21" t="s">
        <v>78</v>
      </c>
      <c r="BA132" s="21" t="s">
        <v>78</v>
      </c>
      <c r="BB132" s="21" t="s">
        <v>78</v>
      </c>
      <c r="BC132" s="21" t="s">
        <v>78</v>
      </c>
      <c r="BD132" s="21" t="s">
        <v>78</v>
      </c>
      <c r="BE132" s="21" t="s">
        <v>78</v>
      </c>
      <c r="BF132" s="21" t="s">
        <v>78</v>
      </c>
      <c r="BG132" s="21" t="s">
        <v>78</v>
      </c>
      <c r="BH132" s="21" t="s">
        <v>78</v>
      </c>
      <c r="BI132" t="s">
        <v>78</v>
      </c>
      <c r="BJ132" t="s">
        <v>78</v>
      </c>
      <c r="BK132" t="s">
        <v>78</v>
      </c>
    </row>
    <row r="133" spans="1:63" x14ac:dyDescent="0.3">
      <c r="A133" t="s">
        <v>523</v>
      </c>
      <c r="B133" s="21" t="s">
        <v>78</v>
      </c>
      <c r="C133" s="21" t="s">
        <v>78</v>
      </c>
      <c r="D133" s="21" t="s">
        <v>78</v>
      </c>
      <c r="E133" s="21" t="s">
        <v>78</v>
      </c>
      <c r="F133" t="s">
        <v>78</v>
      </c>
      <c r="G133" t="s">
        <v>78</v>
      </c>
      <c r="J133" t="s">
        <v>77</v>
      </c>
      <c r="K133" t="s">
        <v>78</v>
      </c>
      <c r="L133" t="s">
        <v>101</v>
      </c>
      <c r="M133" t="s">
        <v>77</v>
      </c>
      <c r="N133" t="s">
        <v>110</v>
      </c>
      <c r="O133" t="s">
        <v>110</v>
      </c>
      <c r="P133" s="21" t="s">
        <v>77</v>
      </c>
      <c r="Q133" s="21" t="s">
        <v>77</v>
      </c>
      <c r="R133" t="s">
        <v>78</v>
      </c>
      <c r="S133" t="s">
        <v>78</v>
      </c>
      <c r="T133" t="s">
        <v>78</v>
      </c>
      <c r="U133" t="s">
        <v>78</v>
      </c>
      <c r="V133" t="s">
        <v>78</v>
      </c>
      <c r="W133" t="s">
        <v>78</v>
      </c>
      <c r="X133" t="s">
        <v>78</v>
      </c>
      <c r="Y133" t="s">
        <v>78</v>
      </c>
      <c r="Z133" t="s">
        <v>78</v>
      </c>
      <c r="AA133" t="s">
        <v>78</v>
      </c>
      <c r="AB133" t="s">
        <v>78</v>
      </c>
      <c r="AC133" s="21" t="s">
        <v>78</v>
      </c>
      <c r="AD133" s="21" t="s">
        <v>78</v>
      </c>
      <c r="AE133" s="21" t="s">
        <v>78</v>
      </c>
      <c r="AF133" s="21" t="s">
        <v>78</v>
      </c>
      <c r="AG133" s="21" t="s">
        <v>78</v>
      </c>
      <c r="AH133" s="21" t="s">
        <v>78</v>
      </c>
      <c r="AI133" s="21" t="s">
        <v>78</v>
      </c>
      <c r="AJ133" s="21" t="s">
        <v>78</v>
      </c>
      <c r="AK133" s="21" t="s">
        <v>78</v>
      </c>
      <c r="AL133" s="21" t="s">
        <v>78</v>
      </c>
      <c r="AM133" s="21" t="s">
        <v>78</v>
      </c>
      <c r="AN133" s="21" t="s">
        <v>78</v>
      </c>
      <c r="AO133" s="21" t="s">
        <v>78</v>
      </c>
      <c r="AP133" s="21" t="s">
        <v>78</v>
      </c>
      <c r="AQ133" s="21" t="s">
        <v>78</v>
      </c>
      <c r="AR133" s="21" t="s">
        <v>78</v>
      </c>
      <c r="AS133" s="21" t="s">
        <v>78</v>
      </c>
      <c r="AT133" s="21" t="s">
        <v>78</v>
      </c>
      <c r="AU133" s="21" t="s">
        <v>78</v>
      </c>
      <c r="AV133" s="21" t="s">
        <v>78</v>
      </c>
      <c r="AW133" s="21" t="s">
        <v>78</v>
      </c>
      <c r="AX133" s="21" t="s">
        <v>78</v>
      </c>
      <c r="AY133" s="21" t="s">
        <v>78</v>
      </c>
      <c r="AZ133" s="21" t="s">
        <v>78</v>
      </c>
      <c r="BA133" s="21" t="s">
        <v>78</v>
      </c>
      <c r="BB133" s="21" t="s">
        <v>78</v>
      </c>
      <c r="BC133" s="21" t="s">
        <v>78</v>
      </c>
      <c r="BD133" s="21" t="s">
        <v>78</v>
      </c>
      <c r="BE133" s="21" t="s">
        <v>78</v>
      </c>
      <c r="BF133" s="21" t="s">
        <v>78</v>
      </c>
      <c r="BG133" s="21" t="s">
        <v>78</v>
      </c>
      <c r="BH133" s="21" t="s">
        <v>78</v>
      </c>
      <c r="BI133" t="s">
        <v>78</v>
      </c>
      <c r="BJ133" t="s">
        <v>78</v>
      </c>
      <c r="BK133" t="s">
        <v>78</v>
      </c>
    </row>
    <row r="135" spans="1:63" x14ac:dyDescent="0.3">
      <c r="A135" t="s">
        <v>96</v>
      </c>
      <c r="B135" t="s">
        <v>87</v>
      </c>
      <c r="C135" s="21" t="s">
        <v>87</v>
      </c>
      <c r="D135" t="s">
        <v>87</v>
      </c>
      <c r="E135" t="s">
        <v>87</v>
      </c>
      <c r="F135" t="s">
        <v>87</v>
      </c>
      <c r="G135" t="s">
        <v>87</v>
      </c>
      <c r="H135" t="s">
        <v>87</v>
      </c>
      <c r="I135" t="s">
        <v>87</v>
      </c>
      <c r="J135" t="s">
        <v>87</v>
      </c>
      <c r="K135" t="s">
        <v>180</v>
      </c>
      <c r="L135" t="s">
        <v>180</v>
      </c>
      <c r="M135" t="s">
        <v>180</v>
      </c>
      <c r="N135" t="s">
        <v>87</v>
      </c>
      <c r="O135" t="s">
        <v>180</v>
      </c>
      <c r="P135" t="s">
        <v>87</v>
      </c>
      <c r="Q135" t="s">
        <v>87</v>
      </c>
      <c r="R135" t="s">
        <v>87</v>
      </c>
      <c r="S135" t="s">
        <v>180</v>
      </c>
      <c r="T135" t="s">
        <v>180</v>
      </c>
      <c r="U135" t="s">
        <v>180</v>
      </c>
      <c r="V135" t="s">
        <v>180</v>
      </c>
      <c r="W135" t="s">
        <v>180</v>
      </c>
      <c r="X135" t="s">
        <v>180</v>
      </c>
      <c r="Y135" t="s">
        <v>180</v>
      </c>
      <c r="Z135" t="s">
        <v>180</v>
      </c>
      <c r="AA135" t="s">
        <v>180</v>
      </c>
      <c r="AB135" t="s">
        <v>180</v>
      </c>
      <c r="BI135" t="s">
        <v>180</v>
      </c>
      <c r="BJ135" t="s">
        <v>180</v>
      </c>
      <c r="BK135" t="s">
        <v>180</v>
      </c>
    </row>
    <row r="136" spans="1:63" x14ac:dyDescent="0.3">
      <c r="B136" s="21" t="s">
        <v>15</v>
      </c>
      <c r="C136" s="21" t="s">
        <v>14</v>
      </c>
      <c r="D136" t="s">
        <v>16</v>
      </c>
      <c r="E136" t="s">
        <v>557</v>
      </c>
      <c r="F136" t="s">
        <v>19</v>
      </c>
      <c r="G136" t="s">
        <v>20</v>
      </c>
      <c r="H136" t="s">
        <v>22</v>
      </c>
      <c r="I136" t="s">
        <v>24</v>
      </c>
      <c r="J136" t="s">
        <v>53</v>
      </c>
      <c r="K136" t="s">
        <v>27</v>
      </c>
      <c r="L136" t="s">
        <v>28</v>
      </c>
      <c r="M136" s="12" t="s">
        <v>123</v>
      </c>
      <c r="N136" t="s">
        <v>108</v>
      </c>
      <c r="O136" t="s">
        <v>117</v>
      </c>
      <c r="P136" t="s">
        <v>150</v>
      </c>
      <c r="Q136" t="s">
        <v>151</v>
      </c>
      <c r="R136" t="s">
        <v>152</v>
      </c>
      <c r="S136" t="s">
        <v>67</v>
      </c>
      <c r="T136" t="s">
        <v>68</v>
      </c>
      <c r="U136" t="s">
        <v>56</v>
      </c>
      <c r="V136" t="s">
        <v>57</v>
      </c>
      <c r="W136" t="s">
        <v>58</v>
      </c>
      <c r="X136" t="s">
        <v>59</v>
      </c>
      <c r="Y136" t="s">
        <v>60</v>
      </c>
      <c r="Z136" t="s">
        <v>62</v>
      </c>
      <c r="AA136" t="s">
        <v>61</v>
      </c>
      <c r="AB136" t="s">
        <v>63</v>
      </c>
      <c r="AC136" s="21" t="s">
        <v>659</v>
      </c>
      <c r="AD136" s="21" t="s">
        <v>603</v>
      </c>
      <c r="AE136" s="21" t="s">
        <v>604</v>
      </c>
      <c r="AF136" s="21" t="s">
        <v>605</v>
      </c>
      <c r="AG136" s="21" t="s">
        <v>606</v>
      </c>
      <c r="AH136" s="21" t="s">
        <v>607</v>
      </c>
      <c r="AI136" s="21" t="s">
        <v>608</v>
      </c>
      <c r="AJ136" s="21" t="s">
        <v>609</v>
      </c>
      <c r="AK136" s="21" t="s">
        <v>610</v>
      </c>
      <c r="AL136" s="21" t="s">
        <v>611</v>
      </c>
      <c r="AM136" s="21" t="s">
        <v>612</v>
      </c>
      <c r="AN136" s="21" t="s">
        <v>56</v>
      </c>
      <c r="AO136" s="21" t="s">
        <v>613</v>
      </c>
      <c r="AP136" s="21" t="s">
        <v>614</v>
      </c>
      <c r="AQ136" s="21" t="s">
        <v>615</v>
      </c>
      <c r="AR136" s="21" t="s">
        <v>616</v>
      </c>
      <c r="AS136" s="21" t="s">
        <v>617</v>
      </c>
      <c r="AT136" s="21" t="s">
        <v>618</v>
      </c>
      <c r="AU136" s="21" t="s">
        <v>619</v>
      </c>
      <c r="AV136" s="21" t="s">
        <v>622</v>
      </c>
      <c r="AW136" s="21" t="s">
        <v>620</v>
      </c>
      <c r="AX136" s="21" t="s">
        <v>621</v>
      </c>
      <c r="AY136" s="21" t="s">
        <v>623</v>
      </c>
      <c r="AZ136" s="21" t="s">
        <v>624</v>
      </c>
      <c r="BA136" s="21" t="s">
        <v>625</v>
      </c>
      <c r="BB136" s="21" t="s">
        <v>626</v>
      </c>
      <c r="BC136" s="21" t="s">
        <v>581</v>
      </c>
      <c r="BD136" s="21" t="s">
        <v>583</v>
      </c>
      <c r="BE136" s="21" t="s">
        <v>582</v>
      </c>
      <c r="BF136" s="21" t="s">
        <v>629</v>
      </c>
      <c r="BG136" s="21" t="s">
        <v>627</v>
      </c>
      <c r="BH136" s="21" t="s">
        <v>628</v>
      </c>
      <c r="BI136" t="s">
        <v>29</v>
      </c>
      <c r="BJ136" t="s">
        <v>30</v>
      </c>
      <c r="BK136" t="s">
        <v>31</v>
      </c>
    </row>
    <row r="137" spans="1:63" x14ac:dyDescent="0.3">
      <c r="A137" t="s">
        <v>689</v>
      </c>
      <c r="B137">
        <f t="shared" ref="B137:D156"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2.358490566037736E-2</v>
      </c>
      <c r="L137" s="21">
        <f>1/3.6*1.1</f>
        <v>0.30555555555555558</v>
      </c>
      <c r="M137">
        <f>1/'vehicles specifications'!J3</f>
        <v>5.602240896358543E-4</v>
      </c>
      <c r="N137">
        <v>1</v>
      </c>
      <c r="O137">
        <f>1</f>
        <v>1</v>
      </c>
      <c r="P137">
        <f>-1/17</f>
        <v>-5.8823529411764705E-2</v>
      </c>
      <c r="Q137">
        <f>-1/24</f>
        <v>-4.1666666666666664E-2</v>
      </c>
      <c r="R137">
        <f>-1-'vehicles specifications'!AD3</f>
        <v>-1</v>
      </c>
      <c r="S137">
        <v>1</v>
      </c>
      <c r="T137">
        <v>1</v>
      </c>
      <c r="U137">
        <v>1</v>
      </c>
      <c r="V137">
        <v>1</v>
      </c>
      <c r="W137">
        <v>1</v>
      </c>
      <c r="X137">
        <v>1</v>
      </c>
      <c r="Y137">
        <v>1</v>
      </c>
      <c r="Z137">
        <v>1</v>
      </c>
      <c r="AA137">
        <v>1</v>
      </c>
      <c r="AB137">
        <v>1</v>
      </c>
      <c r="AC137" s="21">
        <v>1</v>
      </c>
      <c r="AD137" s="21">
        <v>1</v>
      </c>
      <c r="AE137" s="21">
        <v>1</v>
      </c>
      <c r="AF137" s="21">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21">
        <v>1</v>
      </c>
      <c r="AW137" s="21">
        <v>1</v>
      </c>
      <c r="AX137" s="21">
        <v>1</v>
      </c>
      <c r="AY137" s="21">
        <v>1</v>
      </c>
      <c r="AZ137" s="21">
        <v>1</v>
      </c>
      <c r="BA137" s="21">
        <v>1</v>
      </c>
      <c r="BB137" s="21">
        <v>1</v>
      </c>
      <c r="BC137" s="21">
        <v>1</v>
      </c>
      <c r="BD137" s="21">
        <v>1</v>
      </c>
      <c r="BE137" s="21">
        <v>1</v>
      </c>
      <c r="BF137" s="21">
        <v>1</v>
      </c>
      <c r="BG137" s="21">
        <v>1</v>
      </c>
      <c r="BH137" s="21">
        <v>1</v>
      </c>
      <c r="BI137">
        <f>-1/'vehicles specifications'!$M3</f>
        <v>-1</v>
      </c>
      <c r="BJ137">
        <f>-1/'vehicles specifications'!$M3</f>
        <v>-1</v>
      </c>
      <c r="BK137">
        <f>-1/'vehicles specifications'!$M3</f>
        <v>-1</v>
      </c>
    </row>
    <row r="138" spans="1:63" x14ac:dyDescent="0.3">
      <c r="A138" t="s">
        <v>690</v>
      </c>
      <c r="B138">
        <f t="shared" si="0"/>
        <v>5.8823529411764705E-2</v>
      </c>
      <c r="C138" s="2">
        <f>'vehicles specifications'!S4</f>
        <v>7</v>
      </c>
      <c r="D138">
        <f t="shared" si="0"/>
        <v>5.8823529411764705E-2</v>
      </c>
      <c r="E138" s="21">
        <v>1</v>
      </c>
      <c r="F138">
        <f>1+'vehicles specifications'!AD4</f>
        <v>1</v>
      </c>
      <c r="G138">
        <f>1+'vehicles specifications'!AD4</f>
        <v>1</v>
      </c>
      <c r="J138">
        <v>1</v>
      </c>
      <c r="K138">
        <f>1/('fuels and tailpipe emissions'!$C$3*3.6)</f>
        <v>2.358490566037736E-2</v>
      </c>
      <c r="L138" s="21">
        <f t="shared" ref="L138:L156" si="1">1/3.6*1.1</f>
        <v>0.30555555555555558</v>
      </c>
      <c r="M138">
        <f>1/'vehicles specifications'!J4</f>
        <v>5.602240896358543E-4</v>
      </c>
      <c r="N138" s="21">
        <v>1</v>
      </c>
      <c r="O138">
        <f>1</f>
        <v>1</v>
      </c>
      <c r="P138" s="21">
        <f>-1/17</f>
        <v>-5.8823529411764705E-2</v>
      </c>
      <c r="Q138" s="21">
        <f>-1/24</f>
        <v>-4.1666666666666664E-2</v>
      </c>
      <c r="R138">
        <f>-1-'vehicles specifications'!AD4</f>
        <v>-1</v>
      </c>
      <c r="S138">
        <v>1</v>
      </c>
      <c r="T138">
        <v>1</v>
      </c>
      <c r="U138">
        <v>1</v>
      </c>
      <c r="V138">
        <v>1</v>
      </c>
      <c r="W138">
        <v>1</v>
      </c>
      <c r="X138">
        <v>1</v>
      </c>
      <c r="Y138">
        <v>1</v>
      </c>
      <c r="Z138">
        <v>1</v>
      </c>
      <c r="AA138">
        <v>1</v>
      </c>
      <c r="AB138">
        <v>1</v>
      </c>
      <c r="AC138" s="21">
        <v>1</v>
      </c>
      <c r="AD138" s="21">
        <v>1</v>
      </c>
      <c r="AE138" s="21">
        <v>1</v>
      </c>
      <c r="AF138" s="21">
        <v>1</v>
      </c>
      <c r="AG138" s="21">
        <v>1</v>
      </c>
      <c r="AH138" s="21">
        <v>1</v>
      </c>
      <c r="AI138" s="21">
        <v>1</v>
      </c>
      <c r="AJ138" s="21">
        <v>1</v>
      </c>
      <c r="AK138" s="21">
        <v>1</v>
      </c>
      <c r="AL138" s="21">
        <v>1</v>
      </c>
      <c r="AM138" s="21">
        <v>1</v>
      </c>
      <c r="AN138" s="21">
        <v>1</v>
      </c>
      <c r="AO138" s="21">
        <v>1</v>
      </c>
      <c r="AP138" s="21">
        <v>1</v>
      </c>
      <c r="AQ138" s="21">
        <v>1</v>
      </c>
      <c r="AR138" s="21">
        <v>1</v>
      </c>
      <c r="AS138" s="21">
        <v>1</v>
      </c>
      <c r="AT138" s="21">
        <v>1</v>
      </c>
      <c r="AU138" s="21">
        <v>1</v>
      </c>
      <c r="AV138" s="21">
        <v>1</v>
      </c>
      <c r="AW138" s="21">
        <v>1</v>
      </c>
      <c r="AX138" s="21">
        <v>1</v>
      </c>
      <c r="AY138" s="21">
        <v>1</v>
      </c>
      <c r="AZ138" s="21">
        <v>1</v>
      </c>
      <c r="BA138" s="21">
        <v>1</v>
      </c>
      <c r="BB138" s="21">
        <v>1</v>
      </c>
      <c r="BC138" s="21">
        <v>1</v>
      </c>
      <c r="BD138" s="21">
        <v>1</v>
      </c>
      <c r="BE138" s="21">
        <v>1</v>
      </c>
      <c r="BF138" s="21">
        <v>1</v>
      </c>
      <c r="BG138" s="21">
        <v>1</v>
      </c>
      <c r="BH138" s="21">
        <v>1</v>
      </c>
      <c r="BI138">
        <f>-1/'vehicles specifications'!$M4</f>
        <v>-1</v>
      </c>
      <c r="BJ138">
        <f>-1/'vehicles specifications'!$M4</f>
        <v>-1</v>
      </c>
      <c r="BK138">
        <f>-1/'vehicles specifications'!$M4</f>
        <v>-1</v>
      </c>
    </row>
    <row r="139" spans="1:63" x14ac:dyDescent="0.3">
      <c r="A139" t="s">
        <v>691</v>
      </c>
      <c r="B139">
        <f t="shared" si="0"/>
        <v>5.8823529411764705E-2</v>
      </c>
      <c r="C139" s="2">
        <f>'vehicles specifications'!S5</f>
        <v>7</v>
      </c>
      <c r="D139">
        <f t="shared" si="0"/>
        <v>5.8823529411764705E-2</v>
      </c>
      <c r="E139" s="21">
        <v>1</v>
      </c>
      <c r="F139">
        <f>1+'vehicles specifications'!AD5</f>
        <v>1</v>
      </c>
      <c r="G139">
        <f>1+'vehicles specifications'!AD5</f>
        <v>1</v>
      </c>
      <c r="J139">
        <v>1</v>
      </c>
      <c r="K139">
        <f>1/('fuels and tailpipe emissions'!$C$3*3.6)</f>
        <v>2.358490566037736E-2</v>
      </c>
      <c r="L139" s="21">
        <f t="shared" si="1"/>
        <v>0.30555555555555558</v>
      </c>
      <c r="M139">
        <f>1/'vehicles specifications'!J5</f>
        <v>5.602240896358543E-4</v>
      </c>
      <c r="N139" s="21">
        <v>1</v>
      </c>
      <c r="O139">
        <f>1</f>
        <v>1</v>
      </c>
      <c r="P139" s="21">
        <f t="shared" ref="P139:P144" si="2">-1/17</f>
        <v>-5.8823529411764705E-2</v>
      </c>
      <c r="Q139" s="21">
        <f>-1/24</f>
        <v>-4.1666666666666664E-2</v>
      </c>
      <c r="R139">
        <f>-1-'vehicles specifications'!AD5</f>
        <v>-1</v>
      </c>
      <c r="S139">
        <v>1</v>
      </c>
      <c r="T139">
        <v>1</v>
      </c>
      <c r="U139">
        <v>1</v>
      </c>
      <c r="V139">
        <v>1</v>
      </c>
      <c r="W139">
        <v>1</v>
      </c>
      <c r="X139">
        <v>1</v>
      </c>
      <c r="Y139">
        <v>1</v>
      </c>
      <c r="Z139">
        <v>1</v>
      </c>
      <c r="AA139">
        <v>1</v>
      </c>
      <c r="AB139">
        <v>1</v>
      </c>
      <c r="AC139" s="21">
        <v>1</v>
      </c>
      <c r="AD139" s="21">
        <v>1</v>
      </c>
      <c r="AE139" s="21">
        <v>1</v>
      </c>
      <c r="AF139" s="21">
        <v>1</v>
      </c>
      <c r="AG139" s="21">
        <v>1</v>
      </c>
      <c r="AH139" s="21">
        <v>1</v>
      </c>
      <c r="AI139" s="21">
        <v>1</v>
      </c>
      <c r="AJ139" s="21">
        <v>1</v>
      </c>
      <c r="AK139" s="21">
        <v>1</v>
      </c>
      <c r="AL139" s="21">
        <v>1</v>
      </c>
      <c r="AM139" s="21">
        <v>1</v>
      </c>
      <c r="AN139" s="21">
        <v>1</v>
      </c>
      <c r="AO139" s="21">
        <v>1</v>
      </c>
      <c r="AP139" s="21">
        <v>1</v>
      </c>
      <c r="AQ139" s="21">
        <v>1</v>
      </c>
      <c r="AR139" s="21">
        <v>1</v>
      </c>
      <c r="AS139" s="21">
        <v>1</v>
      </c>
      <c r="AT139" s="21">
        <v>1</v>
      </c>
      <c r="AU139" s="21">
        <v>1</v>
      </c>
      <c r="AV139" s="21">
        <v>1</v>
      </c>
      <c r="AW139" s="21">
        <v>1</v>
      </c>
      <c r="AX139" s="21">
        <v>1</v>
      </c>
      <c r="AY139" s="21">
        <v>1</v>
      </c>
      <c r="AZ139" s="21">
        <v>1</v>
      </c>
      <c r="BA139" s="21">
        <v>1</v>
      </c>
      <c r="BB139" s="21">
        <v>1</v>
      </c>
      <c r="BC139" s="21">
        <v>1</v>
      </c>
      <c r="BD139" s="21">
        <v>1</v>
      </c>
      <c r="BE139" s="21">
        <v>1</v>
      </c>
      <c r="BF139" s="21">
        <v>1</v>
      </c>
      <c r="BG139" s="21">
        <v>1</v>
      </c>
      <c r="BH139" s="21">
        <v>1</v>
      </c>
      <c r="BI139">
        <f>-1/'vehicles specifications'!$M5</f>
        <v>-1</v>
      </c>
      <c r="BJ139">
        <f>-1/'vehicles specifications'!$M5</f>
        <v>-1</v>
      </c>
      <c r="BK139">
        <f>-1/'vehicles specifications'!$M5</f>
        <v>-1</v>
      </c>
    </row>
    <row r="140" spans="1:63" x14ac:dyDescent="0.3">
      <c r="A140" t="s">
        <v>692</v>
      </c>
      <c r="B140">
        <f t="shared" si="0"/>
        <v>5.8823529411764705E-2</v>
      </c>
      <c r="C140" s="2">
        <f>'vehicles specifications'!S6</f>
        <v>7</v>
      </c>
      <c r="D140">
        <f t="shared" si="0"/>
        <v>5.8823529411764705E-2</v>
      </c>
      <c r="E140" s="21">
        <v>1</v>
      </c>
      <c r="F140">
        <f>1+'vehicles specifications'!AD6</f>
        <v>1</v>
      </c>
      <c r="G140">
        <f>1+'vehicles specifications'!AD6</f>
        <v>1</v>
      </c>
      <c r="J140">
        <v>1</v>
      </c>
      <c r="K140">
        <f>1/('fuels and tailpipe emissions'!$C$3*3.6)</f>
        <v>2.358490566037736E-2</v>
      </c>
      <c r="L140" s="21">
        <f t="shared" si="1"/>
        <v>0.30555555555555558</v>
      </c>
      <c r="M140">
        <f>1/'vehicles specifications'!J6</f>
        <v>5.602240896358543E-4</v>
      </c>
      <c r="N140" s="21">
        <v>1</v>
      </c>
      <c r="O140">
        <f>1</f>
        <v>1</v>
      </c>
      <c r="P140" s="21">
        <f t="shared" si="2"/>
        <v>-5.8823529411764705E-2</v>
      </c>
      <c r="Q140" s="21">
        <f>-1/24</f>
        <v>-4.1666666666666664E-2</v>
      </c>
      <c r="R140">
        <f>-1-'vehicles specifications'!AD6</f>
        <v>-1</v>
      </c>
      <c r="S140">
        <v>1</v>
      </c>
      <c r="T140">
        <v>1</v>
      </c>
      <c r="U140">
        <v>1</v>
      </c>
      <c r="V140">
        <v>1</v>
      </c>
      <c r="W140">
        <v>1</v>
      </c>
      <c r="X140">
        <v>1</v>
      </c>
      <c r="Y140">
        <v>1</v>
      </c>
      <c r="Z140">
        <v>1</v>
      </c>
      <c r="AA140">
        <v>1</v>
      </c>
      <c r="AB140">
        <v>1</v>
      </c>
      <c r="AC140" s="21">
        <v>1</v>
      </c>
      <c r="AD140" s="21">
        <v>1</v>
      </c>
      <c r="AE140" s="21">
        <v>1</v>
      </c>
      <c r="AF140" s="21">
        <v>1</v>
      </c>
      <c r="AG140" s="21">
        <v>1</v>
      </c>
      <c r="AH140" s="21">
        <v>1</v>
      </c>
      <c r="AI140" s="21">
        <v>1</v>
      </c>
      <c r="AJ140" s="21">
        <v>1</v>
      </c>
      <c r="AK140" s="21">
        <v>1</v>
      </c>
      <c r="AL140" s="21">
        <v>1</v>
      </c>
      <c r="AM140" s="21">
        <v>1</v>
      </c>
      <c r="AN140" s="21">
        <v>1</v>
      </c>
      <c r="AO140" s="21">
        <v>1</v>
      </c>
      <c r="AP140" s="21">
        <v>1</v>
      </c>
      <c r="AQ140" s="21">
        <v>1</v>
      </c>
      <c r="AR140" s="21">
        <v>1</v>
      </c>
      <c r="AS140" s="21">
        <v>1</v>
      </c>
      <c r="AT140" s="21">
        <v>1</v>
      </c>
      <c r="AU140" s="21">
        <v>1</v>
      </c>
      <c r="AV140" s="21">
        <v>1</v>
      </c>
      <c r="AW140" s="21">
        <v>1</v>
      </c>
      <c r="AX140" s="21">
        <v>1</v>
      </c>
      <c r="AY140" s="21">
        <v>1</v>
      </c>
      <c r="AZ140" s="21">
        <v>1</v>
      </c>
      <c r="BA140" s="21">
        <v>1</v>
      </c>
      <c r="BB140" s="21">
        <v>1</v>
      </c>
      <c r="BC140" s="21">
        <v>1</v>
      </c>
      <c r="BD140" s="21">
        <v>1</v>
      </c>
      <c r="BE140" s="21">
        <v>1</v>
      </c>
      <c r="BF140" s="21">
        <v>1</v>
      </c>
      <c r="BG140" s="21">
        <v>1</v>
      </c>
      <c r="BH140" s="21">
        <v>1</v>
      </c>
      <c r="BI140">
        <f>-1/'vehicles specifications'!$M6</f>
        <v>-1</v>
      </c>
      <c r="BJ140">
        <f>-1/'vehicles specifications'!$M6</f>
        <v>-1</v>
      </c>
      <c r="BK140">
        <f>-1/'vehicles specifications'!$M6</f>
        <v>-1</v>
      </c>
    </row>
    <row r="141" spans="1:63" x14ac:dyDescent="0.3">
      <c r="A141" t="s">
        <v>176</v>
      </c>
      <c r="B141">
        <f t="shared" si="0"/>
        <v>5.8823529411764705E-2</v>
      </c>
      <c r="C141" s="2">
        <f>'vehicles specifications'!S7</f>
        <v>12</v>
      </c>
      <c r="D141">
        <f t="shared" si="0"/>
        <v>5.8823529411764705E-2</v>
      </c>
      <c r="F141">
        <f>1+'vehicles specifications'!AD7</f>
        <v>1</v>
      </c>
      <c r="G141">
        <f>1+'vehicles specifications'!AD7</f>
        <v>1</v>
      </c>
      <c r="K141">
        <f>1/('fuels and tailpipe emissions'!$C$3*3.6)</f>
        <v>2.358490566037736E-2</v>
      </c>
      <c r="L141" s="21">
        <f t="shared" si="1"/>
        <v>0.30555555555555558</v>
      </c>
      <c r="M141">
        <f>1/'vehicles specifications'!J7</f>
        <v>1E-4</v>
      </c>
      <c r="N141" s="21">
        <v>1</v>
      </c>
      <c r="O141">
        <f>1</f>
        <v>1</v>
      </c>
      <c r="P141" s="21">
        <f t="shared" si="2"/>
        <v>-5.8823529411764705E-2</v>
      </c>
      <c r="Q141">
        <v>-1</v>
      </c>
      <c r="R141">
        <f>-1-'vehicles specifications'!AD7</f>
        <v>-1</v>
      </c>
      <c r="S141">
        <v>1</v>
      </c>
      <c r="T141">
        <v>1</v>
      </c>
      <c r="U141">
        <v>1</v>
      </c>
      <c r="V141">
        <v>1</v>
      </c>
      <c r="W141">
        <v>1</v>
      </c>
      <c r="X141">
        <v>1</v>
      </c>
      <c r="Y141">
        <v>1</v>
      </c>
      <c r="Z141">
        <v>1</v>
      </c>
      <c r="AA141">
        <v>1</v>
      </c>
      <c r="AB141">
        <v>1</v>
      </c>
      <c r="AC141" s="21">
        <v>1</v>
      </c>
      <c r="AD141" s="21">
        <v>1</v>
      </c>
      <c r="AE141" s="21">
        <v>1</v>
      </c>
      <c r="AF141" s="21">
        <v>1</v>
      </c>
      <c r="AG141" s="21">
        <v>1</v>
      </c>
      <c r="AH141" s="21">
        <v>1</v>
      </c>
      <c r="AI141" s="21">
        <v>1</v>
      </c>
      <c r="AJ141" s="21">
        <v>1</v>
      </c>
      <c r="AK141" s="21">
        <v>1</v>
      </c>
      <c r="AL141" s="21">
        <v>1</v>
      </c>
      <c r="AM141" s="21">
        <v>1</v>
      </c>
      <c r="AN141" s="21">
        <v>1</v>
      </c>
      <c r="AO141" s="21">
        <v>1</v>
      </c>
      <c r="AP141" s="21">
        <v>1</v>
      </c>
      <c r="AQ141" s="21">
        <v>1</v>
      </c>
      <c r="AR141" s="21">
        <v>1</v>
      </c>
      <c r="AS141" s="21">
        <v>1</v>
      </c>
      <c r="AT141" s="21">
        <v>1</v>
      </c>
      <c r="AU141" s="21">
        <v>1</v>
      </c>
      <c r="AV141" s="21">
        <v>1</v>
      </c>
      <c r="AW141" s="21">
        <v>1</v>
      </c>
      <c r="AX141" s="21">
        <v>1</v>
      </c>
      <c r="AY141" s="21">
        <v>1</v>
      </c>
      <c r="AZ141" s="21">
        <v>1</v>
      </c>
      <c r="BA141" s="21">
        <v>1</v>
      </c>
      <c r="BB141" s="21">
        <v>1</v>
      </c>
      <c r="BC141" s="21">
        <v>1</v>
      </c>
      <c r="BD141" s="21">
        <v>1</v>
      </c>
      <c r="BE141" s="21">
        <v>1</v>
      </c>
      <c r="BF141" s="21">
        <v>1</v>
      </c>
      <c r="BG141" s="21">
        <v>1</v>
      </c>
      <c r="BH141" s="21">
        <v>1</v>
      </c>
      <c r="BI141">
        <f>-1/'vehicles specifications'!$M7</f>
        <v>-1</v>
      </c>
      <c r="BJ141">
        <f>-1/'vehicles specifications'!$M7</f>
        <v>-1</v>
      </c>
      <c r="BK141">
        <f>-1/'vehicles specifications'!$M7</f>
        <v>-1</v>
      </c>
    </row>
    <row r="142" spans="1:63" x14ac:dyDescent="0.3">
      <c r="A142" t="s">
        <v>177</v>
      </c>
      <c r="B142">
        <f t="shared" si="0"/>
        <v>5.8823529411764705E-2</v>
      </c>
      <c r="C142" s="2">
        <f>'vehicles specifications'!S8</f>
        <v>12</v>
      </c>
      <c r="D142">
        <f t="shared" si="0"/>
        <v>5.8823529411764705E-2</v>
      </c>
      <c r="F142">
        <f>1+'vehicles specifications'!AD8</f>
        <v>1</v>
      </c>
      <c r="G142">
        <f>1+'vehicles specifications'!AD8</f>
        <v>1</v>
      </c>
      <c r="K142">
        <f>1/('fuels and tailpipe emissions'!$C$3*3.6)</f>
        <v>2.358490566037736E-2</v>
      </c>
      <c r="L142" s="21">
        <f t="shared" si="1"/>
        <v>0.30555555555555558</v>
      </c>
      <c r="M142">
        <f>1/'vehicles specifications'!J8</f>
        <v>1E-4</v>
      </c>
      <c r="N142" s="21">
        <v>1</v>
      </c>
      <c r="O142">
        <f>1</f>
        <v>1</v>
      </c>
      <c r="P142" s="21">
        <f t="shared" si="2"/>
        <v>-5.8823529411764705E-2</v>
      </c>
      <c r="Q142">
        <v>-1</v>
      </c>
      <c r="R142">
        <f>-1-'vehicles specifications'!AD8</f>
        <v>-1</v>
      </c>
      <c r="S142">
        <v>1</v>
      </c>
      <c r="T142">
        <v>1</v>
      </c>
      <c r="U142">
        <v>1</v>
      </c>
      <c r="V142">
        <v>1</v>
      </c>
      <c r="W142">
        <v>1</v>
      </c>
      <c r="X142">
        <v>1</v>
      </c>
      <c r="Y142">
        <v>1</v>
      </c>
      <c r="Z142">
        <v>1</v>
      </c>
      <c r="AA142">
        <v>1</v>
      </c>
      <c r="AB142">
        <v>1</v>
      </c>
      <c r="AC142" s="21">
        <v>1</v>
      </c>
      <c r="AD142" s="21">
        <v>1</v>
      </c>
      <c r="AE142" s="21">
        <v>1</v>
      </c>
      <c r="AF142" s="21">
        <v>1</v>
      </c>
      <c r="AG142" s="21">
        <v>1</v>
      </c>
      <c r="AH142" s="21">
        <v>1</v>
      </c>
      <c r="AI142" s="21">
        <v>1</v>
      </c>
      <c r="AJ142" s="21">
        <v>1</v>
      </c>
      <c r="AK142" s="21">
        <v>1</v>
      </c>
      <c r="AL142" s="21">
        <v>1</v>
      </c>
      <c r="AM142" s="21">
        <v>1</v>
      </c>
      <c r="AN142" s="21">
        <v>1</v>
      </c>
      <c r="AO142" s="21">
        <v>1</v>
      </c>
      <c r="AP142" s="21">
        <v>1</v>
      </c>
      <c r="AQ142" s="21">
        <v>1</v>
      </c>
      <c r="AR142" s="21">
        <v>1</v>
      </c>
      <c r="AS142" s="21">
        <v>1</v>
      </c>
      <c r="AT142" s="21">
        <v>1</v>
      </c>
      <c r="AU142" s="21">
        <v>1</v>
      </c>
      <c r="AV142" s="21">
        <v>1</v>
      </c>
      <c r="AW142" s="21">
        <v>1</v>
      </c>
      <c r="AX142" s="21">
        <v>1</v>
      </c>
      <c r="AY142" s="21">
        <v>1</v>
      </c>
      <c r="AZ142" s="21">
        <v>1</v>
      </c>
      <c r="BA142" s="21">
        <v>1</v>
      </c>
      <c r="BB142" s="21">
        <v>1</v>
      </c>
      <c r="BC142" s="21">
        <v>1</v>
      </c>
      <c r="BD142" s="21">
        <v>1</v>
      </c>
      <c r="BE142" s="21">
        <v>1</v>
      </c>
      <c r="BF142" s="21">
        <v>1</v>
      </c>
      <c r="BG142" s="21">
        <v>1</v>
      </c>
      <c r="BH142" s="21">
        <v>1</v>
      </c>
      <c r="BI142">
        <f>-1/'vehicles specifications'!$M8</f>
        <v>-1</v>
      </c>
      <c r="BJ142">
        <f>-1/'vehicles specifications'!$M8</f>
        <v>-1</v>
      </c>
      <c r="BK142">
        <f>-1/'vehicles specifications'!$M8</f>
        <v>-1</v>
      </c>
    </row>
    <row r="143" spans="1:63" x14ac:dyDescent="0.3">
      <c r="A143" t="s">
        <v>178</v>
      </c>
      <c r="B143">
        <f t="shared" si="0"/>
        <v>5.8823529411764705E-2</v>
      </c>
      <c r="C143" s="2">
        <f>'vehicles specifications'!S9</f>
        <v>12</v>
      </c>
      <c r="D143">
        <f t="shared" si="0"/>
        <v>5.8823529411764705E-2</v>
      </c>
      <c r="F143">
        <f>1+'vehicles specifications'!AD9</f>
        <v>1</v>
      </c>
      <c r="G143">
        <f>1+'vehicles specifications'!AD9</f>
        <v>1</v>
      </c>
      <c r="K143">
        <f>1/('fuels and tailpipe emissions'!$C$3*3.6)</f>
        <v>2.358490566037736E-2</v>
      </c>
      <c r="L143" s="21">
        <f t="shared" si="1"/>
        <v>0.30555555555555558</v>
      </c>
      <c r="M143">
        <f>1/'vehicles specifications'!J9</f>
        <v>1E-4</v>
      </c>
      <c r="N143" s="21">
        <v>1</v>
      </c>
      <c r="O143">
        <f>1</f>
        <v>1</v>
      </c>
      <c r="P143" s="21">
        <f t="shared" si="2"/>
        <v>-5.8823529411764705E-2</v>
      </c>
      <c r="Q143">
        <v>-1</v>
      </c>
      <c r="R143">
        <f>-1-'vehicles specifications'!AD9</f>
        <v>-1</v>
      </c>
      <c r="S143">
        <v>1</v>
      </c>
      <c r="T143">
        <v>1</v>
      </c>
      <c r="U143">
        <v>1</v>
      </c>
      <c r="V143">
        <v>1</v>
      </c>
      <c r="W143">
        <v>1</v>
      </c>
      <c r="X143">
        <v>1</v>
      </c>
      <c r="Y143">
        <v>1</v>
      </c>
      <c r="Z143">
        <v>1</v>
      </c>
      <c r="AA143">
        <v>1</v>
      </c>
      <c r="AB143">
        <v>1</v>
      </c>
      <c r="AC143" s="21">
        <v>1</v>
      </c>
      <c r="AD143" s="21">
        <v>1</v>
      </c>
      <c r="AE143" s="21">
        <v>1</v>
      </c>
      <c r="AF143" s="21">
        <v>1</v>
      </c>
      <c r="AG143" s="21">
        <v>1</v>
      </c>
      <c r="AH143" s="21">
        <v>1</v>
      </c>
      <c r="AI143" s="21">
        <v>1</v>
      </c>
      <c r="AJ143" s="21">
        <v>1</v>
      </c>
      <c r="AK143" s="21">
        <v>1</v>
      </c>
      <c r="AL143" s="21">
        <v>1</v>
      </c>
      <c r="AM143" s="21">
        <v>1</v>
      </c>
      <c r="AN143" s="21">
        <v>1</v>
      </c>
      <c r="AO143" s="21">
        <v>1</v>
      </c>
      <c r="AP143" s="21">
        <v>1</v>
      </c>
      <c r="AQ143" s="21">
        <v>1</v>
      </c>
      <c r="AR143" s="21">
        <v>1</v>
      </c>
      <c r="AS143" s="21">
        <v>1</v>
      </c>
      <c r="AT143" s="21">
        <v>1</v>
      </c>
      <c r="AU143" s="21">
        <v>1</v>
      </c>
      <c r="AV143" s="21">
        <v>1</v>
      </c>
      <c r="AW143" s="21">
        <v>1</v>
      </c>
      <c r="AX143" s="21">
        <v>1</v>
      </c>
      <c r="AY143" s="21">
        <v>1</v>
      </c>
      <c r="AZ143" s="21">
        <v>1</v>
      </c>
      <c r="BA143" s="21">
        <v>1</v>
      </c>
      <c r="BB143" s="21">
        <v>1</v>
      </c>
      <c r="BC143" s="21">
        <v>1</v>
      </c>
      <c r="BD143" s="21">
        <v>1</v>
      </c>
      <c r="BE143" s="21">
        <v>1</v>
      </c>
      <c r="BF143" s="21">
        <v>1</v>
      </c>
      <c r="BG143" s="21">
        <v>1</v>
      </c>
      <c r="BH143" s="21">
        <v>1</v>
      </c>
      <c r="BI143">
        <f>-1/'vehicles specifications'!$M9</f>
        <v>-1</v>
      </c>
      <c r="BJ143">
        <f>-1/'vehicles specifications'!$M9</f>
        <v>-1</v>
      </c>
      <c r="BK143">
        <f>-1/'vehicles specifications'!$M9</f>
        <v>-1</v>
      </c>
    </row>
    <row r="144" spans="1:63" x14ac:dyDescent="0.3">
      <c r="A144" t="s">
        <v>179</v>
      </c>
      <c r="B144">
        <f t="shared" si="0"/>
        <v>5.8823529411764705E-2</v>
      </c>
      <c r="C144" s="2">
        <f>'vehicles specifications'!S10</f>
        <v>12</v>
      </c>
      <c r="D144">
        <f t="shared" si="0"/>
        <v>5.8823529411764705E-2</v>
      </c>
      <c r="F144">
        <f>1+'vehicles specifications'!AD10</f>
        <v>1</v>
      </c>
      <c r="G144">
        <f>1+'vehicles specifications'!AD10</f>
        <v>1</v>
      </c>
      <c r="K144">
        <f>1/('fuels and tailpipe emissions'!$C$3*3.6)</f>
        <v>2.358490566037736E-2</v>
      </c>
      <c r="L144" s="21">
        <f t="shared" si="1"/>
        <v>0.30555555555555558</v>
      </c>
      <c r="M144">
        <f>1/'vehicles specifications'!J10</f>
        <v>1E-4</v>
      </c>
      <c r="N144" s="21">
        <v>1</v>
      </c>
      <c r="O144">
        <f>1</f>
        <v>1</v>
      </c>
      <c r="P144" s="21">
        <f t="shared" si="2"/>
        <v>-5.8823529411764705E-2</v>
      </c>
      <c r="Q144">
        <v>-1</v>
      </c>
      <c r="R144">
        <f>-1-'vehicles specifications'!AD10</f>
        <v>-1</v>
      </c>
      <c r="S144">
        <v>1</v>
      </c>
      <c r="T144">
        <v>1</v>
      </c>
      <c r="U144">
        <v>1</v>
      </c>
      <c r="V144">
        <v>1</v>
      </c>
      <c r="W144">
        <v>1</v>
      </c>
      <c r="X144">
        <v>1</v>
      </c>
      <c r="Y144">
        <v>1</v>
      </c>
      <c r="Z144">
        <v>1</v>
      </c>
      <c r="AA144">
        <v>1</v>
      </c>
      <c r="AB144">
        <v>1</v>
      </c>
      <c r="AC144" s="21">
        <v>1</v>
      </c>
      <c r="AD144" s="21">
        <v>1</v>
      </c>
      <c r="AE144" s="21">
        <v>1</v>
      </c>
      <c r="AF144" s="21">
        <v>1</v>
      </c>
      <c r="AG144" s="21">
        <v>1</v>
      </c>
      <c r="AH144" s="21">
        <v>1</v>
      </c>
      <c r="AI144" s="21">
        <v>1</v>
      </c>
      <c r="AJ144" s="21">
        <v>1</v>
      </c>
      <c r="AK144" s="21">
        <v>1</v>
      </c>
      <c r="AL144" s="21">
        <v>1</v>
      </c>
      <c r="AM144" s="21">
        <v>1</v>
      </c>
      <c r="AN144" s="21">
        <v>1</v>
      </c>
      <c r="AO144" s="21">
        <v>1</v>
      </c>
      <c r="AP144" s="21">
        <v>1</v>
      </c>
      <c r="AQ144" s="21">
        <v>1</v>
      </c>
      <c r="AR144" s="21">
        <v>1</v>
      </c>
      <c r="AS144" s="21">
        <v>1</v>
      </c>
      <c r="AT144" s="21">
        <v>1</v>
      </c>
      <c r="AU144" s="21">
        <v>1</v>
      </c>
      <c r="AV144" s="21">
        <v>1</v>
      </c>
      <c r="AW144" s="21">
        <v>1</v>
      </c>
      <c r="AX144" s="21">
        <v>1</v>
      </c>
      <c r="AY144" s="21">
        <v>1</v>
      </c>
      <c r="AZ144" s="21">
        <v>1</v>
      </c>
      <c r="BA144" s="21">
        <v>1</v>
      </c>
      <c r="BB144" s="21">
        <v>1</v>
      </c>
      <c r="BC144" s="21">
        <v>1</v>
      </c>
      <c r="BD144" s="21">
        <v>1</v>
      </c>
      <c r="BE144" s="21">
        <v>1</v>
      </c>
      <c r="BF144" s="21">
        <v>1</v>
      </c>
      <c r="BG144" s="21">
        <v>1</v>
      </c>
      <c r="BH144" s="21">
        <v>1</v>
      </c>
      <c r="BI144">
        <f>-1/'vehicles specifications'!$M10</f>
        <v>-1</v>
      </c>
      <c r="BJ144">
        <f>-1/'vehicles specifications'!$M10</f>
        <v>-1</v>
      </c>
      <c r="BK144">
        <f>-1/'vehicles specifications'!$M10</f>
        <v>-1</v>
      </c>
    </row>
    <row r="145" spans="1:63" x14ac:dyDescent="0.3">
      <c r="A145" t="s">
        <v>529</v>
      </c>
      <c r="B145">
        <f t="shared" si="0"/>
        <v>5.8823529411764705E-2</v>
      </c>
      <c r="C145" s="2">
        <f>'vehicles specifications'!S11</f>
        <v>16</v>
      </c>
      <c r="D145">
        <f t="shared" si="0"/>
        <v>5.8823529411764705E-2</v>
      </c>
      <c r="E145">
        <v>1</v>
      </c>
      <c r="F145">
        <f>1+'vehicles specifications'!AD11</f>
        <v>2</v>
      </c>
      <c r="G145">
        <f>1+'vehicles specifications'!AD11</f>
        <v>2</v>
      </c>
      <c r="J145">
        <v>1</v>
      </c>
      <c r="K145">
        <f>1/('fuels and tailpipe emissions'!$C$3*3.6)</f>
        <v>2.358490566037736E-2</v>
      </c>
      <c r="L145" s="21">
        <f t="shared" si="1"/>
        <v>0.30555555555555558</v>
      </c>
      <c r="M145">
        <f>1/'vehicles specifications'!J11</f>
        <v>5.0000000000000002E-5</v>
      </c>
      <c r="N145" s="21">
        <v>1</v>
      </c>
      <c r="O145">
        <f>1</f>
        <v>1</v>
      </c>
      <c r="P145">
        <f>-1/24</f>
        <v>-4.1666666666666664E-2</v>
      </c>
      <c r="Q145" s="21">
        <f>-1/24</f>
        <v>-4.1666666666666664E-2</v>
      </c>
      <c r="R145">
        <f>-1-'vehicles specifications'!AD11</f>
        <v>-2</v>
      </c>
      <c r="S145">
        <v>1</v>
      </c>
      <c r="T145">
        <v>1</v>
      </c>
      <c r="U145">
        <v>1</v>
      </c>
      <c r="V145">
        <v>1</v>
      </c>
      <c r="W145">
        <v>1</v>
      </c>
      <c r="X145">
        <v>1</v>
      </c>
      <c r="Y145">
        <v>1</v>
      </c>
      <c r="Z145">
        <v>1</v>
      </c>
      <c r="AA145">
        <v>1</v>
      </c>
      <c r="AB145">
        <v>1</v>
      </c>
      <c r="AC145" s="21">
        <v>1</v>
      </c>
      <c r="AD145" s="21">
        <v>1</v>
      </c>
      <c r="AE145" s="21">
        <v>1</v>
      </c>
      <c r="AF145" s="21">
        <v>1</v>
      </c>
      <c r="AG145" s="21">
        <v>1</v>
      </c>
      <c r="AH145" s="21">
        <v>1</v>
      </c>
      <c r="AI145" s="21">
        <v>1</v>
      </c>
      <c r="AJ145" s="21">
        <v>1</v>
      </c>
      <c r="AK145" s="21">
        <v>1</v>
      </c>
      <c r="AL145" s="21">
        <v>1</v>
      </c>
      <c r="AM145" s="21">
        <v>1</v>
      </c>
      <c r="AN145" s="21">
        <v>1</v>
      </c>
      <c r="AO145" s="21">
        <v>1</v>
      </c>
      <c r="AP145" s="21">
        <v>1</v>
      </c>
      <c r="AQ145" s="21">
        <v>1</v>
      </c>
      <c r="AR145" s="21">
        <v>1</v>
      </c>
      <c r="AS145" s="21">
        <v>1</v>
      </c>
      <c r="AT145" s="21">
        <v>1</v>
      </c>
      <c r="AU145" s="21">
        <v>1</v>
      </c>
      <c r="AV145" s="21">
        <v>1</v>
      </c>
      <c r="AW145" s="21">
        <v>1</v>
      </c>
      <c r="AX145" s="21">
        <v>1</v>
      </c>
      <c r="AY145" s="21">
        <v>1</v>
      </c>
      <c r="AZ145" s="21">
        <v>1</v>
      </c>
      <c r="BA145" s="21">
        <v>1</v>
      </c>
      <c r="BB145" s="21">
        <v>1</v>
      </c>
      <c r="BC145" s="21">
        <v>1</v>
      </c>
      <c r="BD145" s="21">
        <v>1</v>
      </c>
      <c r="BE145" s="21">
        <v>1</v>
      </c>
      <c r="BF145" s="21">
        <v>1</v>
      </c>
      <c r="BG145" s="21">
        <v>1</v>
      </c>
      <c r="BH145" s="21">
        <v>1</v>
      </c>
      <c r="BI145">
        <f>-1/'vehicles specifications'!$M11</f>
        <v>-1</v>
      </c>
      <c r="BJ145">
        <f>-1/'vehicles specifications'!$M11</f>
        <v>-1</v>
      </c>
      <c r="BK145">
        <f>-1/'vehicles specifications'!$M11</f>
        <v>-1</v>
      </c>
    </row>
    <row r="146" spans="1:63" x14ac:dyDescent="0.3">
      <c r="A146" t="s">
        <v>530</v>
      </c>
      <c r="B146">
        <f t="shared" si="0"/>
        <v>5.8823529411764705E-2</v>
      </c>
      <c r="C146" s="2">
        <f>'vehicles specifications'!S12</f>
        <v>16</v>
      </c>
      <c r="D146">
        <f t="shared" si="0"/>
        <v>5.8823529411764705E-2</v>
      </c>
      <c r="E146" s="21">
        <v>1</v>
      </c>
      <c r="F146">
        <f>1+'vehicles specifications'!AD12</f>
        <v>1.5</v>
      </c>
      <c r="G146">
        <f>1+'vehicles specifications'!AD12</f>
        <v>1.5</v>
      </c>
      <c r="J146">
        <v>1</v>
      </c>
      <c r="K146">
        <f>1/('fuels and tailpipe emissions'!$C$3*3.6)</f>
        <v>2.358490566037736E-2</v>
      </c>
      <c r="L146" s="21">
        <f t="shared" si="1"/>
        <v>0.30555555555555558</v>
      </c>
      <c r="M146">
        <f>1/'vehicles specifications'!J12</f>
        <v>5.0000000000000002E-5</v>
      </c>
      <c r="N146" s="21">
        <v>1</v>
      </c>
      <c r="O146">
        <f>1</f>
        <v>1</v>
      </c>
      <c r="P146" s="21">
        <f t="shared" ref="P146:Q156" si="3">-1/24</f>
        <v>-4.1666666666666664E-2</v>
      </c>
      <c r="Q146" s="21">
        <f t="shared" si="3"/>
        <v>-4.1666666666666664E-2</v>
      </c>
      <c r="R146">
        <f>-1-'vehicles specifications'!AD12</f>
        <v>-1.5</v>
      </c>
      <c r="S146">
        <v>1</v>
      </c>
      <c r="T146">
        <v>1</v>
      </c>
      <c r="U146">
        <v>1</v>
      </c>
      <c r="V146">
        <v>1</v>
      </c>
      <c r="W146">
        <v>1</v>
      </c>
      <c r="X146">
        <v>1</v>
      </c>
      <c r="Y146">
        <v>1</v>
      </c>
      <c r="Z146">
        <v>1</v>
      </c>
      <c r="AA146">
        <v>1</v>
      </c>
      <c r="AB146">
        <v>1</v>
      </c>
      <c r="AC146" s="21">
        <v>1</v>
      </c>
      <c r="AD146" s="21">
        <v>1</v>
      </c>
      <c r="AE146" s="21">
        <v>1</v>
      </c>
      <c r="AF146" s="21">
        <v>1</v>
      </c>
      <c r="AG146" s="21">
        <v>1</v>
      </c>
      <c r="AH146" s="21">
        <v>1</v>
      </c>
      <c r="AI146" s="21">
        <v>1</v>
      </c>
      <c r="AJ146" s="21">
        <v>1</v>
      </c>
      <c r="AK146" s="21">
        <v>1</v>
      </c>
      <c r="AL146" s="21">
        <v>1</v>
      </c>
      <c r="AM146" s="21">
        <v>1</v>
      </c>
      <c r="AN146" s="21">
        <v>1</v>
      </c>
      <c r="AO146" s="21">
        <v>1</v>
      </c>
      <c r="AP146" s="21">
        <v>1</v>
      </c>
      <c r="AQ146" s="21">
        <v>1</v>
      </c>
      <c r="AR146" s="21">
        <v>1</v>
      </c>
      <c r="AS146" s="21">
        <v>1</v>
      </c>
      <c r="AT146" s="21">
        <v>1</v>
      </c>
      <c r="AU146" s="21">
        <v>1</v>
      </c>
      <c r="AV146" s="21">
        <v>1</v>
      </c>
      <c r="AW146" s="21">
        <v>1</v>
      </c>
      <c r="AX146" s="21">
        <v>1</v>
      </c>
      <c r="AY146" s="21">
        <v>1</v>
      </c>
      <c r="AZ146" s="21">
        <v>1</v>
      </c>
      <c r="BA146" s="21">
        <v>1</v>
      </c>
      <c r="BB146" s="21">
        <v>1</v>
      </c>
      <c r="BC146" s="21">
        <v>1</v>
      </c>
      <c r="BD146" s="21">
        <v>1</v>
      </c>
      <c r="BE146" s="21">
        <v>1</v>
      </c>
      <c r="BF146" s="21">
        <v>1</v>
      </c>
      <c r="BG146" s="21">
        <v>1</v>
      </c>
      <c r="BH146" s="21">
        <v>1</v>
      </c>
      <c r="BI146">
        <f>-1/'vehicles specifications'!$M12</f>
        <v>-1</v>
      </c>
      <c r="BJ146">
        <f>-1/'vehicles specifications'!$M12</f>
        <v>-1</v>
      </c>
      <c r="BK146">
        <f>-1/'vehicles specifications'!$M12</f>
        <v>-1</v>
      </c>
    </row>
    <row r="147" spans="1:63" x14ac:dyDescent="0.3">
      <c r="A147" t="s">
        <v>531</v>
      </c>
      <c r="B147">
        <f t="shared" si="0"/>
        <v>5.8823529411764705E-2</v>
      </c>
      <c r="C147" s="2">
        <f>'vehicles specifications'!S13</f>
        <v>16</v>
      </c>
      <c r="D147">
        <f t="shared" si="0"/>
        <v>5.8823529411764705E-2</v>
      </c>
      <c r="E147" s="21">
        <v>1</v>
      </c>
      <c r="F147">
        <f>1+'vehicles specifications'!AD13</f>
        <v>1.25</v>
      </c>
      <c r="G147">
        <f>1+'vehicles specifications'!AD13</f>
        <v>1.25</v>
      </c>
      <c r="J147">
        <v>1</v>
      </c>
      <c r="K147">
        <f>1/('fuels and tailpipe emissions'!$C$3*3.6)</f>
        <v>2.358490566037736E-2</v>
      </c>
      <c r="L147" s="21">
        <f t="shared" si="1"/>
        <v>0.30555555555555558</v>
      </c>
      <c r="M147">
        <f>1/'vehicles specifications'!J13</f>
        <v>5.0000000000000002E-5</v>
      </c>
      <c r="N147" s="21">
        <v>1</v>
      </c>
      <c r="O147">
        <f>1</f>
        <v>1</v>
      </c>
      <c r="P147" s="21">
        <f t="shared" si="3"/>
        <v>-4.1666666666666664E-2</v>
      </c>
      <c r="Q147" s="21">
        <f t="shared" si="3"/>
        <v>-4.1666666666666664E-2</v>
      </c>
      <c r="R147">
        <f>-1-'vehicles specifications'!AD13</f>
        <v>-1.25</v>
      </c>
      <c r="S147">
        <v>1</v>
      </c>
      <c r="T147">
        <v>1</v>
      </c>
      <c r="U147">
        <v>1</v>
      </c>
      <c r="V147">
        <v>1</v>
      </c>
      <c r="W147">
        <v>1</v>
      </c>
      <c r="X147">
        <v>1</v>
      </c>
      <c r="Y147">
        <v>1</v>
      </c>
      <c r="Z147">
        <v>1</v>
      </c>
      <c r="AA147">
        <v>1</v>
      </c>
      <c r="AB147">
        <v>1</v>
      </c>
      <c r="AC147" s="21">
        <v>1</v>
      </c>
      <c r="AD147" s="21">
        <v>1</v>
      </c>
      <c r="AE147" s="21">
        <v>1</v>
      </c>
      <c r="AF147" s="21">
        <v>1</v>
      </c>
      <c r="AG147" s="21">
        <v>1</v>
      </c>
      <c r="AH147" s="21">
        <v>1</v>
      </c>
      <c r="AI147" s="21">
        <v>1</v>
      </c>
      <c r="AJ147" s="21">
        <v>1</v>
      </c>
      <c r="AK147" s="21">
        <v>1</v>
      </c>
      <c r="AL147" s="21">
        <v>1</v>
      </c>
      <c r="AM147" s="21">
        <v>1</v>
      </c>
      <c r="AN147" s="21">
        <v>1</v>
      </c>
      <c r="AO147" s="21">
        <v>1</v>
      </c>
      <c r="AP147" s="21">
        <v>1</v>
      </c>
      <c r="AQ147" s="21">
        <v>1</v>
      </c>
      <c r="AR147" s="21">
        <v>1</v>
      </c>
      <c r="AS147" s="21">
        <v>1</v>
      </c>
      <c r="AT147" s="21">
        <v>1</v>
      </c>
      <c r="AU147" s="21">
        <v>1</v>
      </c>
      <c r="AV147" s="21">
        <v>1</v>
      </c>
      <c r="AW147" s="21">
        <v>1</v>
      </c>
      <c r="AX147" s="21">
        <v>1</v>
      </c>
      <c r="AY147" s="21">
        <v>1</v>
      </c>
      <c r="AZ147" s="21">
        <v>1</v>
      </c>
      <c r="BA147" s="21">
        <v>1</v>
      </c>
      <c r="BB147" s="21">
        <v>1</v>
      </c>
      <c r="BC147" s="21">
        <v>1</v>
      </c>
      <c r="BD147" s="21">
        <v>1</v>
      </c>
      <c r="BE147" s="21">
        <v>1</v>
      </c>
      <c r="BF147" s="21">
        <v>1</v>
      </c>
      <c r="BG147" s="21">
        <v>1</v>
      </c>
      <c r="BH147" s="21">
        <v>1</v>
      </c>
      <c r="BI147">
        <f>-1/'vehicles specifications'!$M13</f>
        <v>-1</v>
      </c>
      <c r="BJ147">
        <f>-1/'vehicles specifications'!$M13</f>
        <v>-1</v>
      </c>
      <c r="BK147">
        <f>-1/'vehicles specifications'!$M13</f>
        <v>-1</v>
      </c>
    </row>
    <row r="148" spans="1:63" x14ac:dyDescent="0.3">
      <c r="A148" t="s">
        <v>532</v>
      </c>
      <c r="B148">
        <f t="shared" si="0"/>
        <v>5.8823529411764705E-2</v>
      </c>
      <c r="C148" s="2">
        <f>'vehicles specifications'!S14</f>
        <v>16</v>
      </c>
      <c r="D148">
        <f t="shared" si="0"/>
        <v>5.8823529411764705E-2</v>
      </c>
      <c r="E148" s="21">
        <v>1</v>
      </c>
      <c r="F148">
        <f>1+'vehicles specifications'!AD14</f>
        <v>1</v>
      </c>
      <c r="G148">
        <f>1+'vehicles specifications'!AD14</f>
        <v>1</v>
      </c>
      <c r="J148">
        <v>1</v>
      </c>
      <c r="K148">
        <f>1/('fuels and tailpipe emissions'!$C$3*3.6)</f>
        <v>2.358490566037736E-2</v>
      </c>
      <c r="L148" s="21">
        <f t="shared" si="1"/>
        <v>0.30555555555555558</v>
      </c>
      <c r="M148">
        <f>1/'vehicles specifications'!J14</f>
        <v>5.0000000000000002E-5</v>
      </c>
      <c r="N148" s="21">
        <v>1</v>
      </c>
      <c r="O148">
        <f>1</f>
        <v>1</v>
      </c>
      <c r="P148" s="21">
        <f t="shared" si="3"/>
        <v>-4.1666666666666664E-2</v>
      </c>
      <c r="Q148" s="21">
        <f t="shared" si="3"/>
        <v>-4.1666666666666664E-2</v>
      </c>
      <c r="R148">
        <f>-1-'vehicles specifications'!AD14</f>
        <v>-1</v>
      </c>
      <c r="S148">
        <v>1</v>
      </c>
      <c r="T148">
        <v>1</v>
      </c>
      <c r="U148">
        <v>1</v>
      </c>
      <c r="V148">
        <v>1</v>
      </c>
      <c r="W148">
        <v>1</v>
      </c>
      <c r="X148">
        <v>1</v>
      </c>
      <c r="Y148">
        <v>1</v>
      </c>
      <c r="Z148">
        <v>1</v>
      </c>
      <c r="AA148">
        <v>1</v>
      </c>
      <c r="AB148">
        <v>1</v>
      </c>
      <c r="AC148" s="21">
        <v>1</v>
      </c>
      <c r="AD148" s="21">
        <v>1</v>
      </c>
      <c r="AE148" s="21">
        <v>1</v>
      </c>
      <c r="AF148" s="21">
        <v>1</v>
      </c>
      <c r="AG148" s="21">
        <v>1</v>
      </c>
      <c r="AH148" s="21">
        <v>1</v>
      </c>
      <c r="AI148" s="21">
        <v>1</v>
      </c>
      <c r="AJ148" s="21">
        <v>1</v>
      </c>
      <c r="AK148" s="21">
        <v>1</v>
      </c>
      <c r="AL148" s="21">
        <v>1</v>
      </c>
      <c r="AM148" s="21">
        <v>1</v>
      </c>
      <c r="AN148" s="21">
        <v>1</v>
      </c>
      <c r="AO148" s="21">
        <v>1</v>
      </c>
      <c r="AP148" s="21">
        <v>1</v>
      </c>
      <c r="AQ148" s="21">
        <v>1</v>
      </c>
      <c r="AR148" s="21">
        <v>1</v>
      </c>
      <c r="AS148" s="21">
        <v>1</v>
      </c>
      <c r="AT148" s="21">
        <v>1</v>
      </c>
      <c r="AU148" s="21">
        <v>1</v>
      </c>
      <c r="AV148" s="21">
        <v>1</v>
      </c>
      <c r="AW148" s="21">
        <v>1</v>
      </c>
      <c r="AX148" s="21">
        <v>1</v>
      </c>
      <c r="AY148" s="21">
        <v>1</v>
      </c>
      <c r="AZ148" s="21">
        <v>1</v>
      </c>
      <c r="BA148" s="21">
        <v>1</v>
      </c>
      <c r="BB148" s="21">
        <v>1</v>
      </c>
      <c r="BC148" s="21">
        <v>1</v>
      </c>
      <c r="BD148" s="21">
        <v>1</v>
      </c>
      <c r="BE148" s="21">
        <v>1</v>
      </c>
      <c r="BF148" s="21">
        <v>1</v>
      </c>
      <c r="BG148" s="21">
        <v>1</v>
      </c>
      <c r="BH148" s="21">
        <v>1</v>
      </c>
      <c r="BI148">
        <f>-1/'vehicles specifications'!$M14</f>
        <v>-1</v>
      </c>
      <c r="BJ148">
        <f>-1/'vehicles specifications'!$M14</f>
        <v>-1</v>
      </c>
      <c r="BK148">
        <f>-1/'vehicles specifications'!$M14</f>
        <v>-1</v>
      </c>
    </row>
    <row r="149" spans="1:63" x14ac:dyDescent="0.3">
      <c r="A149" t="s">
        <v>533</v>
      </c>
      <c r="B149">
        <f t="shared" si="0"/>
        <v>5.8823529411764705E-2</v>
      </c>
      <c r="C149" s="2">
        <f>'vehicles specifications'!S15</f>
        <v>19</v>
      </c>
      <c r="D149">
        <f t="shared" si="0"/>
        <v>5.8823529411764705E-2</v>
      </c>
      <c r="E149" s="21">
        <v>1</v>
      </c>
      <c r="F149">
        <f>1+'vehicles specifications'!AD15</f>
        <v>2</v>
      </c>
      <c r="G149">
        <f>1+'vehicles specifications'!AD15</f>
        <v>2</v>
      </c>
      <c r="J149">
        <v>1</v>
      </c>
      <c r="K149">
        <f>1/('fuels and tailpipe emissions'!$C$3*3.6)</f>
        <v>2.358490566037736E-2</v>
      </c>
      <c r="L149" s="21">
        <f t="shared" si="1"/>
        <v>0.30555555555555558</v>
      </c>
      <c r="M149">
        <f>1/'vehicles specifications'!J15</f>
        <v>3.3333333333333335E-5</v>
      </c>
      <c r="N149" s="21">
        <v>1</v>
      </c>
      <c r="O149">
        <f>1</f>
        <v>1</v>
      </c>
      <c r="P149" s="21">
        <f t="shared" si="3"/>
        <v>-4.1666666666666664E-2</v>
      </c>
      <c r="Q149" s="21">
        <f t="shared" si="3"/>
        <v>-4.1666666666666664E-2</v>
      </c>
      <c r="R149">
        <f>-1-'vehicles specifications'!AD15</f>
        <v>-2</v>
      </c>
      <c r="S149">
        <v>1</v>
      </c>
      <c r="T149">
        <v>1</v>
      </c>
      <c r="U149">
        <v>1</v>
      </c>
      <c r="V149">
        <v>1</v>
      </c>
      <c r="W149">
        <v>1</v>
      </c>
      <c r="X149">
        <v>1</v>
      </c>
      <c r="Y149">
        <v>1</v>
      </c>
      <c r="Z149">
        <v>1</v>
      </c>
      <c r="AA149">
        <v>1</v>
      </c>
      <c r="AB149">
        <v>1</v>
      </c>
      <c r="AC149" s="21">
        <v>1</v>
      </c>
      <c r="AD149" s="21">
        <v>1</v>
      </c>
      <c r="AE149" s="21">
        <v>1</v>
      </c>
      <c r="AF149" s="21">
        <v>1</v>
      </c>
      <c r="AG149" s="21">
        <v>1</v>
      </c>
      <c r="AH149" s="21">
        <v>1</v>
      </c>
      <c r="AI149" s="21">
        <v>1</v>
      </c>
      <c r="AJ149" s="21">
        <v>1</v>
      </c>
      <c r="AK149" s="21">
        <v>1</v>
      </c>
      <c r="AL149" s="21">
        <v>1</v>
      </c>
      <c r="AM149" s="21">
        <v>1</v>
      </c>
      <c r="AN149" s="21">
        <v>1</v>
      </c>
      <c r="AO149" s="21">
        <v>1</v>
      </c>
      <c r="AP149" s="21">
        <v>1</v>
      </c>
      <c r="AQ149" s="21">
        <v>1</v>
      </c>
      <c r="AR149" s="21">
        <v>1</v>
      </c>
      <c r="AS149" s="21">
        <v>1</v>
      </c>
      <c r="AT149" s="21">
        <v>1</v>
      </c>
      <c r="AU149" s="21">
        <v>1</v>
      </c>
      <c r="AV149" s="21">
        <v>1</v>
      </c>
      <c r="AW149" s="21">
        <v>1</v>
      </c>
      <c r="AX149" s="21">
        <v>1</v>
      </c>
      <c r="AY149" s="21">
        <v>1</v>
      </c>
      <c r="AZ149" s="21">
        <v>1</v>
      </c>
      <c r="BA149" s="21">
        <v>1</v>
      </c>
      <c r="BB149" s="21">
        <v>1</v>
      </c>
      <c r="BC149" s="21">
        <v>1</v>
      </c>
      <c r="BD149" s="21">
        <v>1</v>
      </c>
      <c r="BE149" s="21">
        <v>1</v>
      </c>
      <c r="BF149" s="21">
        <v>1</v>
      </c>
      <c r="BG149" s="21">
        <v>1</v>
      </c>
      <c r="BH149" s="21">
        <v>1</v>
      </c>
      <c r="BI149">
        <f>-1/'vehicles specifications'!$M15</f>
        <v>-1</v>
      </c>
      <c r="BJ149">
        <f>-1/'vehicles specifications'!$M15</f>
        <v>-1</v>
      </c>
      <c r="BK149">
        <f>-1/'vehicles specifications'!$M15</f>
        <v>-1</v>
      </c>
    </row>
    <row r="150" spans="1:63" x14ac:dyDescent="0.3">
      <c r="A150" t="s">
        <v>534</v>
      </c>
      <c r="B150">
        <f t="shared" si="0"/>
        <v>5.8823529411764705E-2</v>
      </c>
      <c r="C150" s="2">
        <f>'vehicles specifications'!S16</f>
        <v>19</v>
      </c>
      <c r="D150">
        <f t="shared" si="0"/>
        <v>5.8823529411764705E-2</v>
      </c>
      <c r="E150" s="21">
        <v>1</v>
      </c>
      <c r="F150">
        <f>1+'vehicles specifications'!AD16</f>
        <v>1.5</v>
      </c>
      <c r="G150">
        <f>1+'vehicles specifications'!AD16</f>
        <v>1.5</v>
      </c>
      <c r="J150">
        <v>1</v>
      </c>
      <c r="K150">
        <f>1/('fuels and tailpipe emissions'!$C$3*3.6)</f>
        <v>2.358490566037736E-2</v>
      </c>
      <c r="L150" s="21">
        <f t="shared" si="1"/>
        <v>0.30555555555555558</v>
      </c>
      <c r="M150">
        <f>1/'vehicles specifications'!J16</f>
        <v>3.3333333333333335E-5</v>
      </c>
      <c r="N150" s="21">
        <v>1</v>
      </c>
      <c r="O150">
        <f>1</f>
        <v>1</v>
      </c>
      <c r="P150" s="21">
        <f t="shared" si="3"/>
        <v>-4.1666666666666664E-2</v>
      </c>
      <c r="Q150" s="21">
        <f t="shared" si="3"/>
        <v>-4.1666666666666664E-2</v>
      </c>
      <c r="R150">
        <f>-1-'vehicles specifications'!AD16</f>
        <v>-1.5</v>
      </c>
      <c r="S150">
        <v>1</v>
      </c>
      <c r="T150">
        <v>1</v>
      </c>
      <c r="U150">
        <v>1</v>
      </c>
      <c r="V150">
        <v>1</v>
      </c>
      <c r="W150">
        <v>1</v>
      </c>
      <c r="X150">
        <v>1</v>
      </c>
      <c r="Y150">
        <v>1</v>
      </c>
      <c r="Z150">
        <v>1</v>
      </c>
      <c r="AA150">
        <v>1</v>
      </c>
      <c r="AB150">
        <v>1</v>
      </c>
      <c r="AC150" s="21">
        <v>1</v>
      </c>
      <c r="AD150" s="21">
        <v>1</v>
      </c>
      <c r="AE150" s="21">
        <v>1</v>
      </c>
      <c r="AF150" s="21">
        <v>1</v>
      </c>
      <c r="AG150" s="21">
        <v>1</v>
      </c>
      <c r="AH150" s="21">
        <v>1</v>
      </c>
      <c r="AI150" s="21">
        <v>1</v>
      </c>
      <c r="AJ150" s="21">
        <v>1</v>
      </c>
      <c r="AK150" s="21">
        <v>1</v>
      </c>
      <c r="AL150" s="21">
        <v>1</v>
      </c>
      <c r="AM150" s="21">
        <v>1</v>
      </c>
      <c r="AN150" s="21">
        <v>1</v>
      </c>
      <c r="AO150" s="21">
        <v>1</v>
      </c>
      <c r="AP150" s="21">
        <v>1</v>
      </c>
      <c r="AQ150" s="21">
        <v>1</v>
      </c>
      <c r="AR150" s="21">
        <v>1</v>
      </c>
      <c r="AS150" s="21">
        <v>1</v>
      </c>
      <c r="AT150" s="21">
        <v>1</v>
      </c>
      <c r="AU150" s="21">
        <v>1</v>
      </c>
      <c r="AV150" s="21">
        <v>1</v>
      </c>
      <c r="AW150" s="21">
        <v>1</v>
      </c>
      <c r="AX150" s="21">
        <v>1</v>
      </c>
      <c r="AY150" s="21">
        <v>1</v>
      </c>
      <c r="AZ150" s="21">
        <v>1</v>
      </c>
      <c r="BA150" s="21">
        <v>1</v>
      </c>
      <c r="BB150" s="21">
        <v>1</v>
      </c>
      <c r="BC150" s="21">
        <v>1</v>
      </c>
      <c r="BD150" s="21">
        <v>1</v>
      </c>
      <c r="BE150" s="21">
        <v>1</v>
      </c>
      <c r="BF150" s="21">
        <v>1</v>
      </c>
      <c r="BG150" s="21">
        <v>1</v>
      </c>
      <c r="BH150" s="21">
        <v>1</v>
      </c>
      <c r="BI150">
        <f>-1/'vehicles specifications'!$M16</f>
        <v>-1</v>
      </c>
      <c r="BJ150">
        <f>-1/'vehicles specifications'!$M16</f>
        <v>-1</v>
      </c>
      <c r="BK150">
        <f>-1/'vehicles specifications'!$M16</f>
        <v>-1</v>
      </c>
    </row>
    <row r="151" spans="1:63" x14ac:dyDescent="0.3">
      <c r="A151" t="s">
        <v>535</v>
      </c>
      <c r="B151">
        <f t="shared" si="0"/>
        <v>5.8823529411764705E-2</v>
      </c>
      <c r="C151" s="2">
        <f>'vehicles specifications'!S17</f>
        <v>19</v>
      </c>
      <c r="D151">
        <f t="shared" si="0"/>
        <v>5.8823529411764705E-2</v>
      </c>
      <c r="E151" s="21">
        <v>1</v>
      </c>
      <c r="F151">
        <f>1+'vehicles specifications'!AD17</f>
        <v>1.25</v>
      </c>
      <c r="G151">
        <f>1+'vehicles specifications'!AD17</f>
        <v>1.25</v>
      </c>
      <c r="J151">
        <v>1</v>
      </c>
      <c r="K151">
        <f>1/('fuels and tailpipe emissions'!$C$3*3.6)</f>
        <v>2.358490566037736E-2</v>
      </c>
      <c r="L151" s="21">
        <f t="shared" si="1"/>
        <v>0.30555555555555558</v>
      </c>
      <c r="M151">
        <f>1/'vehicles specifications'!J17</f>
        <v>3.3333333333333335E-5</v>
      </c>
      <c r="N151" s="21">
        <v>1</v>
      </c>
      <c r="O151">
        <f>1</f>
        <v>1</v>
      </c>
      <c r="P151" s="21">
        <f t="shared" si="3"/>
        <v>-4.1666666666666664E-2</v>
      </c>
      <c r="Q151" s="21">
        <f t="shared" si="3"/>
        <v>-4.1666666666666664E-2</v>
      </c>
      <c r="R151">
        <f>-1-'vehicles specifications'!AD17</f>
        <v>-1.25</v>
      </c>
      <c r="S151">
        <v>1</v>
      </c>
      <c r="T151">
        <v>1</v>
      </c>
      <c r="U151">
        <v>1</v>
      </c>
      <c r="V151">
        <v>1</v>
      </c>
      <c r="W151">
        <v>1</v>
      </c>
      <c r="X151">
        <v>1</v>
      </c>
      <c r="Y151">
        <v>1</v>
      </c>
      <c r="Z151">
        <v>1</v>
      </c>
      <c r="AA151">
        <v>1</v>
      </c>
      <c r="AB151">
        <v>1</v>
      </c>
      <c r="AC151" s="21">
        <v>1</v>
      </c>
      <c r="AD151" s="21">
        <v>1</v>
      </c>
      <c r="AE151" s="21">
        <v>1</v>
      </c>
      <c r="AF151" s="21">
        <v>1</v>
      </c>
      <c r="AG151" s="21">
        <v>1</v>
      </c>
      <c r="AH151" s="21">
        <v>1</v>
      </c>
      <c r="AI151" s="21">
        <v>1</v>
      </c>
      <c r="AJ151" s="21">
        <v>1</v>
      </c>
      <c r="AK151" s="21">
        <v>1</v>
      </c>
      <c r="AL151" s="21">
        <v>1</v>
      </c>
      <c r="AM151" s="21">
        <v>1</v>
      </c>
      <c r="AN151" s="21">
        <v>1</v>
      </c>
      <c r="AO151" s="21">
        <v>1</v>
      </c>
      <c r="AP151" s="21">
        <v>1</v>
      </c>
      <c r="AQ151" s="21">
        <v>1</v>
      </c>
      <c r="AR151" s="21">
        <v>1</v>
      </c>
      <c r="AS151" s="21">
        <v>1</v>
      </c>
      <c r="AT151" s="21">
        <v>1</v>
      </c>
      <c r="AU151" s="21">
        <v>1</v>
      </c>
      <c r="AV151" s="21">
        <v>1</v>
      </c>
      <c r="AW151" s="21">
        <v>1</v>
      </c>
      <c r="AX151" s="21">
        <v>1</v>
      </c>
      <c r="AY151" s="21">
        <v>1</v>
      </c>
      <c r="AZ151" s="21">
        <v>1</v>
      </c>
      <c r="BA151" s="21">
        <v>1</v>
      </c>
      <c r="BB151" s="21">
        <v>1</v>
      </c>
      <c r="BC151" s="21">
        <v>1</v>
      </c>
      <c r="BD151" s="21">
        <v>1</v>
      </c>
      <c r="BE151" s="21">
        <v>1</v>
      </c>
      <c r="BF151" s="21">
        <v>1</v>
      </c>
      <c r="BG151" s="21">
        <v>1</v>
      </c>
      <c r="BH151" s="21">
        <v>1</v>
      </c>
      <c r="BI151">
        <f>-1/'vehicles specifications'!$M17</f>
        <v>-1</v>
      </c>
      <c r="BJ151">
        <f>-1/'vehicles specifications'!$M17</f>
        <v>-1</v>
      </c>
      <c r="BK151">
        <f>-1/'vehicles specifications'!$M17</f>
        <v>-1</v>
      </c>
    </row>
    <row r="152" spans="1:63" x14ac:dyDescent="0.3">
      <c r="A152" t="s">
        <v>536</v>
      </c>
      <c r="B152">
        <f t="shared" si="0"/>
        <v>5.8823529411764705E-2</v>
      </c>
      <c r="C152" s="2">
        <f>'vehicles specifications'!S18</f>
        <v>19</v>
      </c>
      <c r="D152">
        <f t="shared" si="0"/>
        <v>5.8823529411764705E-2</v>
      </c>
      <c r="E152" s="21">
        <v>1</v>
      </c>
      <c r="F152">
        <f>1+'vehicles specifications'!AD18</f>
        <v>1</v>
      </c>
      <c r="G152">
        <f>1+'vehicles specifications'!AD18</f>
        <v>1</v>
      </c>
      <c r="J152">
        <v>1</v>
      </c>
      <c r="K152">
        <f>1/('fuels and tailpipe emissions'!$C$3*3.6)</f>
        <v>2.358490566037736E-2</v>
      </c>
      <c r="L152" s="21">
        <f t="shared" si="1"/>
        <v>0.30555555555555558</v>
      </c>
      <c r="M152">
        <f>1/'vehicles specifications'!J18</f>
        <v>3.3333333333333335E-5</v>
      </c>
      <c r="N152" s="21">
        <v>1</v>
      </c>
      <c r="O152">
        <f>1</f>
        <v>1</v>
      </c>
      <c r="P152" s="21">
        <f t="shared" si="3"/>
        <v>-4.1666666666666664E-2</v>
      </c>
      <c r="Q152" s="21">
        <f t="shared" si="3"/>
        <v>-4.1666666666666664E-2</v>
      </c>
      <c r="R152">
        <f>-1-'vehicles specifications'!AD18</f>
        <v>-1</v>
      </c>
      <c r="S152">
        <v>1</v>
      </c>
      <c r="T152">
        <v>1</v>
      </c>
      <c r="U152">
        <v>1</v>
      </c>
      <c r="V152">
        <v>1</v>
      </c>
      <c r="W152">
        <v>1</v>
      </c>
      <c r="X152">
        <v>1</v>
      </c>
      <c r="Y152">
        <v>1</v>
      </c>
      <c r="Z152">
        <v>1</v>
      </c>
      <c r="AA152">
        <v>1</v>
      </c>
      <c r="AB152">
        <v>1</v>
      </c>
      <c r="AC152" s="21">
        <v>1</v>
      </c>
      <c r="AD152" s="21">
        <v>1</v>
      </c>
      <c r="AE152" s="21">
        <v>1</v>
      </c>
      <c r="AF152" s="21">
        <v>1</v>
      </c>
      <c r="AG152" s="21">
        <v>1</v>
      </c>
      <c r="AH152" s="21">
        <v>1</v>
      </c>
      <c r="AI152" s="21">
        <v>1</v>
      </c>
      <c r="AJ152" s="21">
        <v>1</v>
      </c>
      <c r="AK152" s="21">
        <v>1</v>
      </c>
      <c r="AL152" s="21">
        <v>1</v>
      </c>
      <c r="AM152" s="21">
        <v>1</v>
      </c>
      <c r="AN152" s="21">
        <v>1</v>
      </c>
      <c r="AO152" s="21">
        <v>1</v>
      </c>
      <c r="AP152" s="21">
        <v>1</v>
      </c>
      <c r="AQ152" s="21">
        <v>1</v>
      </c>
      <c r="AR152" s="21">
        <v>1</v>
      </c>
      <c r="AS152" s="21">
        <v>1</v>
      </c>
      <c r="AT152" s="21">
        <v>1</v>
      </c>
      <c r="AU152" s="21">
        <v>1</v>
      </c>
      <c r="AV152" s="21">
        <v>1</v>
      </c>
      <c r="AW152" s="21">
        <v>1</v>
      </c>
      <c r="AX152" s="21">
        <v>1</v>
      </c>
      <c r="AY152" s="21">
        <v>1</v>
      </c>
      <c r="AZ152" s="21">
        <v>1</v>
      </c>
      <c r="BA152" s="21">
        <v>1</v>
      </c>
      <c r="BB152" s="21">
        <v>1</v>
      </c>
      <c r="BC152" s="21">
        <v>1</v>
      </c>
      <c r="BD152" s="21">
        <v>1</v>
      </c>
      <c r="BE152" s="21">
        <v>1</v>
      </c>
      <c r="BF152" s="21">
        <v>1</v>
      </c>
      <c r="BG152" s="21">
        <v>1</v>
      </c>
      <c r="BH152" s="21">
        <v>1</v>
      </c>
      <c r="BI152">
        <f>-1/'vehicles specifications'!$M18</f>
        <v>-1</v>
      </c>
      <c r="BJ152">
        <f>-1/'vehicles specifications'!$M18</f>
        <v>-1</v>
      </c>
      <c r="BK152">
        <f>-1/'vehicles specifications'!$M18</f>
        <v>-1</v>
      </c>
    </row>
    <row r="153" spans="1:63" x14ac:dyDescent="0.3">
      <c r="A153" t="s">
        <v>525</v>
      </c>
      <c r="B153">
        <f t="shared" si="0"/>
        <v>5.8823529411764705E-2</v>
      </c>
      <c r="C153" s="2">
        <f>'vehicles specifications'!S19</f>
        <v>28</v>
      </c>
      <c r="D153">
        <f t="shared" si="0"/>
        <v>5.8823529411764705E-2</v>
      </c>
      <c r="E153" s="21">
        <v>1</v>
      </c>
      <c r="F153">
        <f>1+'vehicles specifications'!AD19</f>
        <v>2</v>
      </c>
      <c r="G153">
        <f>1+'vehicles specifications'!AD19</f>
        <v>2</v>
      </c>
      <c r="J153">
        <v>1</v>
      </c>
      <c r="K153">
        <f>1/('fuels and tailpipe emissions'!$C$3*3.6)</f>
        <v>2.358490566037736E-2</v>
      </c>
      <c r="L153" s="21">
        <f t="shared" si="1"/>
        <v>0.30555555555555558</v>
      </c>
      <c r="M153">
        <f>1/'vehicles specifications'!J19</f>
        <v>5.0000000000000002E-5</v>
      </c>
      <c r="N153" s="21">
        <v>1</v>
      </c>
      <c r="O153">
        <f>1</f>
        <v>1</v>
      </c>
      <c r="P153" s="21">
        <f t="shared" si="3"/>
        <v>-4.1666666666666664E-2</v>
      </c>
      <c r="Q153" s="21">
        <f t="shared" si="3"/>
        <v>-4.1666666666666664E-2</v>
      </c>
      <c r="R153">
        <f>-1-'vehicles specifications'!AD19</f>
        <v>-2</v>
      </c>
      <c r="S153">
        <v>1</v>
      </c>
      <c r="T153">
        <v>1</v>
      </c>
      <c r="U153">
        <v>1</v>
      </c>
      <c r="V153">
        <v>1</v>
      </c>
      <c r="W153">
        <v>1</v>
      </c>
      <c r="X153">
        <v>1</v>
      </c>
      <c r="Y153">
        <v>1</v>
      </c>
      <c r="Z153">
        <v>1</v>
      </c>
      <c r="AA153">
        <v>1</v>
      </c>
      <c r="AB153">
        <v>1</v>
      </c>
      <c r="AC153" s="21">
        <v>1</v>
      </c>
      <c r="AD153" s="21">
        <v>1</v>
      </c>
      <c r="AE153" s="21">
        <v>1</v>
      </c>
      <c r="AF153" s="21">
        <v>1</v>
      </c>
      <c r="AG153" s="21">
        <v>1</v>
      </c>
      <c r="AH153" s="21">
        <v>1</v>
      </c>
      <c r="AI153" s="21">
        <v>1</v>
      </c>
      <c r="AJ153" s="21">
        <v>1</v>
      </c>
      <c r="AK153" s="21">
        <v>1</v>
      </c>
      <c r="AL153" s="21">
        <v>1</v>
      </c>
      <c r="AM153" s="21">
        <v>1</v>
      </c>
      <c r="AN153" s="21">
        <v>1</v>
      </c>
      <c r="AO153" s="21">
        <v>1</v>
      </c>
      <c r="AP153" s="21">
        <v>1</v>
      </c>
      <c r="AQ153" s="21">
        <v>1</v>
      </c>
      <c r="AR153" s="21">
        <v>1</v>
      </c>
      <c r="AS153" s="21">
        <v>1</v>
      </c>
      <c r="AT153" s="21">
        <v>1</v>
      </c>
      <c r="AU153" s="21">
        <v>1</v>
      </c>
      <c r="AV153" s="21">
        <v>1</v>
      </c>
      <c r="AW153" s="21">
        <v>1</v>
      </c>
      <c r="AX153" s="21">
        <v>1</v>
      </c>
      <c r="AY153" s="21">
        <v>1</v>
      </c>
      <c r="AZ153" s="21">
        <v>1</v>
      </c>
      <c r="BA153" s="21">
        <v>1</v>
      </c>
      <c r="BB153" s="21">
        <v>1</v>
      </c>
      <c r="BC153" s="21">
        <v>1</v>
      </c>
      <c r="BD153" s="21">
        <v>1</v>
      </c>
      <c r="BE153" s="21">
        <v>1</v>
      </c>
      <c r="BF153" s="21">
        <v>1</v>
      </c>
      <c r="BG153" s="21">
        <v>1</v>
      </c>
      <c r="BH153" s="21">
        <v>1</v>
      </c>
      <c r="BI153">
        <f>-1/'vehicles specifications'!$M19</f>
        <v>-1</v>
      </c>
      <c r="BJ153">
        <f>-1/'vehicles specifications'!$M19</f>
        <v>-1</v>
      </c>
      <c r="BK153">
        <f>-1/'vehicles specifications'!$M19</f>
        <v>-1</v>
      </c>
    </row>
    <row r="154" spans="1:63" x14ac:dyDescent="0.3">
      <c r="A154" t="s">
        <v>526</v>
      </c>
      <c r="B154">
        <f t="shared" si="0"/>
        <v>5.8823529411764705E-2</v>
      </c>
      <c r="C154" s="2">
        <f>'vehicles specifications'!S20</f>
        <v>28</v>
      </c>
      <c r="D154">
        <f t="shared" si="0"/>
        <v>5.8823529411764705E-2</v>
      </c>
      <c r="E154" s="21">
        <v>1</v>
      </c>
      <c r="F154">
        <f>1+'vehicles specifications'!AD20</f>
        <v>1.5</v>
      </c>
      <c r="G154">
        <f>1+'vehicles specifications'!AD20</f>
        <v>1.5</v>
      </c>
      <c r="J154">
        <v>1</v>
      </c>
      <c r="K154">
        <f>1/('fuels and tailpipe emissions'!$C$3*3.6)</f>
        <v>2.358490566037736E-2</v>
      </c>
      <c r="L154" s="21">
        <f t="shared" si="1"/>
        <v>0.30555555555555558</v>
      </c>
      <c r="M154">
        <f>1/'vehicles specifications'!J20</f>
        <v>5.0000000000000002E-5</v>
      </c>
      <c r="N154" s="21">
        <v>1</v>
      </c>
      <c r="O154">
        <f>1</f>
        <v>1</v>
      </c>
      <c r="P154" s="21">
        <f t="shared" si="3"/>
        <v>-4.1666666666666664E-2</v>
      </c>
      <c r="Q154" s="21">
        <f t="shared" si="3"/>
        <v>-4.1666666666666664E-2</v>
      </c>
      <c r="R154">
        <f>-1-'vehicles specifications'!AD20</f>
        <v>-1.5</v>
      </c>
      <c r="S154">
        <v>1</v>
      </c>
      <c r="T154">
        <v>1</v>
      </c>
      <c r="U154">
        <v>1</v>
      </c>
      <c r="V154">
        <v>1</v>
      </c>
      <c r="W154">
        <v>1</v>
      </c>
      <c r="X154">
        <v>1</v>
      </c>
      <c r="Y154">
        <v>1</v>
      </c>
      <c r="Z154">
        <v>1</v>
      </c>
      <c r="AA154">
        <v>1</v>
      </c>
      <c r="AB154">
        <v>1</v>
      </c>
      <c r="AC154" s="21">
        <v>1</v>
      </c>
      <c r="AD154" s="21">
        <v>1</v>
      </c>
      <c r="AE154" s="21">
        <v>1</v>
      </c>
      <c r="AF154" s="21">
        <v>1</v>
      </c>
      <c r="AG154" s="21">
        <v>1</v>
      </c>
      <c r="AH154" s="21">
        <v>1</v>
      </c>
      <c r="AI154" s="21">
        <v>1</v>
      </c>
      <c r="AJ154" s="21">
        <v>1</v>
      </c>
      <c r="AK154" s="21">
        <v>1</v>
      </c>
      <c r="AL154" s="21">
        <v>1</v>
      </c>
      <c r="AM154" s="21">
        <v>1</v>
      </c>
      <c r="AN154" s="21">
        <v>1</v>
      </c>
      <c r="AO154" s="21">
        <v>1</v>
      </c>
      <c r="AP154" s="21">
        <v>1</v>
      </c>
      <c r="AQ154" s="21">
        <v>1</v>
      </c>
      <c r="AR154" s="21">
        <v>1</v>
      </c>
      <c r="AS154" s="21">
        <v>1</v>
      </c>
      <c r="AT154" s="21">
        <v>1</v>
      </c>
      <c r="AU154" s="21">
        <v>1</v>
      </c>
      <c r="AV154" s="21">
        <v>1</v>
      </c>
      <c r="AW154" s="21">
        <v>1</v>
      </c>
      <c r="AX154" s="21">
        <v>1</v>
      </c>
      <c r="AY154" s="21">
        <v>1</v>
      </c>
      <c r="AZ154" s="21">
        <v>1</v>
      </c>
      <c r="BA154" s="21">
        <v>1</v>
      </c>
      <c r="BB154" s="21">
        <v>1</v>
      </c>
      <c r="BC154" s="21">
        <v>1</v>
      </c>
      <c r="BD154" s="21">
        <v>1</v>
      </c>
      <c r="BE154" s="21">
        <v>1</v>
      </c>
      <c r="BF154" s="21">
        <v>1</v>
      </c>
      <c r="BG154" s="21">
        <v>1</v>
      </c>
      <c r="BH154" s="21">
        <v>1</v>
      </c>
      <c r="BI154">
        <f>-1/'vehicles specifications'!$M20</f>
        <v>-1</v>
      </c>
      <c r="BJ154">
        <f>-1/'vehicles specifications'!$M20</f>
        <v>-1</v>
      </c>
      <c r="BK154">
        <f>-1/'vehicles specifications'!$M20</f>
        <v>-1</v>
      </c>
    </row>
    <row r="155" spans="1:63" x14ac:dyDescent="0.3">
      <c r="A155" t="s">
        <v>527</v>
      </c>
      <c r="B155">
        <f t="shared" si="0"/>
        <v>5.8823529411764705E-2</v>
      </c>
      <c r="C155" s="2">
        <f>'vehicles specifications'!S21</f>
        <v>28</v>
      </c>
      <c r="D155">
        <f t="shared" si="0"/>
        <v>5.8823529411764705E-2</v>
      </c>
      <c r="E155" s="21">
        <v>1</v>
      </c>
      <c r="F155">
        <f>1+'vehicles specifications'!AD21</f>
        <v>1.25</v>
      </c>
      <c r="G155">
        <f>1+'vehicles specifications'!AD21</f>
        <v>1.25</v>
      </c>
      <c r="J155">
        <v>1</v>
      </c>
      <c r="K155">
        <f>1/('fuels and tailpipe emissions'!$C$3*3.6)</f>
        <v>2.358490566037736E-2</v>
      </c>
      <c r="L155" s="21">
        <f t="shared" si="1"/>
        <v>0.30555555555555558</v>
      </c>
      <c r="M155">
        <f>1/'vehicles specifications'!J21</f>
        <v>5.0000000000000002E-5</v>
      </c>
      <c r="N155" s="21">
        <v>1</v>
      </c>
      <c r="O155">
        <f>1</f>
        <v>1</v>
      </c>
      <c r="P155" s="21">
        <f t="shared" si="3"/>
        <v>-4.1666666666666664E-2</v>
      </c>
      <c r="Q155" s="21">
        <f t="shared" si="3"/>
        <v>-4.1666666666666664E-2</v>
      </c>
      <c r="R155">
        <f>-1-'vehicles specifications'!AD21</f>
        <v>-1.25</v>
      </c>
      <c r="S155">
        <v>1</v>
      </c>
      <c r="T155">
        <v>1</v>
      </c>
      <c r="U155">
        <v>1</v>
      </c>
      <c r="V155">
        <v>1</v>
      </c>
      <c r="W155">
        <v>1</v>
      </c>
      <c r="X155">
        <v>1</v>
      </c>
      <c r="Y155">
        <v>1</v>
      </c>
      <c r="Z155">
        <v>1</v>
      </c>
      <c r="AA155">
        <v>1</v>
      </c>
      <c r="AB155">
        <v>1</v>
      </c>
      <c r="AC155" s="21">
        <v>1</v>
      </c>
      <c r="AD155" s="21">
        <v>1</v>
      </c>
      <c r="AE155" s="21">
        <v>1</v>
      </c>
      <c r="AF155" s="21">
        <v>1</v>
      </c>
      <c r="AG155" s="21">
        <v>1</v>
      </c>
      <c r="AH155" s="21">
        <v>1</v>
      </c>
      <c r="AI155" s="21">
        <v>1</v>
      </c>
      <c r="AJ155" s="21">
        <v>1</v>
      </c>
      <c r="AK155" s="21">
        <v>1</v>
      </c>
      <c r="AL155" s="21">
        <v>1</v>
      </c>
      <c r="AM155" s="21">
        <v>1</v>
      </c>
      <c r="AN155" s="21">
        <v>1</v>
      </c>
      <c r="AO155" s="21">
        <v>1</v>
      </c>
      <c r="AP155" s="21">
        <v>1</v>
      </c>
      <c r="AQ155" s="21">
        <v>1</v>
      </c>
      <c r="AR155" s="21">
        <v>1</v>
      </c>
      <c r="AS155" s="21">
        <v>1</v>
      </c>
      <c r="AT155" s="21">
        <v>1</v>
      </c>
      <c r="AU155" s="21">
        <v>1</v>
      </c>
      <c r="AV155" s="21">
        <v>1</v>
      </c>
      <c r="AW155" s="21">
        <v>1</v>
      </c>
      <c r="AX155" s="21">
        <v>1</v>
      </c>
      <c r="AY155" s="21">
        <v>1</v>
      </c>
      <c r="AZ155" s="21">
        <v>1</v>
      </c>
      <c r="BA155" s="21">
        <v>1</v>
      </c>
      <c r="BB155" s="21">
        <v>1</v>
      </c>
      <c r="BC155" s="21">
        <v>1</v>
      </c>
      <c r="BD155" s="21">
        <v>1</v>
      </c>
      <c r="BE155" s="21">
        <v>1</v>
      </c>
      <c r="BF155" s="21">
        <v>1</v>
      </c>
      <c r="BG155" s="21">
        <v>1</v>
      </c>
      <c r="BH155" s="21">
        <v>1</v>
      </c>
      <c r="BI155">
        <f>-1/'vehicles specifications'!$M21</f>
        <v>-1</v>
      </c>
      <c r="BJ155">
        <f>-1/'vehicles specifications'!$M21</f>
        <v>-1</v>
      </c>
      <c r="BK155">
        <f>-1/'vehicles specifications'!$M21</f>
        <v>-1</v>
      </c>
    </row>
    <row r="156" spans="1:63" x14ac:dyDescent="0.3">
      <c r="A156" t="s">
        <v>528</v>
      </c>
      <c r="B156">
        <f t="shared" si="0"/>
        <v>5.8823529411764705E-2</v>
      </c>
      <c r="C156" s="2">
        <f>'vehicles specifications'!S22</f>
        <v>28</v>
      </c>
      <c r="D156">
        <f t="shared" si="0"/>
        <v>5.8823529411764705E-2</v>
      </c>
      <c r="E156" s="21">
        <v>1</v>
      </c>
      <c r="F156">
        <f>1+'vehicles specifications'!AD22</f>
        <v>1</v>
      </c>
      <c r="G156">
        <f>1+'vehicles specifications'!AD22</f>
        <v>1</v>
      </c>
      <c r="J156">
        <v>1</v>
      </c>
      <c r="K156">
        <f>1/('fuels and tailpipe emissions'!$C$3*3.6)</f>
        <v>2.358490566037736E-2</v>
      </c>
      <c r="L156" s="21">
        <f t="shared" si="1"/>
        <v>0.30555555555555558</v>
      </c>
      <c r="M156">
        <f>1/'vehicles specifications'!J22</f>
        <v>5.0000000000000002E-5</v>
      </c>
      <c r="N156" s="21">
        <v>1</v>
      </c>
      <c r="O156">
        <f>1</f>
        <v>1</v>
      </c>
      <c r="P156" s="21">
        <f t="shared" si="3"/>
        <v>-4.1666666666666664E-2</v>
      </c>
      <c r="Q156" s="21">
        <f t="shared" si="3"/>
        <v>-4.1666666666666664E-2</v>
      </c>
      <c r="R156">
        <f>-1-'vehicles specifications'!AD22</f>
        <v>-1</v>
      </c>
      <c r="S156">
        <v>1</v>
      </c>
      <c r="T156">
        <v>1</v>
      </c>
      <c r="U156">
        <v>1</v>
      </c>
      <c r="V156">
        <v>1</v>
      </c>
      <c r="W156">
        <v>1</v>
      </c>
      <c r="X156">
        <v>1</v>
      </c>
      <c r="Y156">
        <v>1</v>
      </c>
      <c r="Z156">
        <v>1</v>
      </c>
      <c r="AA156">
        <v>1</v>
      </c>
      <c r="AB156">
        <v>1</v>
      </c>
      <c r="AC156" s="21">
        <v>1</v>
      </c>
      <c r="AD156" s="21">
        <v>1</v>
      </c>
      <c r="AE156" s="21">
        <v>1</v>
      </c>
      <c r="AF156" s="21">
        <v>1</v>
      </c>
      <c r="AG156" s="21">
        <v>1</v>
      </c>
      <c r="AH156" s="21">
        <v>1</v>
      </c>
      <c r="AI156" s="21">
        <v>1</v>
      </c>
      <c r="AJ156" s="21">
        <v>1</v>
      </c>
      <c r="AK156" s="21">
        <v>1</v>
      </c>
      <c r="AL156" s="21">
        <v>1</v>
      </c>
      <c r="AM156" s="21">
        <v>1</v>
      </c>
      <c r="AN156" s="21">
        <v>1</v>
      </c>
      <c r="AO156" s="21">
        <v>1</v>
      </c>
      <c r="AP156" s="21">
        <v>1</v>
      </c>
      <c r="AQ156" s="21">
        <v>1</v>
      </c>
      <c r="AR156" s="21">
        <v>1</v>
      </c>
      <c r="AS156" s="21">
        <v>1</v>
      </c>
      <c r="AT156" s="21">
        <v>1</v>
      </c>
      <c r="AU156" s="21">
        <v>1</v>
      </c>
      <c r="AV156" s="21">
        <v>1</v>
      </c>
      <c r="AW156" s="21">
        <v>1</v>
      </c>
      <c r="AX156" s="21">
        <v>1</v>
      </c>
      <c r="AY156" s="21">
        <v>1</v>
      </c>
      <c r="AZ156" s="21">
        <v>1</v>
      </c>
      <c r="BA156" s="21">
        <v>1</v>
      </c>
      <c r="BB156" s="21">
        <v>1</v>
      </c>
      <c r="BC156" s="21">
        <v>1</v>
      </c>
      <c r="BD156" s="21">
        <v>1</v>
      </c>
      <c r="BE156" s="21">
        <v>1</v>
      </c>
      <c r="BF156" s="21">
        <v>1</v>
      </c>
      <c r="BG156" s="21">
        <v>1</v>
      </c>
      <c r="BH156" s="21">
        <v>1</v>
      </c>
      <c r="BI156">
        <f>-1/'vehicles specifications'!$M22</f>
        <v>-1</v>
      </c>
      <c r="BJ156">
        <f>-1/'vehicles specifications'!$M22</f>
        <v>-1</v>
      </c>
      <c r="BK156">
        <f>-1/'vehicles specifications'!$M22</f>
        <v>-1</v>
      </c>
    </row>
    <row r="157" spans="1:63" x14ac:dyDescent="0.3">
      <c r="A157" t="s">
        <v>537</v>
      </c>
      <c r="B157">
        <f t="shared" ref="B157:E160" si="4">1/20992</f>
        <v>4.7637195121951221E-5</v>
      </c>
      <c r="C157" s="2">
        <f>'vehicles specifications'!S23</f>
        <v>43200</v>
      </c>
      <c r="D157">
        <f t="shared" si="4"/>
        <v>4.7637195121951221E-5</v>
      </c>
      <c r="E157">
        <f t="shared" si="4"/>
        <v>4.7637195121951221E-5</v>
      </c>
      <c r="F157">
        <f>1+'vehicles specifications'!AD23</f>
        <v>1</v>
      </c>
      <c r="G157">
        <f>1+'vehicles specifications'!AD23</f>
        <v>1</v>
      </c>
      <c r="H157">
        <v>1</v>
      </c>
      <c r="I157">
        <v>1</v>
      </c>
      <c r="K157">
        <f>1/('fuels and tailpipe emissions'!$C$3*3.6)</f>
        <v>2.358490566037736E-2</v>
      </c>
      <c r="L157" s="21">
        <v>7.3099415204678359E-3</v>
      </c>
      <c r="M157">
        <f>1/'vehicles specifications'!J23/'vehicles specifications'!M23</f>
        <v>9.3984962406015038E-9</v>
      </c>
      <c r="N157" s="21">
        <v>1</v>
      </c>
      <c r="O157">
        <f>1/'vehicles specifications'!M23</f>
        <v>2.6315789473684209E-2</v>
      </c>
      <c r="P157" s="21">
        <f>-1/20992</f>
        <v>-4.7637195121951221E-5</v>
      </c>
      <c r="Q157" s="21">
        <f>-1/20992</f>
        <v>-4.7637195121951221E-5</v>
      </c>
      <c r="R157">
        <f>-1-'vehicles specifications'!AD23</f>
        <v>-1</v>
      </c>
      <c r="S157">
        <f>1/'vehicles specifications'!$M23</f>
        <v>2.6315789473684209E-2</v>
      </c>
      <c r="T157">
        <f>1/'vehicles specifications'!$M23</f>
        <v>2.6315789473684209E-2</v>
      </c>
      <c r="U157">
        <f>1/'vehicles specifications'!$M23</f>
        <v>2.6315789473684209E-2</v>
      </c>
      <c r="V157">
        <f>1/'vehicles specifications'!$M23</f>
        <v>2.6315789473684209E-2</v>
      </c>
      <c r="W157">
        <f>1/'vehicles specifications'!$M23</f>
        <v>2.6315789473684209E-2</v>
      </c>
      <c r="X157">
        <f>1/'vehicles specifications'!$M23</f>
        <v>2.6315789473684209E-2</v>
      </c>
      <c r="Y157">
        <f>1/'vehicles specifications'!$M23</f>
        <v>2.6315789473684209E-2</v>
      </c>
      <c r="Z157">
        <f>1/'vehicles specifications'!$M23</f>
        <v>2.6315789473684209E-2</v>
      </c>
      <c r="AA157">
        <f>1/'vehicles specifications'!$M23</f>
        <v>2.6315789473684209E-2</v>
      </c>
      <c r="AB157">
        <f>1/'vehicles specifications'!$M23</f>
        <v>2.6315789473684209E-2</v>
      </c>
      <c r="AC157" s="21">
        <f>1/'vehicles specifications'!$M23</f>
        <v>2.6315789473684209E-2</v>
      </c>
      <c r="AD157" s="21">
        <f>1/'vehicles specifications'!$M23</f>
        <v>2.6315789473684209E-2</v>
      </c>
      <c r="AE157" s="21">
        <f>1/'vehicles specifications'!$M23</f>
        <v>2.6315789473684209E-2</v>
      </c>
      <c r="AF157" s="21">
        <f>1/'vehicles specifications'!$M23</f>
        <v>2.6315789473684209E-2</v>
      </c>
      <c r="AG157" s="21">
        <f>1/'vehicles specifications'!$M23</f>
        <v>2.6315789473684209E-2</v>
      </c>
      <c r="AH157" s="21">
        <f>1/'vehicles specifications'!$M23</f>
        <v>2.6315789473684209E-2</v>
      </c>
      <c r="AI157" s="21">
        <f>1/'vehicles specifications'!$M23</f>
        <v>2.6315789473684209E-2</v>
      </c>
      <c r="AJ157" s="21">
        <f>1/'vehicles specifications'!$M23</f>
        <v>2.6315789473684209E-2</v>
      </c>
      <c r="AK157" s="21">
        <f>1/'vehicles specifications'!$M23</f>
        <v>2.6315789473684209E-2</v>
      </c>
      <c r="AL157" s="21">
        <f>1/'vehicles specifications'!$M23</f>
        <v>2.6315789473684209E-2</v>
      </c>
      <c r="AM157" s="21">
        <f>1/'vehicles specifications'!$M23</f>
        <v>2.6315789473684209E-2</v>
      </c>
      <c r="AN157" s="21">
        <f>1/'vehicles specifications'!$M23</f>
        <v>2.6315789473684209E-2</v>
      </c>
      <c r="AO157" s="21">
        <f>1/'vehicles specifications'!$M23</f>
        <v>2.6315789473684209E-2</v>
      </c>
      <c r="AP157" s="21">
        <f>1/'vehicles specifications'!$M23</f>
        <v>2.6315789473684209E-2</v>
      </c>
      <c r="AQ157" s="21">
        <f>1/'vehicles specifications'!$M23</f>
        <v>2.6315789473684209E-2</v>
      </c>
      <c r="AR157" s="21">
        <f>1/'vehicles specifications'!$M23</f>
        <v>2.6315789473684209E-2</v>
      </c>
      <c r="AS157" s="21">
        <f>1/'vehicles specifications'!$M23</f>
        <v>2.6315789473684209E-2</v>
      </c>
      <c r="AT157" s="21">
        <f>1/'vehicles specifications'!$M23</f>
        <v>2.6315789473684209E-2</v>
      </c>
      <c r="AU157" s="21">
        <f>1/'vehicles specifications'!$M23</f>
        <v>2.6315789473684209E-2</v>
      </c>
      <c r="AV157" s="21">
        <f>1/'vehicles specifications'!$M23</f>
        <v>2.6315789473684209E-2</v>
      </c>
      <c r="AW157" s="21">
        <f>1/'vehicles specifications'!$M23</f>
        <v>2.6315789473684209E-2</v>
      </c>
      <c r="AX157" s="21">
        <f>1/'vehicles specifications'!$M23</f>
        <v>2.6315789473684209E-2</v>
      </c>
      <c r="AY157" s="21">
        <f>1/'vehicles specifications'!$M23</f>
        <v>2.6315789473684209E-2</v>
      </c>
      <c r="AZ157" s="21">
        <f>1/'vehicles specifications'!$M23</f>
        <v>2.6315789473684209E-2</v>
      </c>
      <c r="BA157" s="21">
        <f>1/'vehicles specifications'!$M23</f>
        <v>2.6315789473684209E-2</v>
      </c>
      <c r="BB157" s="21">
        <f>1/'vehicles specifications'!$M23</f>
        <v>2.6315789473684209E-2</v>
      </c>
      <c r="BC157" s="21">
        <f>1/'vehicles specifications'!$M23</f>
        <v>2.6315789473684209E-2</v>
      </c>
      <c r="BD157" s="21">
        <f>1/'vehicles specifications'!$M23</f>
        <v>2.6315789473684209E-2</v>
      </c>
      <c r="BE157" s="21">
        <f>1/'vehicles specifications'!$M23</f>
        <v>2.6315789473684209E-2</v>
      </c>
      <c r="BF157" s="21">
        <f>1/'vehicles specifications'!$M23</f>
        <v>2.6315789473684209E-2</v>
      </c>
      <c r="BG157" s="21">
        <f>1/'vehicles specifications'!$M23</f>
        <v>2.6315789473684209E-2</v>
      </c>
      <c r="BH157" s="21">
        <f>1/'vehicles specifications'!$M23</f>
        <v>2.6315789473684209E-2</v>
      </c>
      <c r="BI157">
        <f>-1/'vehicles specifications'!$M23</f>
        <v>-2.6315789473684209E-2</v>
      </c>
      <c r="BJ157">
        <f>-1/'vehicles specifications'!$M23</f>
        <v>-2.6315789473684209E-2</v>
      </c>
      <c r="BK157">
        <f>-1/'vehicles specifications'!$M23</f>
        <v>-2.6315789473684209E-2</v>
      </c>
    </row>
    <row r="158" spans="1:63" x14ac:dyDescent="0.3">
      <c r="A158" t="s">
        <v>538</v>
      </c>
      <c r="B158">
        <f t="shared" si="4"/>
        <v>4.7637195121951221E-5</v>
      </c>
      <c r="C158" s="2">
        <f>'vehicles specifications'!S24</f>
        <v>43200</v>
      </c>
      <c r="D158">
        <f t="shared" si="4"/>
        <v>4.7637195121951221E-5</v>
      </c>
      <c r="E158">
        <f t="shared" si="4"/>
        <v>4.7637195121951221E-5</v>
      </c>
      <c r="F158">
        <f>1+'vehicles specifications'!AD24</f>
        <v>1</v>
      </c>
      <c r="G158">
        <f>1+'vehicles specifications'!AD24</f>
        <v>1</v>
      </c>
      <c r="H158">
        <v>1</v>
      </c>
      <c r="I158">
        <v>1</v>
      </c>
      <c r="K158">
        <f>1/('fuels and tailpipe emissions'!$C$3*3.6)</f>
        <v>2.358490566037736E-2</v>
      </c>
      <c r="L158" s="21">
        <v>7.3099415204678359E-3</v>
      </c>
      <c r="M158">
        <f>1/'vehicles specifications'!J24/'vehicles specifications'!M24</f>
        <v>9.3984962406015038E-9</v>
      </c>
      <c r="N158" s="21">
        <v>1</v>
      </c>
      <c r="O158">
        <f>1/'vehicles specifications'!M24</f>
        <v>2.6315789473684209E-2</v>
      </c>
      <c r="P158" s="21">
        <f t="shared" ref="P158:Q160" si="5">-1/20992</f>
        <v>-4.7637195121951221E-5</v>
      </c>
      <c r="Q158" s="21">
        <f t="shared" si="5"/>
        <v>-4.7637195121951221E-5</v>
      </c>
      <c r="R158">
        <f>-1-'vehicles specifications'!AD24</f>
        <v>-1</v>
      </c>
      <c r="S158">
        <f>1/'vehicles specifications'!$M24</f>
        <v>2.6315789473684209E-2</v>
      </c>
      <c r="T158">
        <f>1/'vehicles specifications'!$M24</f>
        <v>2.6315789473684209E-2</v>
      </c>
      <c r="U158">
        <f>1/'vehicles specifications'!$M24</f>
        <v>2.6315789473684209E-2</v>
      </c>
      <c r="V158">
        <f>1/'vehicles specifications'!$M24</f>
        <v>2.6315789473684209E-2</v>
      </c>
      <c r="W158">
        <f>1/'vehicles specifications'!$M24</f>
        <v>2.6315789473684209E-2</v>
      </c>
      <c r="X158">
        <f>1/'vehicles specifications'!$M24</f>
        <v>2.6315789473684209E-2</v>
      </c>
      <c r="Y158">
        <f>1/'vehicles specifications'!$M24</f>
        <v>2.6315789473684209E-2</v>
      </c>
      <c r="Z158">
        <f>1/'vehicles specifications'!$M24</f>
        <v>2.6315789473684209E-2</v>
      </c>
      <c r="AA158">
        <f>1/'vehicles specifications'!$M24</f>
        <v>2.6315789473684209E-2</v>
      </c>
      <c r="AB158">
        <f>1/'vehicles specifications'!$M24</f>
        <v>2.6315789473684209E-2</v>
      </c>
      <c r="AC158" s="21">
        <f>1/'vehicles specifications'!$M24</f>
        <v>2.6315789473684209E-2</v>
      </c>
      <c r="AD158" s="21">
        <f>1/'vehicles specifications'!$M24</f>
        <v>2.6315789473684209E-2</v>
      </c>
      <c r="AE158" s="21">
        <f>1/'vehicles specifications'!$M24</f>
        <v>2.6315789473684209E-2</v>
      </c>
      <c r="AF158" s="21">
        <f>1/'vehicles specifications'!$M24</f>
        <v>2.6315789473684209E-2</v>
      </c>
      <c r="AG158" s="21">
        <f>1/'vehicles specifications'!$M24</f>
        <v>2.6315789473684209E-2</v>
      </c>
      <c r="AH158" s="21">
        <f>1/'vehicles specifications'!$M24</f>
        <v>2.6315789473684209E-2</v>
      </c>
      <c r="AI158" s="21">
        <f>1/'vehicles specifications'!$M24</f>
        <v>2.6315789473684209E-2</v>
      </c>
      <c r="AJ158" s="21">
        <f>1/'vehicles specifications'!$M24</f>
        <v>2.6315789473684209E-2</v>
      </c>
      <c r="AK158" s="21">
        <f>1/'vehicles specifications'!$M24</f>
        <v>2.6315789473684209E-2</v>
      </c>
      <c r="AL158" s="21">
        <f>1/'vehicles specifications'!$M24</f>
        <v>2.6315789473684209E-2</v>
      </c>
      <c r="AM158" s="21">
        <f>1/'vehicles specifications'!$M24</f>
        <v>2.6315789473684209E-2</v>
      </c>
      <c r="AN158" s="21">
        <f>1/'vehicles specifications'!$M24</f>
        <v>2.6315789473684209E-2</v>
      </c>
      <c r="AO158" s="21">
        <f>1/'vehicles specifications'!$M24</f>
        <v>2.6315789473684209E-2</v>
      </c>
      <c r="AP158" s="21">
        <f>1/'vehicles specifications'!$M24</f>
        <v>2.6315789473684209E-2</v>
      </c>
      <c r="AQ158" s="21">
        <f>1/'vehicles specifications'!$M24</f>
        <v>2.6315789473684209E-2</v>
      </c>
      <c r="AR158" s="21">
        <f>1/'vehicles specifications'!$M24</f>
        <v>2.6315789473684209E-2</v>
      </c>
      <c r="AS158" s="21">
        <f>1/'vehicles specifications'!$M24</f>
        <v>2.6315789473684209E-2</v>
      </c>
      <c r="AT158" s="21">
        <f>1/'vehicles specifications'!$M24</f>
        <v>2.6315789473684209E-2</v>
      </c>
      <c r="AU158" s="21">
        <f>1/'vehicles specifications'!$M24</f>
        <v>2.6315789473684209E-2</v>
      </c>
      <c r="AV158" s="21">
        <f>1/'vehicles specifications'!$M24</f>
        <v>2.6315789473684209E-2</v>
      </c>
      <c r="AW158" s="21">
        <f>1/'vehicles specifications'!$M24</f>
        <v>2.6315789473684209E-2</v>
      </c>
      <c r="AX158" s="21">
        <f>1/'vehicles specifications'!$M24</f>
        <v>2.6315789473684209E-2</v>
      </c>
      <c r="AY158" s="21">
        <f>1/'vehicles specifications'!$M24</f>
        <v>2.6315789473684209E-2</v>
      </c>
      <c r="AZ158" s="21">
        <f>1/'vehicles specifications'!$M24</f>
        <v>2.6315789473684209E-2</v>
      </c>
      <c r="BA158" s="21">
        <f>1/'vehicles specifications'!$M24</f>
        <v>2.6315789473684209E-2</v>
      </c>
      <c r="BB158" s="21">
        <f>1/'vehicles specifications'!$M24</f>
        <v>2.6315789473684209E-2</v>
      </c>
      <c r="BC158" s="21">
        <f>1/'vehicles specifications'!$M24</f>
        <v>2.6315789473684209E-2</v>
      </c>
      <c r="BD158" s="21">
        <f>1/'vehicles specifications'!$M24</f>
        <v>2.6315789473684209E-2</v>
      </c>
      <c r="BE158" s="21">
        <f>1/'vehicles specifications'!$M24</f>
        <v>2.6315789473684209E-2</v>
      </c>
      <c r="BF158" s="21">
        <f>1/'vehicles specifications'!$M24</f>
        <v>2.6315789473684209E-2</v>
      </c>
      <c r="BG158" s="21">
        <f>1/'vehicles specifications'!$M24</f>
        <v>2.6315789473684209E-2</v>
      </c>
      <c r="BH158" s="21">
        <f>1/'vehicles specifications'!$M24</f>
        <v>2.6315789473684209E-2</v>
      </c>
      <c r="BI158">
        <f>-1/'vehicles specifications'!$M24</f>
        <v>-2.6315789473684209E-2</v>
      </c>
      <c r="BJ158">
        <f>-1/'vehicles specifications'!$M24</f>
        <v>-2.6315789473684209E-2</v>
      </c>
      <c r="BK158">
        <f>-1/'vehicles specifications'!$M24</f>
        <v>-2.6315789473684209E-2</v>
      </c>
    </row>
    <row r="159" spans="1:63" x14ac:dyDescent="0.3">
      <c r="A159" t="s">
        <v>539</v>
      </c>
      <c r="B159">
        <f t="shared" si="4"/>
        <v>4.7637195121951221E-5</v>
      </c>
      <c r="C159" s="2">
        <f>'vehicles specifications'!S25</f>
        <v>43200</v>
      </c>
      <c r="D159">
        <f t="shared" si="4"/>
        <v>4.7637195121951221E-5</v>
      </c>
      <c r="E159">
        <f t="shared" si="4"/>
        <v>4.7637195121951221E-5</v>
      </c>
      <c r="F159">
        <f>1+'vehicles specifications'!AD25</f>
        <v>1</v>
      </c>
      <c r="G159">
        <f>1+'vehicles specifications'!AD25</f>
        <v>1</v>
      </c>
      <c r="H159">
        <v>1</v>
      </c>
      <c r="I159">
        <v>1</v>
      </c>
      <c r="K159">
        <f>1/('fuels and tailpipe emissions'!$C$3*3.6)</f>
        <v>2.358490566037736E-2</v>
      </c>
      <c r="L159" s="21">
        <v>7.3099415204678359E-3</v>
      </c>
      <c r="M159">
        <f>1/'vehicles specifications'!J25/'vehicles specifications'!M25</f>
        <v>9.3984962406015038E-9</v>
      </c>
      <c r="N159" s="21">
        <v>1</v>
      </c>
      <c r="O159">
        <f>1/'vehicles specifications'!M25</f>
        <v>2.6315789473684209E-2</v>
      </c>
      <c r="P159" s="21">
        <f t="shared" si="5"/>
        <v>-4.7637195121951221E-5</v>
      </c>
      <c r="Q159" s="21">
        <f t="shared" si="5"/>
        <v>-4.7637195121951221E-5</v>
      </c>
      <c r="R159">
        <f>-1-'vehicles specifications'!AD25</f>
        <v>-1</v>
      </c>
      <c r="S159">
        <f>1/'vehicles specifications'!$M25</f>
        <v>2.6315789473684209E-2</v>
      </c>
      <c r="T159">
        <f>1/'vehicles specifications'!$M25</f>
        <v>2.6315789473684209E-2</v>
      </c>
      <c r="U159">
        <f>1/'vehicles specifications'!$M25</f>
        <v>2.6315789473684209E-2</v>
      </c>
      <c r="V159">
        <f>1/'vehicles specifications'!$M25</f>
        <v>2.6315789473684209E-2</v>
      </c>
      <c r="W159">
        <f>1/'vehicles specifications'!$M25</f>
        <v>2.6315789473684209E-2</v>
      </c>
      <c r="X159">
        <f>1/'vehicles specifications'!$M25</f>
        <v>2.6315789473684209E-2</v>
      </c>
      <c r="Y159">
        <f>1/'vehicles specifications'!$M25</f>
        <v>2.6315789473684209E-2</v>
      </c>
      <c r="Z159">
        <f>1/'vehicles specifications'!$M25</f>
        <v>2.6315789473684209E-2</v>
      </c>
      <c r="AA159">
        <f>1/'vehicles specifications'!$M25</f>
        <v>2.6315789473684209E-2</v>
      </c>
      <c r="AB159">
        <f>1/'vehicles specifications'!$M25</f>
        <v>2.6315789473684209E-2</v>
      </c>
      <c r="AC159" s="21">
        <f>1/'vehicles specifications'!$M25</f>
        <v>2.6315789473684209E-2</v>
      </c>
      <c r="AD159" s="21">
        <f>1/'vehicles specifications'!$M25</f>
        <v>2.6315789473684209E-2</v>
      </c>
      <c r="AE159" s="21">
        <f>1/'vehicles specifications'!$M25</f>
        <v>2.6315789473684209E-2</v>
      </c>
      <c r="AF159" s="21">
        <f>1/'vehicles specifications'!$M25</f>
        <v>2.6315789473684209E-2</v>
      </c>
      <c r="AG159" s="21">
        <f>1/'vehicles specifications'!$M25</f>
        <v>2.6315789473684209E-2</v>
      </c>
      <c r="AH159" s="21">
        <f>1/'vehicles specifications'!$M25</f>
        <v>2.6315789473684209E-2</v>
      </c>
      <c r="AI159" s="21">
        <f>1/'vehicles specifications'!$M25</f>
        <v>2.6315789473684209E-2</v>
      </c>
      <c r="AJ159" s="21">
        <f>1/'vehicles specifications'!$M25</f>
        <v>2.6315789473684209E-2</v>
      </c>
      <c r="AK159" s="21">
        <f>1/'vehicles specifications'!$M25</f>
        <v>2.6315789473684209E-2</v>
      </c>
      <c r="AL159" s="21">
        <f>1/'vehicles specifications'!$M25</f>
        <v>2.6315789473684209E-2</v>
      </c>
      <c r="AM159" s="21">
        <f>1/'vehicles specifications'!$M25</f>
        <v>2.6315789473684209E-2</v>
      </c>
      <c r="AN159" s="21">
        <f>1/'vehicles specifications'!$M25</f>
        <v>2.6315789473684209E-2</v>
      </c>
      <c r="AO159" s="21">
        <f>1/'vehicles specifications'!$M25</f>
        <v>2.6315789473684209E-2</v>
      </c>
      <c r="AP159" s="21">
        <f>1/'vehicles specifications'!$M25</f>
        <v>2.6315789473684209E-2</v>
      </c>
      <c r="AQ159" s="21">
        <f>1/'vehicles specifications'!$M25</f>
        <v>2.6315789473684209E-2</v>
      </c>
      <c r="AR159" s="21">
        <f>1/'vehicles specifications'!$M25</f>
        <v>2.6315789473684209E-2</v>
      </c>
      <c r="AS159" s="21">
        <f>1/'vehicles specifications'!$M25</f>
        <v>2.6315789473684209E-2</v>
      </c>
      <c r="AT159" s="21">
        <f>1/'vehicles specifications'!$M25</f>
        <v>2.6315789473684209E-2</v>
      </c>
      <c r="AU159" s="21">
        <f>1/'vehicles specifications'!$M25</f>
        <v>2.6315789473684209E-2</v>
      </c>
      <c r="AV159" s="21">
        <f>1/'vehicles specifications'!$M25</f>
        <v>2.6315789473684209E-2</v>
      </c>
      <c r="AW159" s="21">
        <f>1/'vehicles specifications'!$M25</f>
        <v>2.6315789473684209E-2</v>
      </c>
      <c r="AX159" s="21">
        <f>1/'vehicles specifications'!$M25</f>
        <v>2.6315789473684209E-2</v>
      </c>
      <c r="AY159" s="21">
        <f>1/'vehicles specifications'!$M25</f>
        <v>2.6315789473684209E-2</v>
      </c>
      <c r="AZ159" s="21">
        <f>1/'vehicles specifications'!$M25</f>
        <v>2.6315789473684209E-2</v>
      </c>
      <c r="BA159" s="21">
        <f>1/'vehicles specifications'!$M25</f>
        <v>2.6315789473684209E-2</v>
      </c>
      <c r="BB159" s="21">
        <f>1/'vehicles specifications'!$M25</f>
        <v>2.6315789473684209E-2</v>
      </c>
      <c r="BC159" s="21">
        <f>1/'vehicles specifications'!$M25</f>
        <v>2.6315789473684209E-2</v>
      </c>
      <c r="BD159" s="21">
        <f>1/'vehicles specifications'!$M25</f>
        <v>2.6315789473684209E-2</v>
      </c>
      <c r="BE159" s="21">
        <f>1/'vehicles specifications'!$M25</f>
        <v>2.6315789473684209E-2</v>
      </c>
      <c r="BF159" s="21">
        <f>1/'vehicles specifications'!$M25</f>
        <v>2.6315789473684209E-2</v>
      </c>
      <c r="BG159" s="21">
        <f>1/'vehicles specifications'!$M25</f>
        <v>2.6315789473684209E-2</v>
      </c>
      <c r="BH159" s="21">
        <f>1/'vehicles specifications'!$M25</f>
        <v>2.6315789473684209E-2</v>
      </c>
      <c r="BI159">
        <f>-1/'vehicles specifications'!$M25</f>
        <v>-2.6315789473684209E-2</v>
      </c>
      <c r="BJ159">
        <f>-1/'vehicles specifications'!$M25</f>
        <v>-2.6315789473684209E-2</v>
      </c>
      <c r="BK159">
        <f>-1/'vehicles specifications'!$M25</f>
        <v>-2.6315789473684209E-2</v>
      </c>
    </row>
    <row r="160" spans="1:63" x14ac:dyDescent="0.3">
      <c r="A160" t="s">
        <v>540</v>
      </c>
      <c r="B160">
        <f t="shared" si="4"/>
        <v>4.7637195121951221E-5</v>
      </c>
      <c r="C160" s="2">
        <f>'vehicles specifications'!S26</f>
        <v>43200</v>
      </c>
      <c r="D160">
        <f t="shared" si="4"/>
        <v>4.7637195121951221E-5</v>
      </c>
      <c r="E160">
        <f t="shared" si="4"/>
        <v>4.7637195121951221E-5</v>
      </c>
      <c r="F160">
        <f>1+'vehicles specifications'!AD26</f>
        <v>1</v>
      </c>
      <c r="G160">
        <f>1+'vehicles specifications'!AD26</f>
        <v>1</v>
      </c>
      <c r="H160">
        <v>1</v>
      </c>
      <c r="I160">
        <v>1</v>
      </c>
      <c r="K160">
        <f>1/('fuels and tailpipe emissions'!$C$3*3.6)</f>
        <v>2.358490566037736E-2</v>
      </c>
      <c r="L160" s="21">
        <v>7.3099415204678359E-3</v>
      </c>
      <c r="M160">
        <f>1/'vehicles specifications'!J26/'vehicles specifications'!M26</f>
        <v>9.3984962406015038E-9</v>
      </c>
      <c r="N160" s="21">
        <v>1</v>
      </c>
      <c r="O160">
        <f>1/'vehicles specifications'!M26</f>
        <v>2.6315789473684209E-2</v>
      </c>
      <c r="P160" s="21">
        <f t="shared" si="5"/>
        <v>-4.7637195121951221E-5</v>
      </c>
      <c r="Q160" s="21">
        <f t="shared" si="5"/>
        <v>-4.7637195121951221E-5</v>
      </c>
      <c r="R160">
        <f>-1-'vehicles specifications'!AD26</f>
        <v>-1</v>
      </c>
      <c r="S160">
        <f>1/'vehicles specifications'!$M26</f>
        <v>2.6315789473684209E-2</v>
      </c>
      <c r="T160">
        <f>1/'vehicles specifications'!$M26</f>
        <v>2.6315789473684209E-2</v>
      </c>
      <c r="U160">
        <f>1/'vehicles specifications'!$M26</f>
        <v>2.6315789473684209E-2</v>
      </c>
      <c r="V160">
        <f>1/'vehicles specifications'!$M26</f>
        <v>2.6315789473684209E-2</v>
      </c>
      <c r="W160">
        <f>1/'vehicles specifications'!$M26</f>
        <v>2.6315789473684209E-2</v>
      </c>
      <c r="X160">
        <f>1/'vehicles specifications'!$M26</f>
        <v>2.6315789473684209E-2</v>
      </c>
      <c r="Y160">
        <f>1/'vehicles specifications'!$M26</f>
        <v>2.6315789473684209E-2</v>
      </c>
      <c r="Z160">
        <f>1/'vehicles specifications'!$M26</f>
        <v>2.6315789473684209E-2</v>
      </c>
      <c r="AA160">
        <f>1/'vehicles specifications'!$M26</f>
        <v>2.6315789473684209E-2</v>
      </c>
      <c r="AB160">
        <f>1/'vehicles specifications'!$M26</f>
        <v>2.6315789473684209E-2</v>
      </c>
      <c r="AC160" s="21">
        <f>1/'vehicles specifications'!$M26</f>
        <v>2.6315789473684209E-2</v>
      </c>
      <c r="AD160" s="21">
        <f>1/'vehicles specifications'!$M26</f>
        <v>2.6315789473684209E-2</v>
      </c>
      <c r="AE160" s="21">
        <f>1/'vehicles specifications'!$M26</f>
        <v>2.6315789473684209E-2</v>
      </c>
      <c r="AF160" s="21">
        <f>1/'vehicles specifications'!$M26</f>
        <v>2.6315789473684209E-2</v>
      </c>
      <c r="AG160" s="21">
        <f>1/'vehicles specifications'!$M26</f>
        <v>2.6315789473684209E-2</v>
      </c>
      <c r="AH160" s="21">
        <f>1/'vehicles specifications'!$M26</f>
        <v>2.6315789473684209E-2</v>
      </c>
      <c r="AI160" s="21">
        <f>1/'vehicles specifications'!$M26</f>
        <v>2.6315789473684209E-2</v>
      </c>
      <c r="AJ160" s="21">
        <f>1/'vehicles specifications'!$M26</f>
        <v>2.6315789473684209E-2</v>
      </c>
      <c r="AK160" s="21">
        <f>1/'vehicles specifications'!$M26</f>
        <v>2.6315789473684209E-2</v>
      </c>
      <c r="AL160" s="21">
        <f>1/'vehicles specifications'!$M26</f>
        <v>2.6315789473684209E-2</v>
      </c>
      <c r="AM160" s="21">
        <f>1/'vehicles specifications'!$M26</f>
        <v>2.6315789473684209E-2</v>
      </c>
      <c r="AN160" s="21">
        <f>1/'vehicles specifications'!$M26</f>
        <v>2.6315789473684209E-2</v>
      </c>
      <c r="AO160" s="21">
        <f>1/'vehicles specifications'!$M26</f>
        <v>2.6315789473684209E-2</v>
      </c>
      <c r="AP160" s="21">
        <f>1/'vehicles specifications'!$M26</f>
        <v>2.6315789473684209E-2</v>
      </c>
      <c r="AQ160" s="21">
        <f>1/'vehicles specifications'!$M26</f>
        <v>2.6315789473684209E-2</v>
      </c>
      <c r="AR160" s="21">
        <f>1/'vehicles specifications'!$M26</f>
        <v>2.6315789473684209E-2</v>
      </c>
      <c r="AS160" s="21">
        <f>1/'vehicles specifications'!$M26</f>
        <v>2.6315789473684209E-2</v>
      </c>
      <c r="AT160" s="21">
        <f>1/'vehicles specifications'!$M26</f>
        <v>2.6315789473684209E-2</v>
      </c>
      <c r="AU160" s="21">
        <f>1/'vehicles specifications'!$M26</f>
        <v>2.6315789473684209E-2</v>
      </c>
      <c r="AV160" s="21">
        <f>1/'vehicles specifications'!$M26</f>
        <v>2.6315789473684209E-2</v>
      </c>
      <c r="AW160" s="21">
        <f>1/'vehicles specifications'!$M26</f>
        <v>2.6315789473684209E-2</v>
      </c>
      <c r="AX160" s="21">
        <f>1/'vehicles specifications'!$M26</f>
        <v>2.6315789473684209E-2</v>
      </c>
      <c r="AY160" s="21">
        <f>1/'vehicles specifications'!$M26</f>
        <v>2.6315789473684209E-2</v>
      </c>
      <c r="AZ160" s="21">
        <f>1/'vehicles specifications'!$M26</f>
        <v>2.6315789473684209E-2</v>
      </c>
      <c r="BA160" s="21">
        <f>1/'vehicles specifications'!$M26</f>
        <v>2.6315789473684209E-2</v>
      </c>
      <c r="BB160" s="21">
        <f>1/'vehicles specifications'!$M26</f>
        <v>2.6315789473684209E-2</v>
      </c>
      <c r="BC160" s="21">
        <f>1/'vehicles specifications'!$M26</f>
        <v>2.6315789473684209E-2</v>
      </c>
      <c r="BD160" s="21">
        <f>1/'vehicles specifications'!$M26</f>
        <v>2.6315789473684209E-2</v>
      </c>
      <c r="BE160" s="21">
        <f>1/'vehicles specifications'!$M26</f>
        <v>2.6315789473684209E-2</v>
      </c>
      <c r="BF160" s="21">
        <f>1/'vehicles specifications'!$M26</f>
        <v>2.6315789473684209E-2</v>
      </c>
      <c r="BG160" s="21">
        <f>1/'vehicles specifications'!$M26</f>
        <v>2.6315789473684209E-2</v>
      </c>
      <c r="BH160" s="21">
        <f>1/'vehicles specifications'!$M26</f>
        <v>2.6315789473684209E-2</v>
      </c>
      <c r="BI160">
        <f>-1/'vehicles specifications'!$M26</f>
        <v>-2.6315789473684209E-2</v>
      </c>
      <c r="BJ160">
        <f>-1/'vehicles specifications'!$M26</f>
        <v>-2.6315789473684209E-2</v>
      </c>
      <c r="BK160">
        <f>-1/'vehicles specifications'!$M26</f>
        <v>-2.6315789473684209E-2</v>
      </c>
    </row>
    <row r="161" spans="1:63" x14ac:dyDescent="0.3">
      <c r="A161" t="s">
        <v>648</v>
      </c>
      <c r="B161">
        <f t="shared" ref="B161:D178" si="6">1/90</f>
        <v>1.1111111111111112E-2</v>
      </c>
      <c r="C161" s="2">
        <f>'vehicles specifications'!S27</f>
        <v>41.962499999999999</v>
      </c>
      <c r="D161">
        <f t="shared" si="6"/>
        <v>1.1111111111111112E-2</v>
      </c>
      <c r="F161">
        <f>1+'vehicles specifications'!AD27</f>
        <v>1</v>
      </c>
      <c r="G161">
        <f>1+'vehicles specifications'!AD27</f>
        <v>1</v>
      </c>
      <c r="H161">
        <v>1</v>
      </c>
      <c r="I161">
        <v>1</v>
      </c>
      <c r="K161">
        <f>1/('fuels and tailpipe emissions'!$C$3*3.6)</f>
        <v>2.358490566037736E-2</v>
      </c>
      <c r="L161" s="21">
        <f>1/3.6*1.1</f>
        <v>0.30555555555555558</v>
      </c>
      <c r="M161">
        <f>1/'vehicles specifications'!J27</f>
        <v>2.9940119760479042E-5</v>
      </c>
      <c r="N161" s="21">
        <v>1</v>
      </c>
      <c r="O161">
        <f>1</f>
        <v>1</v>
      </c>
      <c r="P161">
        <v>-1</v>
      </c>
      <c r="Q161">
        <v>-1</v>
      </c>
      <c r="R161">
        <f>-1-'vehicles specifications'!AD27</f>
        <v>-1</v>
      </c>
      <c r="S161">
        <v>1</v>
      </c>
      <c r="T161">
        <v>1</v>
      </c>
      <c r="U161">
        <v>1</v>
      </c>
      <c r="V161">
        <v>1</v>
      </c>
      <c r="W161">
        <v>1</v>
      </c>
      <c r="X161">
        <v>1</v>
      </c>
      <c r="Y161">
        <v>1</v>
      </c>
      <c r="Z161">
        <v>1</v>
      </c>
      <c r="AA161">
        <v>1</v>
      </c>
      <c r="AB161">
        <v>1</v>
      </c>
      <c r="AC161" s="21">
        <v>1</v>
      </c>
      <c r="AD161" s="21">
        <v>1</v>
      </c>
      <c r="AE161" s="21">
        <v>1</v>
      </c>
      <c r="AF161" s="21">
        <v>1</v>
      </c>
      <c r="AG161" s="21">
        <v>1</v>
      </c>
      <c r="AH161" s="21">
        <v>1</v>
      </c>
      <c r="AI161" s="21">
        <v>1</v>
      </c>
      <c r="AJ161" s="21">
        <v>1</v>
      </c>
      <c r="AK161" s="21">
        <v>1</v>
      </c>
      <c r="AL161" s="21">
        <v>1</v>
      </c>
      <c r="AM161" s="21">
        <v>1</v>
      </c>
      <c r="AN161" s="21">
        <v>1</v>
      </c>
      <c r="AO161" s="21">
        <v>1</v>
      </c>
      <c r="AP161" s="21">
        <v>1</v>
      </c>
      <c r="AQ161" s="21">
        <v>1</v>
      </c>
      <c r="AR161" s="21">
        <v>1</v>
      </c>
      <c r="AS161" s="21">
        <v>1</v>
      </c>
      <c r="AT161" s="21">
        <v>1</v>
      </c>
      <c r="AU161" s="21">
        <v>1</v>
      </c>
      <c r="AV161" s="21">
        <v>1</v>
      </c>
      <c r="AW161" s="21">
        <v>1</v>
      </c>
      <c r="AX161" s="21">
        <v>1</v>
      </c>
      <c r="AY161" s="21">
        <v>1</v>
      </c>
      <c r="AZ161" s="21">
        <v>1</v>
      </c>
      <c r="BA161" s="21">
        <v>1</v>
      </c>
      <c r="BB161" s="21">
        <v>1</v>
      </c>
      <c r="BC161" s="21">
        <v>1</v>
      </c>
      <c r="BD161" s="21">
        <v>1</v>
      </c>
      <c r="BE161" s="21">
        <v>1</v>
      </c>
      <c r="BF161" s="21">
        <v>1</v>
      </c>
      <c r="BG161" s="21">
        <v>1</v>
      </c>
      <c r="BH161" s="21">
        <v>1</v>
      </c>
      <c r="BI161">
        <v>-1</v>
      </c>
      <c r="BJ161">
        <v>-1</v>
      </c>
      <c r="BK161">
        <v>-1</v>
      </c>
    </row>
    <row r="162" spans="1:63" x14ac:dyDescent="0.3">
      <c r="A162" t="s">
        <v>649</v>
      </c>
      <c r="B162">
        <f t="shared" si="6"/>
        <v>1.1111111111111112E-2</v>
      </c>
      <c r="C162" s="2">
        <f>'vehicles specifications'!S28</f>
        <v>41.962499999999999</v>
      </c>
      <c r="D162">
        <f t="shared" si="6"/>
        <v>1.1111111111111112E-2</v>
      </c>
      <c r="F162">
        <f>1+'vehicles specifications'!AD28</f>
        <v>1</v>
      </c>
      <c r="G162">
        <f>1+'vehicles specifications'!AD28</f>
        <v>1</v>
      </c>
      <c r="H162">
        <v>1</v>
      </c>
      <c r="I162">
        <v>1</v>
      </c>
      <c r="K162">
        <f>1/('fuels and tailpipe emissions'!$C$3*3.6)</f>
        <v>2.358490566037736E-2</v>
      </c>
      <c r="L162" s="21">
        <f t="shared" ref="L162:L213" si="7">1/3.6*1.1</f>
        <v>0.30555555555555558</v>
      </c>
      <c r="M162">
        <f>1/'vehicles specifications'!J28</f>
        <v>2.9940119760479042E-5</v>
      </c>
      <c r="N162" s="21">
        <v>1</v>
      </c>
      <c r="O162">
        <f>1</f>
        <v>1</v>
      </c>
      <c r="P162">
        <v>-1</v>
      </c>
      <c r="Q162">
        <v>-1</v>
      </c>
      <c r="R162">
        <f>-1-'vehicles specifications'!AD28</f>
        <v>-1</v>
      </c>
      <c r="S162">
        <v>1</v>
      </c>
      <c r="T162">
        <v>1</v>
      </c>
      <c r="U162">
        <v>1</v>
      </c>
      <c r="V162">
        <v>1</v>
      </c>
      <c r="W162">
        <v>1</v>
      </c>
      <c r="X162">
        <v>1</v>
      </c>
      <c r="Y162">
        <v>1</v>
      </c>
      <c r="Z162">
        <v>1</v>
      </c>
      <c r="AA162">
        <v>1</v>
      </c>
      <c r="AB162">
        <v>1</v>
      </c>
      <c r="AC162" s="21">
        <v>1</v>
      </c>
      <c r="AD162" s="21">
        <v>1</v>
      </c>
      <c r="AE162" s="21">
        <v>1</v>
      </c>
      <c r="AF162" s="21">
        <v>1</v>
      </c>
      <c r="AG162" s="21">
        <v>1</v>
      </c>
      <c r="AH162" s="21">
        <v>1</v>
      </c>
      <c r="AI162" s="21">
        <v>1</v>
      </c>
      <c r="AJ162" s="21">
        <v>1</v>
      </c>
      <c r="AK162" s="21">
        <v>1</v>
      </c>
      <c r="AL162" s="21">
        <v>1</v>
      </c>
      <c r="AM162" s="21">
        <v>1</v>
      </c>
      <c r="AN162" s="21">
        <v>1</v>
      </c>
      <c r="AO162" s="21">
        <v>1</v>
      </c>
      <c r="AP162" s="21">
        <v>1</v>
      </c>
      <c r="AQ162" s="21">
        <v>1</v>
      </c>
      <c r="AR162" s="21">
        <v>1</v>
      </c>
      <c r="AS162" s="21">
        <v>1</v>
      </c>
      <c r="AT162" s="21">
        <v>1</v>
      </c>
      <c r="AU162" s="21">
        <v>1</v>
      </c>
      <c r="AV162" s="21">
        <v>1</v>
      </c>
      <c r="AW162" s="21">
        <v>1</v>
      </c>
      <c r="AX162" s="21">
        <v>1</v>
      </c>
      <c r="AY162" s="21">
        <v>1</v>
      </c>
      <c r="AZ162" s="21">
        <v>1</v>
      </c>
      <c r="BA162" s="21">
        <v>1</v>
      </c>
      <c r="BB162" s="21">
        <v>1</v>
      </c>
      <c r="BC162" s="21">
        <v>1</v>
      </c>
      <c r="BD162" s="21">
        <v>1</v>
      </c>
      <c r="BE162" s="21">
        <v>1</v>
      </c>
      <c r="BF162" s="21">
        <v>1</v>
      </c>
      <c r="BG162" s="21">
        <v>1</v>
      </c>
      <c r="BH162" s="21">
        <v>1</v>
      </c>
      <c r="BI162">
        <v>-1</v>
      </c>
      <c r="BJ162">
        <v>-1</v>
      </c>
      <c r="BK162">
        <v>-1</v>
      </c>
    </row>
    <row r="163" spans="1:63" x14ac:dyDescent="0.3">
      <c r="A163" t="s">
        <v>650</v>
      </c>
      <c r="B163">
        <f t="shared" si="6"/>
        <v>1.1111111111111112E-2</v>
      </c>
      <c r="C163" s="2">
        <f>'vehicles specifications'!S29</f>
        <v>41.962499999999999</v>
      </c>
      <c r="D163">
        <f t="shared" si="6"/>
        <v>1.1111111111111112E-2</v>
      </c>
      <c r="F163">
        <f>1+'vehicles specifications'!AD29</f>
        <v>1</v>
      </c>
      <c r="G163">
        <f>1+'vehicles specifications'!AD29</f>
        <v>1</v>
      </c>
      <c r="H163">
        <v>1</v>
      </c>
      <c r="I163">
        <v>1</v>
      </c>
      <c r="K163">
        <f>1/('fuels and tailpipe emissions'!$C$3*3.6)</f>
        <v>2.358490566037736E-2</v>
      </c>
      <c r="L163" s="21">
        <f t="shared" si="7"/>
        <v>0.30555555555555558</v>
      </c>
      <c r="M163">
        <f>1/'vehicles specifications'!J29</f>
        <v>2.9940119760479042E-5</v>
      </c>
      <c r="N163" s="21">
        <v>1</v>
      </c>
      <c r="O163">
        <f>1</f>
        <v>1</v>
      </c>
      <c r="P163">
        <v>-1</v>
      </c>
      <c r="Q163">
        <v>-1</v>
      </c>
      <c r="R163">
        <f>-1-'vehicles specifications'!AD29</f>
        <v>-1</v>
      </c>
      <c r="S163">
        <v>1</v>
      </c>
      <c r="T163">
        <v>1</v>
      </c>
      <c r="U163">
        <v>1</v>
      </c>
      <c r="V163">
        <v>1</v>
      </c>
      <c r="W163">
        <v>1</v>
      </c>
      <c r="X163">
        <v>1</v>
      </c>
      <c r="Y163">
        <v>1</v>
      </c>
      <c r="Z163">
        <v>1</v>
      </c>
      <c r="AA163">
        <v>1</v>
      </c>
      <c r="AB163">
        <v>1</v>
      </c>
      <c r="AC163" s="21">
        <v>1</v>
      </c>
      <c r="AD163" s="21">
        <v>1</v>
      </c>
      <c r="AE163" s="21">
        <v>1</v>
      </c>
      <c r="AF163" s="21">
        <v>1</v>
      </c>
      <c r="AG163" s="21">
        <v>1</v>
      </c>
      <c r="AH163" s="21">
        <v>1</v>
      </c>
      <c r="AI163" s="21">
        <v>1</v>
      </c>
      <c r="AJ163" s="21">
        <v>1</v>
      </c>
      <c r="AK163" s="21">
        <v>1</v>
      </c>
      <c r="AL163" s="21">
        <v>1</v>
      </c>
      <c r="AM163" s="21">
        <v>1</v>
      </c>
      <c r="AN163" s="21">
        <v>1</v>
      </c>
      <c r="AO163" s="21">
        <v>1</v>
      </c>
      <c r="AP163" s="21">
        <v>1</v>
      </c>
      <c r="AQ163" s="21">
        <v>1</v>
      </c>
      <c r="AR163" s="21">
        <v>1</v>
      </c>
      <c r="AS163" s="21">
        <v>1</v>
      </c>
      <c r="AT163" s="21">
        <v>1</v>
      </c>
      <c r="AU163" s="21">
        <v>1</v>
      </c>
      <c r="AV163" s="21">
        <v>1</v>
      </c>
      <c r="AW163" s="21">
        <v>1</v>
      </c>
      <c r="AX163" s="21">
        <v>1</v>
      </c>
      <c r="AY163" s="21">
        <v>1</v>
      </c>
      <c r="AZ163" s="21">
        <v>1</v>
      </c>
      <c r="BA163" s="21">
        <v>1</v>
      </c>
      <c r="BB163" s="21">
        <v>1</v>
      </c>
      <c r="BC163" s="21">
        <v>1</v>
      </c>
      <c r="BD163" s="21">
        <v>1</v>
      </c>
      <c r="BE163" s="21">
        <v>1</v>
      </c>
      <c r="BF163" s="21">
        <v>1</v>
      </c>
      <c r="BG163" s="21">
        <v>1</v>
      </c>
      <c r="BH163" s="21">
        <v>1</v>
      </c>
      <c r="BI163">
        <v>-1</v>
      </c>
      <c r="BJ163">
        <v>-1</v>
      </c>
      <c r="BK163">
        <v>-1</v>
      </c>
    </row>
    <row r="164" spans="1:63" x14ac:dyDescent="0.3">
      <c r="A164" t="s">
        <v>651</v>
      </c>
      <c r="B164">
        <f t="shared" si="6"/>
        <v>1.1111111111111112E-2</v>
      </c>
      <c r="C164" s="2">
        <f>'vehicles specifications'!S30</f>
        <v>42.362499999999997</v>
      </c>
      <c r="D164">
        <f t="shared" si="6"/>
        <v>1.1111111111111112E-2</v>
      </c>
      <c r="F164">
        <f>1+'vehicles specifications'!AD30</f>
        <v>1</v>
      </c>
      <c r="G164">
        <f>1+'vehicles specifications'!AD30</f>
        <v>1</v>
      </c>
      <c r="H164">
        <v>1</v>
      </c>
      <c r="I164">
        <v>1</v>
      </c>
      <c r="K164">
        <f>1/('fuels and tailpipe emissions'!$C$3*3.6)</f>
        <v>2.358490566037736E-2</v>
      </c>
      <c r="L164" s="21">
        <f t="shared" si="7"/>
        <v>0.30555555555555558</v>
      </c>
      <c r="M164">
        <f>1/'vehicles specifications'!J30</f>
        <v>2.9940119760479042E-5</v>
      </c>
      <c r="N164" s="21">
        <v>1</v>
      </c>
      <c r="O164">
        <f>1</f>
        <v>1</v>
      </c>
      <c r="P164">
        <v>-1</v>
      </c>
      <c r="Q164">
        <v>-1</v>
      </c>
      <c r="R164">
        <f>-1-'vehicles specifications'!AD30</f>
        <v>-1</v>
      </c>
      <c r="S164">
        <v>1</v>
      </c>
      <c r="T164">
        <v>1</v>
      </c>
      <c r="U164">
        <v>1</v>
      </c>
      <c r="V164">
        <v>1</v>
      </c>
      <c r="W164">
        <v>1</v>
      </c>
      <c r="X164">
        <v>1</v>
      </c>
      <c r="Y164">
        <v>1</v>
      </c>
      <c r="Z164">
        <v>1</v>
      </c>
      <c r="AA164">
        <v>1</v>
      </c>
      <c r="AB164">
        <v>1</v>
      </c>
      <c r="AC164" s="21">
        <v>1</v>
      </c>
      <c r="AD164" s="21">
        <v>1</v>
      </c>
      <c r="AE164" s="21">
        <v>1</v>
      </c>
      <c r="AF164" s="21">
        <v>1</v>
      </c>
      <c r="AG164" s="21">
        <v>1</v>
      </c>
      <c r="AH164" s="21">
        <v>1</v>
      </c>
      <c r="AI164" s="21">
        <v>1</v>
      </c>
      <c r="AJ164" s="21">
        <v>1</v>
      </c>
      <c r="AK164" s="21">
        <v>1</v>
      </c>
      <c r="AL164" s="21">
        <v>1</v>
      </c>
      <c r="AM164" s="21">
        <v>1</v>
      </c>
      <c r="AN164" s="21">
        <v>1</v>
      </c>
      <c r="AO164" s="21">
        <v>1</v>
      </c>
      <c r="AP164" s="21">
        <v>1</v>
      </c>
      <c r="AQ164" s="21">
        <v>1</v>
      </c>
      <c r="AR164" s="21">
        <v>1</v>
      </c>
      <c r="AS164" s="21">
        <v>1</v>
      </c>
      <c r="AT164" s="21">
        <v>1</v>
      </c>
      <c r="AU164" s="21">
        <v>1</v>
      </c>
      <c r="AV164" s="21">
        <v>1</v>
      </c>
      <c r="AW164" s="21">
        <v>1</v>
      </c>
      <c r="AX164" s="21">
        <v>1</v>
      </c>
      <c r="AY164" s="21">
        <v>1</v>
      </c>
      <c r="AZ164" s="21">
        <v>1</v>
      </c>
      <c r="BA164" s="21">
        <v>1</v>
      </c>
      <c r="BB164" s="21">
        <v>1</v>
      </c>
      <c r="BC164" s="21">
        <v>1</v>
      </c>
      <c r="BD164" s="21">
        <v>1</v>
      </c>
      <c r="BE164" s="21">
        <v>1</v>
      </c>
      <c r="BF164" s="21">
        <v>1</v>
      </c>
      <c r="BG164" s="21">
        <v>1</v>
      </c>
      <c r="BH164" s="21">
        <v>1</v>
      </c>
      <c r="BI164">
        <v>-1</v>
      </c>
      <c r="BJ164">
        <v>-1</v>
      </c>
      <c r="BK164">
        <v>-1</v>
      </c>
    </row>
    <row r="165" spans="1:63" x14ac:dyDescent="0.3">
      <c r="A165" t="s">
        <v>652</v>
      </c>
      <c r="B165">
        <f t="shared" si="6"/>
        <v>1.1111111111111112E-2</v>
      </c>
      <c r="C165" s="2">
        <f>'vehicles specifications'!S31</f>
        <v>42.862499999999997</v>
      </c>
      <c r="D165">
        <f t="shared" si="6"/>
        <v>1.1111111111111112E-2</v>
      </c>
      <c r="F165">
        <f>1+'vehicles specifications'!AD31</f>
        <v>1</v>
      </c>
      <c r="G165">
        <f>1+'vehicles specifications'!AD31</f>
        <v>1</v>
      </c>
      <c r="H165">
        <v>1</v>
      </c>
      <c r="I165">
        <v>1</v>
      </c>
      <c r="K165">
        <f>1/('fuels and tailpipe emissions'!$C$3*3.6)</f>
        <v>2.358490566037736E-2</v>
      </c>
      <c r="L165" s="21">
        <f t="shared" si="7"/>
        <v>0.30555555555555558</v>
      </c>
      <c r="M165">
        <f>1/'vehicles specifications'!J31</f>
        <v>2.9940119760479042E-5</v>
      </c>
      <c r="N165" s="21">
        <v>1</v>
      </c>
      <c r="O165">
        <f>1</f>
        <v>1</v>
      </c>
      <c r="P165">
        <v>-1</v>
      </c>
      <c r="Q165">
        <v>-1</v>
      </c>
      <c r="R165">
        <f>-1-'vehicles specifications'!AD31</f>
        <v>-1</v>
      </c>
      <c r="S165">
        <v>1</v>
      </c>
      <c r="T165">
        <v>1</v>
      </c>
      <c r="U165">
        <v>1</v>
      </c>
      <c r="V165">
        <v>1</v>
      </c>
      <c r="W165">
        <v>1</v>
      </c>
      <c r="X165">
        <v>1</v>
      </c>
      <c r="Y165">
        <v>1</v>
      </c>
      <c r="Z165">
        <v>1</v>
      </c>
      <c r="AA165">
        <v>1</v>
      </c>
      <c r="AB165">
        <v>1</v>
      </c>
      <c r="AC165" s="21">
        <v>1</v>
      </c>
      <c r="AD165" s="21">
        <v>1</v>
      </c>
      <c r="AE165" s="21">
        <v>1</v>
      </c>
      <c r="AF165" s="21">
        <v>1</v>
      </c>
      <c r="AG165" s="21">
        <v>1</v>
      </c>
      <c r="AH165" s="21">
        <v>1</v>
      </c>
      <c r="AI165" s="21">
        <v>1</v>
      </c>
      <c r="AJ165" s="21">
        <v>1</v>
      </c>
      <c r="AK165" s="21">
        <v>1</v>
      </c>
      <c r="AL165" s="21">
        <v>1</v>
      </c>
      <c r="AM165" s="21">
        <v>1</v>
      </c>
      <c r="AN165" s="21">
        <v>1</v>
      </c>
      <c r="AO165" s="21">
        <v>1</v>
      </c>
      <c r="AP165" s="21">
        <v>1</v>
      </c>
      <c r="AQ165" s="21">
        <v>1</v>
      </c>
      <c r="AR165" s="21">
        <v>1</v>
      </c>
      <c r="AS165" s="21">
        <v>1</v>
      </c>
      <c r="AT165" s="21">
        <v>1</v>
      </c>
      <c r="AU165" s="21">
        <v>1</v>
      </c>
      <c r="AV165" s="21">
        <v>1</v>
      </c>
      <c r="AW165" s="21">
        <v>1</v>
      </c>
      <c r="AX165" s="21">
        <v>1</v>
      </c>
      <c r="AY165" s="21">
        <v>1</v>
      </c>
      <c r="AZ165" s="21">
        <v>1</v>
      </c>
      <c r="BA165" s="21">
        <v>1</v>
      </c>
      <c r="BB165" s="21">
        <v>1</v>
      </c>
      <c r="BC165" s="21">
        <v>1</v>
      </c>
      <c r="BD165" s="21">
        <v>1</v>
      </c>
      <c r="BE165" s="21">
        <v>1</v>
      </c>
      <c r="BF165" s="21">
        <v>1</v>
      </c>
      <c r="BG165" s="21">
        <v>1</v>
      </c>
      <c r="BH165" s="21">
        <v>1</v>
      </c>
      <c r="BI165">
        <v>-1</v>
      </c>
      <c r="BJ165">
        <v>-1</v>
      </c>
      <c r="BK165">
        <v>-1</v>
      </c>
    </row>
    <row r="166" spans="1:63" x14ac:dyDescent="0.3">
      <c r="A166" t="s">
        <v>653</v>
      </c>
      <c r="B166">
        <f t="shared" si="6"/>
        <v>1.1111111111111112E-2</v>
      </c>
      <c r="C166" s="2">
        <f>'vehicles specifications'!S32</f>
        <v>43.262500000000003</v>
      </c>
      <c r="D166">
        <f t="shared" si="6"/>
        <v>1.1111111111111112E-2</v>
      </c>
      <c r="F166">
        <f>1+'vehicles specifications'!AD32</f>
        <v>1</v>
      </c>
      <c r="G166">
        <f>1+'vehicles specifications'!AD32</f>
        <v>1</v>
      </c>
      <c r="H166">
        <v>1</v>
      </c>
      <c r="I166">
        <v>1</v>
      </c>
      <c r="K166">
        <f>1/('fuels and tailpipe emissions'!$C$3*3.6)</f>
        <v>2.358490566037736E-2</v>
      </c>
      <c r="L166" s="21">
        <f t="shared" si="7"/>
        <v>0.30555555555555558</v>
      </c>
      <c r="M166">
        <f>1/'vehicles specifications'!J32</f>
        <v>2.9940119760479042E-5</v>
      </c>
      <c r="N166" s="21">
        <v>1</v>
      </c>
      <c r="O166">
        <f>1</f>
        <v>1</v>
      </c>
      <c r="P166">
        <v>-1</v>
      </c>
      <c r="Q166">
        <v>-1</v>
      </c>
      <c r="R166">
        <f>-1-'vehicles specifications'!AD32</f>
        <v>-1</v>
      </c>
      <c r="S166">
        <v>1</v>
      </c>
      <c r="T166">
        <v>1</v>
      </c>
      <c r="U166">
        <v>1</v>
      </c>
      <c r="V166">
        <v>1</v>
      </c>
      <c r="W166">
        <v>1</v>
      </c>
      <c r="X166">
        <v>1</v>
      </c>
      <c r="Y166">
        <v>1</v>
      </c>
      <c r="Z166">
        <v>1</v>
      </c>
      <c r="AA166">
        <v>1</v>
      </c>
      <c r="AB166">
        <v>1</v>
      </c>
      <c r="AC166" s="21">
        <v>1</v>
      </c>
      <c r="AD166" s="21">
        <v>1</v>
      </c>
      <c r="AE166" s="21">
        <v>1</v>
      </c>
      <c r="AF166" s="21">
        <v>1</v>
      </c>
      <c r="AG166" s="21">
        <v>1</v>
      </c>
      <c r="AH166" s="21">
        <v>1</v>
      </c>
      <c r="AI166" s="21">
        <v>1</v>
      </c>
      <c r="AJ166" s="21">
        <v>1</v>
      </c>
      <c r="AK166" s="21">
        <v>1</v>
      </c>
      <c r="AL166" s="21">
        <v>1</v>
      </c>
      <c r="AM166" s="21">
        <v>1</v>
      </c>
      <c r="AN166" s="21">
        <v>1</v>
      </c>
      <c r="AO166" s="21">
        <v>1</v>
      </c>
      <c r="AP166" s="21">
        <v>1</v>
      </c>
      <c r="AQ166" s="21">
        <v>1</v>
      </c>
      <c r="AR166" s="21">
        <v>1</v>
      </c>
      <c r="AS166" s="21">
        <v>1</v>
      </c>
      <c r="AT166" s="21">
        <v>1</v>
      </c>
      <c r="AU166" s="21">
        <v>1</v>
      </c>
      <c r="AV166" s="21">
        <v>1</v>
      </c>
      <c r="AW166" s="21">
        <v>1</v>
      </c>
      <c r="AX166" s="21">
        <v>1</v>
      </c>
      <c r="AY166" s="21">
        <v>1</v>
      </c>
      <c r="AZ166" s="21">
        <v>1</v>
      </c>
      <c r="BA166" s="21">
        <v>1</v>
      </c>
      <c r="BB166" s="21">
        <v>1</v>
      </c>
      <c r="BC166" s="21">
        <v>1</v>
      </c>
      <c r="BD166" s="21">
        <v>1</v>
      </c>
      <c r="BE166" s="21">
        <v>1</v>
      </c>
      <c r="BF166" s="21">
        <v>1</v>
      </c>
      <c r="BG166" s="21">
        <v>1</v>
      </c>
      <c r="BH166" s="21">
        <v>1</v>
      </c>
      <c r="BI166">
        <v>-1</v>
      </c>
      <c r="BJ166">
        <v>-1</v>
      </c>
      <c r="BK166">
        <v>-1</v>
      </c>
    </row>
    <row r="167" spans="1:63" s="21" customFormat="1" x14ac:dyDescent="0.3">
      <c r="A167" s="21" t="s">
        <v>682</v>
      </c>
      <c r="B167" s="21">
        <f t="shared" si="6"/>
        <v>1.1111111111111112E-2</v>
      </c>
      <c r="C167" s="2">
        <f>'vehicles specifications'!S33</f>
        <v>53</v>
      </c>
      <c r="D167" s="21">
        <f t="shared" si="6"/>
        <v>1.1111111111111112E-2</v>
      </c>
      <c r="F167" s="21">
        <f>1+'vehicles specifications'!AD33</f>
        <v>1</v>
      </c>
      <c r="G167" s="21">
        <f>1+'vehicles specifications'!AD33</f>
        <v>1</v>
      </c>
      <c r="H167" s="21">
        <v>1</v>
      </c>
      <c r="I167" s="21">
        <v>1</v>
      </c>
      <c r="K167" s="21">
        <f>1/('fuels and tailpipe emissions'!$C$3*3.6)</f>
        <v>2.358490566037736E-2</v>
      </c>
      <c r="L167" s="21">
        <f t="shared" si="7"/>
        <v>0.30555555555555558</v>
      </c>
      <c r="M167" s="21">
        <f>1/'vehicles specifications'!J33</f>
        <v>2.9940119760479042E-5</v>
      </c>
      <c r="N167" s="21">
        <v>1</v>
      </c>
      <c r="O167" s="21">
        <f>1</f>
        <v>1</v>
      </c>
      <c r="P167" s="21">
        <v>-1</v>
      </c>
      <c r="Q167" s="21">
        <v>-1</v>
      </c>
      <c r="R167" s="21">
        <f>-1-'vehicles specifications'!AD33</f>
        <v>-1</v>
      </c>
      <c r="S167" s="21">
        <v>1</v>
      </c>
      <c r="T167" s="21">
        <v>1</v>
      </c>
      <c r="U167" s="21">
        <v>1</v>
      </c>
      <c r="V167" s="21">
        <v>1</v>
      </c>
      <c r="W167" s="21">
        <v>1</v>
      </c>
      <c r="X167" s="21">
        <v>1</v>
      </c>
      <c r="Y167" s="21">
        <v>1</v>
      </c>
      <c r="Z167" s="21">
        <v>1</v>
      </c>
      <c r="AA167" s="21">
        <v>1</v>
      </c>
      <c r="AB167" s="21">
        <v>1</v>
      </c>
      <c r="AC167" s="21">
        <v>1</v>
      </c>
      <c r="AD167" s="21">
        <v>1</v>
      </c>
      <c r="AE167" s="21">
        <v>1</v>
      </c>
      <c r="AF167" s="21">
        <v>1</v>
      </c>
      <c r="AG167" s="21">
        <v>1</v>
      </c>
      <c r="AH167" s="21">
        <v>1</v>
      </c>
      <c r="AI167" s="21">
        <v>1</v>
      </c>
      <c r="AJ167" s="21">
        <v>1</v>
      </c>
      <c r="AK167" s="21">
        <v>1</v>
      </c>
      <c r="AL167" s="21">
        <v>1</v>
      </c>
      <c r="AM167" s="21">
        <v>1</v>
      </c>
      <c r="AN167" s="21">
        <v>1</v>
      </c>
      <c r="AO167" s="21">
        <v>1</v>
      </c>
      <c r="AP167" s="21">
        <v>1</v>
      </c>
      <c r="AQ167" s="21">
        <v>1</v>
      </c>
      <c r="AR167" s="21">
        <v>1</v>
      </c>
      <c r="AS167" s="21">
        <v>1</v>
      </c>
      <c r="AT167" s="21">
        <v>1</v>
      </c>
      <c r="AU167" s="21">
        <v>1</v>
      </c>
      <c r="AV167" s="21">
        <v>1</v>
      </c>
      <c r="AW167" s="21">
        <v>1</v>
      </c>
      <c r="AX167" s="21">
        <v>1</v>
      </c>
      <c r="AY167" s="21">
        <v>1</v>
      </c>
      <c r="AZ167" s="21">
        <v>1</v>
      </c>
      <c r="BA167" s="21">
        <v>1</v>
      </c>
      <c r="BB167" s="21">
        <v>1</v>
      </c>
      <c r="BC167" s="21">
        <v>1</v>
      </c>
      <c r="BD167" s="21">
        <v>1</v>
      </c>
      <c r="BE167" s="21">
        <v>1</v>
      </c>
      <c r="BF167" s="21">
        <v>1</v>
      </c>
      <c r="BG167" s="21">
        <v>1</v>
      </c>
      <c r="BH167" s="21">
        <v>1</v>
      </c>
      <c r="BI167" s="21">
        <v>-1</v>
      </c>
      <c r="BJ167" s="21">
        <v>-1</v>
      </c>
      <c r="BK167" s="21">
        <v>-1</v>
      </c>
    </row>
    <row r="168" spans="1:63" s="21" customFormat="1" x14ac:dyDescent="0.3">
      <c r="A168" s="21" t="s">
        <v>683</v>
      </c>
      <c r="B168" s="21">
        <f t="shared" si="6"/>
        <v>1.1111111111111112E-2</v>
      </c>
      <c r="C168" s="2">
        <f>'vehicles specifications'!S34</f>
        <v>53</v>
      </c>
      <c r="D168" s="21">
        <f t="shared" si="6"/>
        <v>1.1111111111111112E-2</v>
      </c>
      <c r="F168" s="21">
        <f>1+'vehicles specifications'!AD34</f>
        <v>1</v>
      </c>
      <c r="G168" s="21">
        <f>1+'vehicles specifications'!AD34</f>
        <v>1</v>
      </c>
      <c r="H168" s="21">
        <v>1</v>
      </c>
      <c r="I168" s="21">
        <v>1</v>
      </c>
      <c r="K168" s="21">
        <f>1/('fuels and tailpipe emissions'!$C$3*3.6)</f>
        <v>2.358490566037736E-2</v>
      </c>
      <c r="L168" s="21">
        <f t="shared" si="7"/>
        <v>0.30555555555555558</v>
      </c>
      <c r="M168" s="21">
        <f>1/'vehicles specifications'!J34</f>
        <v>2.9940119760479042E-5</v>
      </c>
      <c r="N168" s="21">
        <v>1</v>
      </c>
      <c r="O168" s="21">
        <f>1</f>
        <v>1</v>
      </c>
      <c r="P168" s="21">
        <v>-1</v>
      </c>
      <c r="Q168" s="21">
        <v>-1</v>
      </c>
      <c r="R168" s="21">
        <f>-1-'vehicles specifications'!AD34</f>
        <v>-1</v>
      </c>
      <c r="S168" s="21">
        <v>1</v>
      </c>
      <c r="T168" s="21">
        <v>1</v>
      </c>
      <c r="U168" s="21">
        <v>1</v>
      </c>
      <c r="V168" s="21">
        <v>1</v>
      </c>
      <c r="W168" s="21">
        <v>1</v>
      </c>
      <c r="X168" s="21">
        <v>1</v>
      </c>
      <c r="Y168" s="21">
        <v>1</v>
      </c>
      <c r="Z168" s="21">
        <v>1</v>
      </c>
      <c r="AA168" s="21">
        <v>1</v>
      </c>
      <c r="AB168" s="21">
        <v>1</v>
      </c>
      <c r="AC168" s="21">
        <v>1</v>
      </c>
      <c r="AD168" s="21">
        <v>1</v>
      </c>
      <c r="AE168" s="21">
        <v>1</v>
      </c>
      <c r="AF168" s="21">
        <v>1</v>
      </c>
      <c r="AG168" s="21">
        <v>1</v>
      </c>
      <c r="AH168" s="21">
        <v>1</v>
      </c>
      <c r="AI168" s="21">
        <v>1</v>
      </c>
      <c r="AJ168" s="21">
        <v>1</v>
      </c>
      <c r="AK168" s="21">
        <v>1</v>
      </c>
      <c r="AL168" s="21">
        <v>1</v>
      </c>
      <c r="AM168" s="21">
        <v>1</v>
      </c>
      <c r="AN168" s="21">
        <v>1</v>
      </c>
      <c r="AO168" s="21">
        <v>1</v>
      </c>
      <c r="AP168" s="21">
        <v>1</v>
      </c>
      <c r="AQ168" s="21">
        <v>1</v>
      </c>
      <c r="AR168" s="21">
        <v>1</v>
      </c>
      <c r="AS168" s="21">
        <v>1</v>
      </c>
      <c r="AT168" s="21">
        <v>1</v>
      </c>
      <c r="AU168" s="21">
        <v>1</v>
      </c>
      <c r="AV168" s="21">
        <v>1</v>
      </c>
      <c r="AW168" s="21">
        <v>1</v>
      </c>
      <c r="AX168" s="21">
        <v>1</v>
      </c>
      <c r="AY168" s="21">
        <v>1</v>
      </c>
      <c r="AZ168" s="21">
        <v>1</v>
      </c>
      <c r="BA168" s="21">
        <v>1</v>
      </c>
      <c r="BB168" s="21">
        <v>1</v>
      </c>
      <c r="BC168" s="21">
        <v>1</v>
      </c>
      <c r="BD168" s="21">
        <v>1</v>
      </c>
      <c r="BE168" s="21">
        <v>1</v>
      </c>
      <c r="BF168" s="21">
        <v>1</v>
      </c>
      <c r="BG168" s="21">
        <v>1</v>
      </c>
      <c r="BH168" s="21">
        <v>1</v>
      </c>
      <c r="BI168" s="21">
        <v>-1</v>
      </c>
      <c r="BJ168" s="21">
        <v>-1</v>
      </c>
      <c r="BK168" s="21">
        <v>-1</v>
      </c>
    </row>
    <row r="169" spans="1:63" s="21" customFormat="1" x14ac:dyDescent="0.3">
      <c r="A169" s="21" t="s">
        <v>684</v>
      </c>
      <c r="B169" s="21">
        <f t="shared" si="6"/>
        <v>1.1111111111111112E-2</v>
      </c>
      <c r="C169" s="2">
        <f>'vehicles specifications'!S35</f>
        <v>53</v>
      </c>
      <c r="D169" s="21">
        <f t="shared" si="6"/>
        <v>1.1111111111111112E-2</v>
      </c>
      <c r="F169" s="21">
        <f>1+'vehicles specifications'!AD35</f>
        <v>1</v>
      </c>
      <c r="G169" s="21">
        <f>1+'vehicles specifications'!AD35</f>
        <v>1</v>
      </c>
      <c r="H169" s="21">
        <v>1</v>
      </c>
      <c r="I169" s="21">
        <v>1</v>
      </c>
      <c r="K169" s="21">
        <f>1/('fuels and tailpipe emissions'!$C$3*3.6)</f>
        <v>2.358490566037736E-2</v>
      </c>
      <c r="L169" s="21">
        <f t="shared" si="7"/>
        <v>0.30555555555555558</v>
      </c>
      <c r="M169" s="21">
        <f>1/'vehicles specifications'!J35</f>
        <v>2.9940119760479042E-5</v>
      </c>
      <c r="N169" s="21">
        <v>1</v>
      </c>
      <c r="O169" s="21">
        <f>1</f>
        <v>1</v>
      </c>
      <c r="P169" s="21">
        <v>-1</v>
      </c>
      <c r="Q169" s="21">
        <v>-1</v>
      </c>
      <c r="R169" s="21">
        <f>-1-'vehicles specifications'!AD35</f>
        <v>-1</v>
      </c>
      <c r="S169" s="21">
        <v>1</v>
      </c>
      <c r="T169" s="21">
        <v>1</v>
      </c>
      <c r="U169" s="21">
        <v>1</v>
      </c>
      <c r="V169" s="21">
        <v>1</v>
      </c>
      <c r="W169" s="21">
        <v>1</v>
      </c>
      <c r="X169" s="21">
        <v>1</v>
      </c>
      <c r="Y169" s="21">
        <v>1</v>
      </c>
      <c r="Z169" s="21">
        <v>1</v>
      </c>
      <c r="AA169" s="21">
        <v>1</v>
      </c>
      <c r="AB169" s="21">
        <v>1</v>
      </c>
      <c r="AC169" s="21">
        <v>1</v>
      </c>
      <c r="AD169" s="21">
        <v>1</v>
      </c>
      <c r="AE169" s="21">
        <v>1</v>
      </c>
      <c r="AF169" s="21">
        <v>1</v>
      </c>
      <c r="AG169" s="21">
        <v>1</v>
      </c>
      <c r="AH169" s="21">
        <v>1</v>
      </c>
      <c r="AI169" s="21">
        <v>1</v>
      </c>
      <c r="AJ169" s="21">
        <v>1</v>
      </c>
      <c r="AK169" s="21">
        <v>1</v>
      </c>
      <c r="AL169" s="21">
        <v>1</v>
      </c>
      <c r="AM169" s="21">
        <v>1</v>
      </c>
      <c r="AN169" s="21">
        <v>1</v>
      </c>
      <c r="AO169" s="21">
        <v>1</v>
      </c>
      <c r="AP169" s="21">
        <v>1</v>
      </c>
      <c r="AQ169" s="21">
        <v>1</v>
      </c>
      <c r="AR169" s="21">
        <v>1</v>
      </c>
      <c r="AS169" s="21">
        <v>1</v>
      </c>
      <c r="AT169" s="21">
        <v>1</v>
      </c>
      <c r="AU169" s="21">
        <v>1</v>
      </c>
      <c r="AV169" s="21">
        <v>1</v>
      </c>
      <c r="AW169" s="21">
        <v>1</v>
      </c>
      <c r="AX169" s="21">
        <v>1</v>
      </c>
      <c r="AY169" s="21">
        <v>1</v>
      </c>
      <c r="AZ169" s="21">
        <v>1</v>
      </c>
      <c r="BA169" s="21">
        <v>1</v>
      </c>
      <c r="BB169" s="21">
        <v>1</v>
      </c>
      <c r="BC169" s="21">
        <v>1</v>
      </c>
      <c r="BD169" s="21">
        <v>1</v>
      </c>
      <c r="BE169" s="21">
        <v>1</v>
      </c>
      <c r="BF169" s="21">
        <v>1</v>
      </c>
      <c r="BG169" s="21">
        <v>1</v>
      </c>
      <c r="BH169" s="21">
        <v>1</v>
      </c>
      <c r="BI169" s="21">
        <v>-1</v>
      </c>
      <c r="BJ169" s="21">
        <v>-1</v>
      </c>
      <c r="BK169" s="21">
        <v>-1</v>
      </c>
    </row>
    <row r="170" spans="1:63" s="21" customFormat="1" x14ac:dyDescent="0.3">
      <c r="A170" s="21" t="s">
        <v>685</v>
      </c>
      <c r="B170" s="21">
        <f t="shared" si="6"/>
        <v>1.1111111111111112E-2</v>
      </c>
      <c r="C170" s="2">
        <f>'vehicles specifications'!S36</f>
        <v>53</v>
      </c>
      <c r="D170" s="21">
        <f t="shared" si="6"/>
        <v>1.1111111111111112E-2</v>
      </c>
      <c r="F170" s="21">
        <f>1+'vehicles specifications'!AD36</f>
        <v>1</v>
      </c>
      <c r="G170" s="21">
        <f>1+'vehicles specifications'!AD36</f>
        <v>1</v>
      </c>
      <c r="H170" s="21">
        <v>1</v>
      </c>
      <c r="I170" s="21">
        <v>1</v>
      </c>
      <c r="K170" s="21">
        <f>1/('fuels and tailpipe emissions'!$C$3*3.6)</f>
        <v>2.358490566037736E-2</v>
      </c>
      <c r="L170" s="21">
        <f t="shared" si="7"/>
        <v>0.30555555555555558</v>
      </c>
      <c r="M170" s="21">
        <f>1/'vehicles specifications'!J36</f>
        <v>2.9940119760479042E-5</v>
      </c>
      <c r="N170" s="21">
        <v>1</v>
      </c>
      <c r="O170" s="21">
        <f>1</f>
        <v>1</v>
      </c>
      <c r="P170" s="21">
        <v>-1</v>
      </c>
      <c r="Q170" s="21">
        <v>-1</v>
      </c>
      <c r="R170" s="21">
        <f>-1-'vehicles specifications'!AD36</f>
        <v>-1</v>
      </c>
      <c r="S170" s="21">
        <v>1</v>
      </c>
      <c r="T170" s="21">
        <v>1</v>
      </c>
      <c r="U170" s="21">
        <v>1</v>
      </c>
      <c r="V170" s="21">
        <v>1</v>
      </c>
      <c r="W170" s="21">
        <v>1</v>
      </c>
      <c r="X170" s="21">
        <v>1</v>
      </c>
      <c r="Y170" s="21">
        <v>1</v>
      </c>
      <c r="Z170" s="21">
        <v>1</v>
      </c>
      <c r="AA170" s="21">
        <v>1</v>
      </c>
      <c r="AB170" s="21">
        <v>1</v>
      </c>
      <c r="AC170" s="21">
        <v>1</v>
      </c>
      <c r="AD170" s="21">
        <v>1</v>
      </c>
      <c r="AE170" s="21">
        <v>1</v>
      </c>
      <c r="AF170" s="21">
        <v>1</v>
      </c>
      <c r="AG170" s="21">
        <v>1</v>
      </c>
      <c r="AH170" s="21">
        <v>1</v>
      </c>
      <c r="AI170" s="21">
        <v>1</v>
      </c>
      <c r="AJ170" s="21">
        <v>1</v>
      </c>
      <c r="AK170" s="21">
        <v>1</v>
      </c>
      <c r="AL170" s="21">
        <v>1</v>
      </c>
      <c r="AM170" s="21">
        <v>1</v>
      </c>
      <c r="AN170" s="21">
        <v>1</v>
      </c>
      <c r="AO170" s="21">
        <v>1</v>
      </c>
      <c r="AP170" s="21">
        <v>1</v>
      </c>
      <c r="AQ170" s="21">
        <v>1</v>
      </c>
      <c r="AR170" s="21">
        <v>1</v>
      </c>
      <c r="AS170" s="21">
        <v>1</v>
      </c>
      <c r="AT170" s="21">
        <v>1</v>
      </c>
      <c r="AU170" s="21">
        <v>1</v>
      </c>
      <c r="AV170" s="21">
        <v>1</v>
      </c>
      <c r="AW170" s="21">
        <v>1</v>
      </c>
      <c r="AX170" s="21">
        <v>1</v>
      </c>
      <c r="AY170" s="21">
        <v>1</v>
      </c>
      <c r="AZ170" s="21">
        <v>1</v>
      </c>
      <c r="BA170" s="21">
        <v>1</v>
      </c>
      <c r="BB170" s="21">
        <v>1</v>
      </c>
      <c r="BC170" s="21">
        <v>1</v>
      </c>
      <c r="BD170" s="21">
        <v>1</v>
      </c>
      <c r="BE170" s="21">
        <v>1</v>
      </c>
      <c r="BF170" s="21">
        <v>1</v>
      </c>
      <c r="BG170" s="21">
        <v>1</v>
      </c>
      <c r="BH170" s="21">
        <v>1</v>
      </c>
      <c r="BI170" s="21">
        <v>-1</v>
      </c>
      <c r="BJ170" s="21">
        <v>-1</v>
      </c>
      <c r="BK170" s="21">
        <v>-1</v>
      </c>
    </row>
    <row r="171" spans="1:63" s="21" customFormat="1" x14ac:dyDescent="0.3">
      <c r="A171" s="21" t="s">
        <v>686</v>
      </c>
      <c r="B171" s="21">
        <f t="shared" si="6"/>
        <v>1.1111111111111112E-2</v>
      </c>
      <c r="C171" s="2">
        <f>'vehicles specifications'!S37</f>
        <v>53</v>
      </c>
      <c r="D171" s="21">
        <f t="shared" si="6"/>
        <v>1.1111111111111112E-2</v>
      </c>
      <c r="F171" s="21">
        <f>1+'vehicles specifications'!AD37</f>
        <v>1</v>
      </c>
      <c r="G171" s="21">
        <f>1+'vehicles specifications'!AD37</f>
        <v>1</v>
      </c>
      <c r="H171" s="21">
        <v>1</v>
      </c>
      <c r="I171" s="21">
        <v>1</v>
      </c>
      <c r="K171" s="21">
        <f>1/('fuels and tailpipe emissions'!$C$3*3.6)</f>
        <v>2.358490566037736E-2</v>
      </c>
      <c r="L171" s="21">
        <f t="shared" si="7"/>
        <v>0.30555555555555558</v>
      </c>
      <c r="M171" s="21">
        <f>1/'vehicles specifications'!J37</f>
        <v>2.9940119760479042E-5</v>
      </c>
      <c r="N171" s="21">
        <v>1</v>
      </c>
      <c r="O171" s="21">
        <f>1</f>
        <v>1</v>
      </c>
      <c r="P171" s="21">
        <v>-1</v>
      </c>
      <c r="Q171" s="21">
        <v>-1</v>
      </c>
      <c r="R171" s="21">
        <f>-1-'vehicles specifications'!AD37</f>
        <v>-1</v>
      </c>
      <c r="S171" s="21">
        <v>1</v>
      </c>
      <c r="T171" s="21">
        <v>1</v>
      </c>
      <c r="U171" s="21">
        <v>1</v>
      </c>
      <c r="V171" s="21">
        <v>1</v>
      </c>
      <c r="W171" s="21">
        <v>1</v>
      </c>
      <c r="X171" s="21">
        <v>1</v>
      </c>
      <c r="Y171" s="21">
        <v>1</v>
      </c>
      <c r="Z171" s="21">
        <v>1</v>
      </c>
      <c r="AA171" s="21">
        <v>1</v>
      </c>
      <c r="AB171" s="21">
        <v>1</v>
      </c>
      <c r="AC171" s="21">
        <v>1</v>
      </c>
      <c r="AD171" s="21">
        <v>1</v>
      </c>
      <c r="AE171" s="21">
        <v>1</v>
      </c>
      <c r="AF171" s="21">
        <v>1</v>
      </c>
      <c r="AG171" s="21">
        <v>1</v>
      </c>
      <c r="AH171" s="21">
        <v>1</v>
      </c>
      <c r="AI171" s="21">
        <v>1</v>
      </c>
      <c r="AJ171" s="21">
        <v>1</v>
      </c>
      <c r="AK171" s="21">
        <v>1</v>
      </c>
      <c r="AL171" s="21">
        <v>1</v>
      </c>
      <c r="AM171" s="21">
        <v>1</v>
      </c>
      <c r="AN171" s="21">
        <v>1</v>
      </c>
      <c r="AO171" s="21">
        <v>1</v>
      </c>
      <c r="AP171" s="21">
        <v>1</v>
      </c>
      <c r="AQ171" s="21">
        <v>1</v>
      </c>
      <c r="AR171" s="21">
        <v>1</v>
      </c>
      <c r="AS171" s="21">
        <v>1</v>
      </c>
      <c r="AT171" s="21">
        <v>1</v>
      </c>
      <c r="AU171" s="21">
        <v>1</v>
      </c>
      <c r="AV171" s="21">
        <v>1</v>
      </c>
      <c r="AW171" s="21">
        <v>1</v>
      </c>
      <c r="AX171" s="21">
        <v>1</v>
      </c>
      <c r="AY171" s="21">
        <v>1</v>
      </c>
      <c r="AZ171" s="21">
        <v>1</v>
      </c>
      <c r="BA171" s="21">
        <v>1</v>
      </c>
      <c r="BB171" s="21">
        <v>1</v>
      </c>
      <c r="BC171" s="21">
        <v>1</v>
      </c>
      <c r="BD171" s="21">
        <v>1</v>
      </c>
      <c r="BE171" s="21">
        <v>1</v>
      </c>
      <c r="BF171" s="21">
        <v>1</v>
      </c>
      <c r="BG171" s="21">
        <v>1</v>
      </c>
      <c r="BH171" s="21">
        <v>1</v>
      </c>
      <c r="BI171" s="21">
        <v>-1</v>
      </c>
      <c r="BJ171" s="21">
        <v>-1</v>
      </c>
      <c r="BK171" s="21">
        <v>-1</v>
      </c>
    </row>
    <row r="172" spans="1:63" s="21" customFormat="1" x14ac:dyDescent="0.3">
      <c r="A172" s="21" t="s">
        <v>687</v>
      </c>
      <c r="B172" s="21">
        <f t="shared" si="6"/>
        <v>1.1111111111111112E-2</v>
      </c>
      <c r="C172" s="2">
        <f>'vehicles specifications'!S38</f>
        <v>53</v>
      </c>
      <c r="D172" s="21">
        <f t="shared" si="6"/>
        <v>1.1111111111111112E-2</v>
      </c>
      <c r="F172" s="21">
        <f>1+'vehicles specifications'!AD38</f>
        <v>1</v>
      </c>
      <c r="G172" s="21">
        <f>1+'vehicles specifications'!AD38</f>
        <v>1</v>
      </c>
      <c r="H172" s="21">
        <v>1</v>
      </c>
      <c r="I172" s="21">
        <v>1</v>
      </c>
      <c r="K172" s="21">
        <f>1/('fuels and tailpipe emissions'!$C$3*3.6)</f>
        <v>2.358490566037736E-2</v>
      </c>
      <c r="L172" s="21">
        <f t="shared" si="7"/>
        <v>0.30555555555555558</v>
      </c>
      <c r="M172" s="21">
        <f>1/'vehicles specifications'!J38</f>
        <v>2.9940119760479042E-5</v>
      </c>
      <c r="N172" s="21">
        <v>1</v>
      </c>
      <c r="O172" s="21">
        <f>1</f>
        <v>1</v>
      </c>
      <c r="P172" s="21">
        <v>-1</v>
      </c>
      <c r="Q172" s="21">
        <v>-1</v>
      </c>
      <c r="R172" s="21">
        <f>-1-'vehicles specifications'!AD38</f>
        <v>-1</v>
      </c>
      <c r="S172" s="21">
        <v>1</v>
      </c>
      <c r="T172" s="21">
        <v>1</v>
      </c>
      <c r="U172" s="21">
        <v>1</v>
      </c>
      <c r="V172" s="21">
        <v>1</v>
      </c>
      <c r="W172" s="21">
        <v>1</v>
      </c>
      <c r="X172" s="21">
        <v>1</v>
      </c>
      <c r="Y172" s="21">
        <v>1</v>
      </c>
      <c r="Z172" s="21">
        <v>1</v>
      </c>
      <c r="AA172" s="21">
        <v>1</v>
      </c>
      <c r="AB172" s="21">
        <v>1</v>
      </c>
      <c r="AC172" s="21">
        <v>1</v>
      </c>
      <c r="AD172" s="21">
        <v>1</v>
      </c>
      <c r="AE172" s="21">
        <v>1</v>
      </c>
      <c r="AF172" s="21">
        <v>1</v>
      </c>
      <c r="AG172" s="21">
        <v>1</v>
      </c>
      <c r="AH172" s="21">
        <v>1</v>
      </c>
      <c r="AI172" s="21">
        <v>1</v>
      </c>
      <c r="AJ172" s="21">
        <v>1</v>
      </c>
      <c r="AK172" s="21">
        <v>1</v>
      </c>
      <c r="AL172" s="21">
        <v>1</v>
      </c>
      <c r="AM172" s="21">
        <v>1</v>
      </c>
      <c r="AN172" s="21">
        <v>1</v>
      </c>
      <c r="AO172" s="21">
        <v>1</v>
      </c>
      <c r="AP172" s="21">
        <v>1</v>
      </c>
      <c r="AQ172" s="21">
        <v>1</v>
      </c>
      <c r="AR172" s="21">
        <v>1</v>
      </c>
      <c r="AS172" s="21">
        <v>1</v>
      </c>
      <c r="AT172" s="21">
        <v>1</v>
      </c>
      <c r="AU172" s="21">
        <v>1</v>
      </c>
      <c r="AV172" s="21">
        <v>1</v>
      </c>
      <c r="AW172" s="21">
        <v>1</v>
      </c>
      <c r="AX172" s="21">
        <v>1</v>
      </c>
      <c r="AY172" s="21">
        <v>1</v>
      </c>
      <c r="AZ172" s="21">
        <v>1</v>
      </c>
      <c r="BA172" s="21">
        <v>1</v>
      </c>
      <c r="BB172" s="21">
        <v>1</v>
      </c>
      <c r="BC172" s="21">
        <v>1</v>
      </c>
      <c r="BD172" s="21">
        <v>1</v>
      </c>
      <c r="BE172" s="21">
        <v>1</v>
      </c>
      <c r="BF172" s="21">
        <v>1</v>
      </c>
      <c r="BG172" s="21">
        <v>1</v>
      </c>
      <c r="BH172" s="21">
        <v>1</v>
      </c>
      <c r="BI172" s="21">
        <v>-1</v>
      </c>
      <c r="BJ172" s="21">
        <v>-1</v>
      </c>
      <c r="BK172" s="21">
        <v>-1</v>
      </c>
    </row>
    <row r="173" spans="1:63" x14ac:dyDescent="0.3">
      <c r="A173" t="s">
        <v>639</v>
      </c>
      <c r="B173">
        <f t="shared" si="6"/>
        <v>1.1111111111111112E-2</v>
      </c>
      <c r="C173" s="2">
        <f>'vehicles specifications'!S39</f>
        <v>90</v>
      </c>
      <c r="D173">
        <f t="shared" si="6"/>
        <v>1.1111111111111112E-2</v>
      </c>
      <c r="F173">
        <f>1+'vehicles specifications'!AD39</f>
        <v>1</v>
      </c>
      <c r="G173">
        <f>1+'vehicles specifications'!AD39</f>
        <v>1</v>
      </c>
      <c r="H173">
        <v>1</v>
      </c>
      <c r="I173">
        <v>1</v>
      </c>
      <c r="K173">
        <f>1/('fuels and tailpipe emissions'!$C$3*3.6)</f>
        <v>2.358490566037736E-2</v>
      </c>
      <c r="L173" s="21">
        <f t="shared" si="7"/>
        <v>0.30555555555555558</v>
      </c>
      <c r="M173">
        <f>1/'vehicles specifications'!J39</f>
        <v>2.5125628140703518E-5</v>
      </c>
      <c r="N173" s="21">
        <v>1</v>
      </c>
      <c r="O173">
        <f>1</f>
        <v>1</v>
      </c>
      <c r="P173">
        <v>-1</v>
      </c>
      <c r="Q173">
        <v>-1</v>
      </c>
      <c r="R173">
        <f>-1-'vehicles specifications'!AD39</f>
        <v>-1</v>
      </c>
      <c r="S173">
        <v>1</v>
      </c>
      <c r="T173">
        <v>1</v>
      </c>
      <c r="U173">
        <v>1</v>
      </c>
      <c r="V173">
        <v>1</v>
      </c>
      <c r="W173">
        <v>1</v>
      </c>
      <c r="X173">
        <v>1</v>
      </c>
      <c r="Y173">
        <v>1</v>
      </c>
      <c r="Z173">
        <v>1</v>
      </c>
      <c r="AA173">
        <v>1</v>
      </c>
      <c r="AB173">
        <v>1</v>
      </c>
      <c r="AC173" s="21">
        <v>1</v>
      </c>
      <c r="AD173" s="21">
        <v>1</v>
      </c>
      <c r="AE173" s="21">
        <v>1</v>
      </c>
      <c r="AF173" s="21">
        <v>1</v>
      </c>
      <c r="AG173" s="21">
        <v>1</v>
      </c>
      <c r="AH173" s="21">
        <v>1</v>
      </c>
      <c r="AI173" s="21">
        <v>1</v>
      </c>
      <c r="AJ173" s="21">
        <v>1</v>
      </c>
      <c r="AK173" s="21">
        <v>1</v>
      </c>
      <c r="AL173" s="21">
        <v>1</v>
      </c>
      <c r="AM173" s="21">
        <v>1</v>
      </c>
      <c r="AN173" s="21">
        <v>1</v>
      </c>
      <c r="AO173" s="21">
        <v>1</v>
      </c>
      <c r="AP173" s="21">
        <v>1</v>
      </c>
      <c r="AQ173" s="21">
        <v>1</v>
      </c>
      <c r="AR173" s="21">
        <v>1</v>
      </c>
      <c r="AS173" s="21">
        <v>1</v>
      </c>
      <c r="AT173" s="21">
        <v>1</v>
      </c>
      <c r="AU173" s="21">
        <v>1</v>
      </c>
      <c r="AV173" s="21">
        <v>1</v>
      </c>
      <c r="AW173" s="21">
        <v>1</v>
      </c>
      <c r="AX173" s="21">
        <v>1</v>
      </c>
      <c r="AY173" s="21">
        <v>1</v>
      </c>
      <c r="AZ173" s="21">
        <v>1</v>
      </c>
      <c r="BA173" s="21">
        <v>1</v>
      </c>
      <c r="BB173" s="21">
        <v>1</v>
      </c>
      <c r="BC173" s="21">
        <v>1</v>
      </c>
      <c r="BD173" s="21">
        <v>1</v>
      </c>
      <c r="BE173" s="21">
        <v>1</v>
      </c>
      <c r="BF173" s="21">
        <v>1</v>
      </c>
      <c r="BG173" s="21">
        <v>1</v>
      </c>
      <c r="BH173" s="21">
        <v>1</v>
      </c>
      <c r="BI173">
        <v>-1</v>
      </c>
      <c r="BJ173">
        <v>-1</v>
      </c>
      <c r="BK173">
        <v>-1</v>
      </c>
    </row>
    <row r="174" spans="1:63" x14ac:dyDescent="0.3">
      <c r="A174" t="s">
        <v>640</v>
      </c>
      <c r="B174">
        <f t="shared" si="6"/>
        <v>1.1111111111111112E-2</v>
      </c>
      <c r="C174" s="2">
        <f>'vehicles specifications'!S40</f>
        <v>90</v>
      </c>
      <c r="D174">
        <f t="shared" si="6"/>
        <v>1.1111111111111112E-2</v>
      </c>
      <c r="F174">
        <f>1+'vehicles specifications'!AD40</f>
        <v>1</v>
      </c>
      <c r="G174">
        <f>1+'vehicles specifications'!AD40</f>
        <v>1</v>
      </c>
      <c r="H174">
        <v>1</v>
      </c>
      <c r="I174">
        <v>1</v>
      </c>
      <c r="K174">
        <f>1/('fuels and tailpipe emissions'!$C$3*3.6)</f>
        <v>2.358490566037736E-2</v>
      </c>
      <c r="L174" s="21">
        <f t="shared" si="7"/>
        <v>0.30555555555555558</v>
      </c>
      <c r="M174">
        <f>1/'vehicles specifications'!J40</f>
        <v>2.5125628140703518E-5</v>
      </c>
      <c r="N174" s="21">
        <v>1</v>
      </c>
      <c r="O174">
        <f>1</f>
        <v>1</v>
      </c>
      <c r="P174">
        <v>-1</v>
      </c>
      <c r="Q174">
        <v>-1</v>
      </c>
      <c r="R174">
        <f>-1-'vehicles specifications'!AD40</f>
        <v>-1</v>
      </c>
      <c r="S174">
        <v>1</v>
      </c>
      <c r="T174">
        <v>1</v>
      </c>
      <c r="U174">
        <v>1</v>
      </c>
      <c r="V174">
        <v>1</v>
      </c>
      <c r="W174">
        <v>1</v>
      </c>
      <c r="X174">
        <v>1</v>
      </c>
      <c r="Y174">
        <v>1</v>
      </c>
      <c r="Z174">
        <v>1</v>
      </c>
      <c r="AA174">
        <v>1</v>
      </c>
      <c r="AB174">
        <v>1</v>
      </c>
      <c r="AC174" s="21">
        <v>1</v>
      </c>
      <c r="AD174" s="21">
        <v>1</v>
      </c>
      <c r="AE174" s="21">
        <v>1</v>
      </c>
      <c r="AF174" s="21">
        <v>1</v>
      </c>
      <c r="AG174" s="21">
        <v>1</v>
      </c>
      <c r="AH174" s="21">
        <v>1</v>
      </c>
      <c r="AI174" s="21">
        <v>1</v>
      </c>
      <c r="AJ174" s="21">
        <v>1</v>
      </c>
      <c r="AK174" s="21">
        <v>1</v>
      </c>
      <c r="AL174" s="21">
        <v>1</v>
      </c>
      <c r="AM174" s="21">
        <v>1</v>
      </c>
      <c r="AN174" s="21">
        <v>1</v>
      </c>
      <c r="AO174" s="21">
        <v>1</v>
      </c>
      <c r="AP174" s="21">
        <v>1</v>
      </c>
      <c r="AQ174" s="21">
        <v>1</v>
      </c>
      <c r="AR174" s="21">
        <v>1</v>
      </c>
      <c r="AS174" s="21">
        <v>1</v>
      </c>
      <c r="AT174" s="21">
        <v>1</v>
      </c>
      <c r="AU174" s="21">
        <v>1</v>
      </c>
      <c r="AV174" s="21">
        <v>1</v>
      </c>
      <c r="AW174" s="21">
        <v>1</v>
      </c>
      <c r="AX174" s="21">
        <v>1</v>
      </c>
      <c r="AY174" s="21">
        <v>1</v>
      </c>
      <c r="AZ174" s="21">
        <v>1</v>
      </c>
      <c r="BA174" s="21">
        <v>1</v>
      </c>
      <c r="BB174" s="21">
        <v>1</v>
      </c>
      <c r="BC174" s="21">
        <v>1</v>
      </c>
      <c r="BD174" s="21">
        <v>1</v>
      </c>
      <c r="BE174" s="21">
        <v>1</v>
      </c>
      <c r="BF174" s="21">
        <v>1</v>
      </c>
      <c r="BG174" s="21">
        <v>1</v>
      </c>
      <c r="BH174" s="21">
        <v>1</v>
      </c>
      <c r="BI174">
        <v>-1</v>
      </c>
      <c r="BJ174">
        <v>-1</v>
      </c>
      <c r="BK174">
        <v>-1</v>
      </c>
    </row>
    <row r="175" spans="1:63" x14ac:dyDescent="0.3">
      <c r="A175" t="s">
        <v>641</v>
      </c>
      <c r="B175">
        <f t="shared" si="6"/>
        <v>1.1111111111111112E-2</v>
      </c>
      <c r="C175" s="2">
        <f>'vehicles specifications'!S41</f>
        <v>90</v>
      </c>
      <c r="D175">
        <f t="shared" si="6"/>
        <v>1.1111111111111112E-2</v>
      </c>
      <c r="F175">
        <f>1+'vehicles specifications'!AD41</f>
        <v>1</v>
      </c>
      <c r="G175">
        <f>1+'vehicles specifications'!AD41</f>
        <v>1</v>
      </c>
      <c r="H175">
        <v>1</v>
      </c>
      <c r="I175">
        <v>1</v>
      </c>
      <c r="K175">
        <f>1/('fuels and tailpipe emissions'!$C$3*3.6)</f>
        <v>2.358490566037736E-2</v>
      </c>
      <c r="L175" s="21">
        <f t="shared" si="7"/>
        <v>0.30555555555555558</v>
      </c>
      <c r="M175">
        <f>1/'vehicles specifications'!J41</f>
        <v>2.5125628140703518E-5</v>
      </c>
      <c r="N175" s="21">
        <v>1</v>
      </c>
      <c r="O175">
        <f>1</f>
        <v>1</v>
      </c>
      <c r="P175">
        <v>-1</v>
      </c>
      <c r="Q175">
        <v>-1</v>
      </c>
      <c r="R175">
        <f>-1-'vehicles specifications'!AD41</f>
        <v>-1</v>
      </c>
      <c r="S175">
        <v>1</v>
      </c>
      <c r="T175">
        <v>1</v>
      </c>
      <c r="U175">
        <v>1</v>
      </c>
      <c r="V175">
        <v>1</v>
      </c>
      <c r="W175">
        <v>1</v>
      </c>
      <c r="X175">
        <v>1</v>
      </c>
      <c r="Y175">
        <v>1</v>
      </c>
      <c r="Z175">
        <v>1</v>
      </c>
      <c r="AA175">
        <v>1</v>
      </c>
      <c r="AB175">
        <v>1</v>
      </c>
      <c r="AC175" s="21">
        <v>1</v>
      </c>
      <c r="AD175" s="21">
        <v>1</v>
      </c>
      <c r="AE175" s="21">
        <v>1</v>
      </c>
      <c r="AF175" s="21">
        <v>1</v>
      </c>
      <c r="AG175" s="21">
        <v>1</v>
      </c>
      <c r="AH175" s="21">
        <v>1</v>
      </c>
      <c r="AI175" s="21">
        <v>1</v>
      </c>
      <c r="AJ175" s="21">
        <v>1</v>
      </c>
      <c r="AK175" s="21">
        <v>1</v>
      </c>
      <c r="AL175" s="21">
        <v>1</v>
      </c>
      <c r="AM175" s="21">
        <v>1</v>
      </c>
      <c r="AN175" s="21">
        <v>1</v>
      </c>
      <c r="AO175" s="21">
        <v>1</v>
      </c>
      <c r="AP175" s="21">
        <v>1</v>
      </c>
      <c r="AQ175" s="21">
        <v>1</v>
      </c>
      <c r="AR175" s="21">
        <v>1</v>
      </c>
      <c r="AS175" s="21">
        <v>1</v>
      </c>
      <c r="AT175" s="21">
        <v>1</v>
      </c>
      <c r="AU175" s="21">
        <v>1</v>
      </c>
      <c r="AV175" s="21">
        <v>1</v>
      </c>
      <c r="AW175" s="21">
        <v>1</v>
      </c>
      <c r="AX175" s="21">
        <v>1</v>
      </c>
      <c r="AY175" s="21">
        <v>1</v>
      </c>
      <c r="AZ175" s="21">
        <v>1</v>
      </c>
      <c r="BA175" s="21">
        <v>1</v>
      </c>
      <c r="BB175" s="21">
        <v>1</v>
      </c>
      <c r="BC175" s="21">
        <v>1</v>
      </c>
      <c r="BD175" s="21">
        <v>1</v>
      </c>
      <c r="BE175" s="21">
        <v>1</v>
      </c>
      <c r="BF175" s="21">
        <v>1</v>
      </c>
      <c r="BG175" s="21">
        <v>1</v>
      </c>
      <c r="BH175" s="21">
        <v>1</v>
      </c>
      <c r="BI175">
        <v>-1</v>
      </c>
      <c r="BJ175">
        <v>-1</v>
      </c>
      <c r="BK175">
        <v>-1</v>
      </c>
    </row>
    <row r="176" spans="1:63" x14ac:dyDescent="0.3">
      <c r="A176" t="s">
        <v>642</v>
      </c>
      <c r="B176">
        <f t="shared" si="6"/>
        <v>1.1111111111111112E-2</v>
      </c>
      <c r="C176" s="2">
        <f>'vehicles specifications'!S42</f>
        <v>90</v>
      </c>
      <c r="D176">
        <f t="shared" si="6"/>
        <v>1.1111111111111112E-2</v>
      </c>
      <c r="F176">
        <f>1+'vehicles specifications'!AD42</f>
        <v>1</v>
      </c>
      <c r="G176">
        <f>1+'vehicles specifications'!AD42</f>
        <v>1</v>
      </c>
      <c r="H176">
        <v>1</v>
      </c>
      <c r="I176">
        <v>1</v>
      </c>
      <c r="K176">
        <f>1/('fuels and tailpipe emissions'!$C$3*3.6)</f>
        <v>2.358490566037736E-2</v>
      </c>
      <c r="L176" s="21">
        <f t="shared" si="7"/>
        <v>0.30555555555555558</v>
      </c>
      <c r="M176">
        <f>1/'vehicles specifications'!J42</f>
        <v>2.5125628140703518E-5</v>
      </c>
      <c r="N176" s="21">
        <v>1</v>
      </c>
      <c r="O176">
        <f>1</f>
        <v>1</v>
      </c>
      <c r="P176">
        <v>-1</v>
      </c>
      <c r="Q176">
        <v>-1</v>
      </c>
      <c r="R176">
        <f>-1-'vehicles specifications'!AD42</f>
        <v>-1</v>
      </c>
      <c r="S176">
        <v>1</v>
      </c>
      <c r="T176">
        <v>1</v>
      </c>
      <c r="U176">
        <v>1</v>
      </c>
      <c r="V176">
        <v>1</v>
      </c>
      <c r="W176">
        <v>1</v>
      </c>
      <c r="X176">
        <v>1</v>
      </c>
      <c r="Y176">
        <v>1</v>
      </c>
      <c r="Z176">
        <v>1</v>
      </c>
      <c r="AA176">
        <v>1</v>
      </c>
      <c r="AB176">
        <v>1</v>
      </c>
      <c r="AC176" s="21">
        <v>1</v>
      </c>
      <c r="AD176" s="21">
        <v>1</v>
      </c>
      <c r="AE176" s="21">
        <v>1</v>
      </c>
      <c r="AF176" s="21">
        <v>1</v>
      </c>
      <c r="AG176" s="21">
        <v>1</v>
      </c>
      <c r="AH176" s="21">
        <v>1</v>
      </c>
      <c r="AI176" s="21">
        <v>1</v>
      </c>
      <c r="AJ176" s="21">
        <v>1</v>
      </c>
      <c r="AK176" s="21">
        <v>1</v>
      </c>
      <c r="AL176" s="21">
        <v>1</v>
      </c>
      <c r="AM176" s="21">
        <v>1</v>
      </c>
      <c r="AN176" s="21">
        <v>1</v>
      </c>
      <c r="AO176" s="21">
        <v>1</v>
      </c>
      <c r="AP176" s="21">
        <v>1</v>
      </c>
      <c r="AQ176" s="21">
        <v>1</v>
      </c>
      <c r="AR176" s="21">
        <v>1</v>
      </c>
      <c r="AS176" s="21">
        <v>1</v>
      </c>
      <c r="AT176" s="21">
        <v>1</v>
      </c>
      <c r="AU176" s="21">
        <v>1</v>
      </c>
      <c r="AV176" s="21">
        <v>1</v>
      </c>
      <c r="AW176" s="21">
        <v>1</v>
      </c>
      <c r="AX176" s="21">
        <v>1</v>
      </c>
      <c r="AY176" s="21">
        <v>1</v>
      </c>
      <c r="AZ176" s="21">
        <v>1</v>
      </c>
      <c r="BA176" s="21">
        <v>1</v>
      </c>
      <c r="BB176" s="21">
        <v>1</v>
      </c>
      <c r="BC176" s="21">
        <v>1</v>
      </c>
      <c r="BD176" s="21">
        <v>1</v>
      </c>
      <c r="BE176" s="21">
        <v>1</v>
      </c>
      <c r="BF176" s="21">
        <v>1</v>
      </c>
      <c r="BG176" s="21">
        <v>1</v>
      </c>
      <c r="BH176" s="21">
        <v>1</v>
      </c>
      <c r="BI176">
        <v>-1</v>
      </c>
      <c r="BJ176">
        <v>-1</v>
      </c>
      <c r="BK176">
        <v>-1</v>
      </c>
    </row>
    <row r="177" spans="1:63" x14ac:dyDescent="0.3">
      <c r="A177" t="s">
        <v>643</v>
      </c>
      <c r="B177">
        <f t="shared" si="6"/>
        <v>1.1111111111111112E-2</v>
      </c>
      <c r="C177" s="2">
        <f>'vehicles specifications'!S43</f>
        <v>90</v>
      </c>
      <c r="D177">
        <f t="shared" si="6"/>
        <v>1.1111111111111112E-2</v>
      </c>
      <c r="F177">
        <f>1+'vehicles specifications'!AD43</f>
        <v>1</v>
      </c>
      <c r="G177">
        <f>1+'vehicles specifications'!AD43</f>
        <v>1</v>
      </c>
      <c r="H177">
        <v>1</v>
      </c>
      <c r="I177">
        <v>1</v>
      </c>
      <c r="K177">
        <f>1/('fuels and tailpipe emissions'!$C$3*3.6)</f>
        <v>2.358490566037736E-2</v>
      </c>
      <c r="L177" s="21">
        <f t="shared" si="7"/>
        <v>0.30555555555555558</v>
      </c>
      <c r="M177">
        <f>1/'vehicles specifications'!J43</f>
        <v>2.5125628140703518E-5</v>
      </c>
      <c r="N177" s="21">
        <v>1</v>
      </c>
      <c r="O177">
        <f>1</f>
        <v>1</v>
      </c>
      <c r="P177">
        <v>-1</v>
      </c>
      <c r="Q177">
        <v>-1</v>
      </c>
      <c r="R177">
        <f>-1-'vehicles specifications'!AD43</f>
        <v>-1</v>
      </c>
      <c r="S177">
        <v>1</v>
      </c>
      <c r="T177">
        <v>1</v>
      </c>
      <c r="U177">
        <v>1</v>
      </c>
      <c r="V177">
        <v>1</v>
      </c>
      <c r="W177">
        <v>1</v>
      </c>
      <c r="X177">
        <v>1</v>
      </c>
      <c r="Y177">
        <v>1</v>
      </c>
      <c r="Z177">
        <v>1</v>
      </c>
      <c r="AA177">
        <v>1</v>
      </c>
      <c r="AB177">
        <v>1</v>
      </c>
      <c r="AC177" s="21">
        <v>1</v>
      </c>
      <c r="AD177" s="21">
        <v>1</v>
      </c>
      <c r="AE177" s="21">
        <v>1</v>
      </c>
      <c r="AF177" s="21">
        <v>1</v>
      </c>
      <c r="AG177" s="21">
        <v>1</v>
      </c>
      <c r="AH177" s="21">
        <v>1</v>
      </c>
      <c r="AI177" s="21">
        <v>1</v>
      </c>
      <c r="AJ177" s="21">
        <v>1</v>
      </c>
      <c r="AK177" s="21">
        <v>1</v>
      </c>
      <c r="AL177" s="21">
        <v>1</v>
      </c>
      <c r="AM177" s="21">
        <v>1</v>
      </c>
      <c r="AN177" s="21">
        <v>1</v>
      </c>
      <c r="AO177" s="21">
        <v>1</v>
      </c>
      <c r="AP177" s="21">
        <v>1</v>
      </c>
      <c r="AQ177" s="21">
        <v>1</v>
      </c>
      <c r="AR177" s="21">
        <v>1</v>
      </c>
      <c r="AS177" s="21">
        <v>1</v>
      </c>
      <c r="AT177" s="21">
        <v>1</v>
      </c>
      <c r="AU177" s="21">
        <v>1</v>
      </c>
      <c r="AV177" s="21">
        <v>1</v>
      </c>
      <c r="AW177" s="21">
        <v>1</v>
      </c>
      <c r="AX177" s="21">
        <v>1</v>
      </c>
      <c r="AY177" s="21">
        <v>1</v>
      </c>
      <c r="AZ177" s="21">
        <v>1</v>
      </c>
      <c r="BA177" s="21">
        <v>1</v>
      </c>
      <c r="BB177" s="21">
        <v>1</v>
      </c>
      <c r="BC177" s="21">
        <v>1</v>
      </c>
      <c r="BD177" s="21">
        <v>1</v>
      </c>
      <c r="BE177" s="21">
        <v>1</v>
      </c>
      <c r="BF177" s="21">
        <v>1</v>
      </c>
      <c r="BG177" s="21">
        <v>1</v>
      </c>
      <c r="BH177" s="21">
        <v>1</v>
      </c>
      <c r="BI177">
        <v>-1</v>
      </c>
      <c r="BJ177">
        <v>-1</v>
      </c>
      <c r="BK177">
        <v>-1</v>
      </c>
    </row>
    <row r="178" spans="1:63" x14ac:dyDescent="0.3">
      <c r="A178" t="s">
        <v>644</v>
      </c>
      <c r="B178">
        <f t="shared" si="6"/>
        <v>1.1111111111111112E-2</v>
      </c>
      <c r="C178" s="2">
        <f>'vehicles specifications'!S44</f>
        <v>90</v>
      </c>
      <c r="D178">
        <f t="shared" si="6"/>
        <v>1.1111111111111112E-2</v>
      </c>
      <c r="F178">
        <f>1+'vehicles specifications'!AD44</f>
        <v>1</v>
      </c>
      <c r="G178">
        <f>1+'vehicles specifications'!AD44</f>
        <v>1</v>
      </c>
      <c r="H178">
        <v>1</v>
      </c>
      <c r="I178">
        <v>1</v>
      </c>
      <c r="K178">
        <f>1/('fuels and tailpipe emissions'!$C$3*3.6)</f>
        <v>2.358490566037736E-2</v>
      </c>
      <c r="L178" s="21">
        <f t="shared" si="7"/>
        <v>0.30555555555555558</v>
      </c>
      <c r="M178">
        <f>1/'vehicles specifications'!J44</f>
        <v>2.5125628140703518E-5</v>
      </c>
      <c r="N178" s="21">
        <v>1</v>
      </c>
      <c r="O178">
        <f>1</f>
        <v>1</v>
      </c>
      <c r="P178">
        <v>-1</v>
      </c>
      <c r="Q178">
        <v>-1</v>
      </c>
      <c r="R178">
        <f>-1-'vehicles specifications'!AD44</f>
        <v>-1</v>
      </c>
      <c r="S178">
        <v>1</v>
      </c>
      <c r="T178">
        <v>1</v>
      </c>
      <c r="U178">
        <v>1</v>
      </c>
      <c r="V178">
        <v>1</v>
      </c>
      <c r="W178">
        <v>1</v>
      </c>
      <c r="X178">
        <v>1</v>
      </c>
      <c r="Y178">
        <v>1</v>
      </c>
      <c r="Z178">
        <v>1</v>
      </c>
      <c r="AA178">
        <v>1</v>
      </c>
      <c r="AB178">
        <v>1</v>
      </c>
      <c r="AC178" s="21">
        <v>1</v>
      </c>
      <c r="AD178" s="21">
        <v>1</v>
      </c>
      <c r="AE178" s="21">
        <v>1</v>
      </c>
      <c r="AF178" s="21">
        <v>1</v>
      </c>
      <c r="AG178" s="21">
        <v>1</v>
      </c>
      <c r="AH178" s="21">
        <v>1</v>
      </c>
      <c r="AI178" s="21">
        <v>1</v>
      </c>
      <c r="AJ178" s="21">
        <v>1</v>
      </c>
      <c r="AK178" s="21">
        <v>1</v>
      </c>
      <c r="AL178" s="21">
        <v>1</v>
      </c>
      <c r="AM178" s="21">
        <v>1</v>
      </c>
      <c r="AN178" s="21">
        <v>1</v>
      </c>
      <c r="AO178" s="21">
        <v>1</v>
      </c>
      <c r="AP178" s="21">
        <v>1</v>
      </c>
      <c r="AQ178" s="21">
        <v>1</v>
      </c>
      <c r="AR178" s="21">
        <v>1</v>
      </c>
      <c r="AS178" s="21">
        <v>1</v>
      </c>
      <c r="AT178" s="21">
        <v>1</v>
      </c>
      <c r="AU178" s="21">
        <v>1</v>
      </c>
      <c r="AV178" s="21">
        <v>1</v>
      </c>
      <c r="AW178" s="21">
        <v>1</v>
      </c>
      <c r="AX178" s="21">
        <v>1</v>
      </c>
      <c r="AY178" s="21">
        <v>1</v>
      </c>
      <c r="AZ178" s="21">
        <v>1</v>
      </c>
      <c r="BA178" s="21">
        <v>1</v>
      </c>
      <c r="BB178" s="21">
        <v>1</v>
      </c>
      <c r="BC178" s="21">
        <v>1</v>
      </c>
      <c r="BD178" s="21">
        <v>1</v>
      </c>
      <c r="BE178" s="21">
        <v>1</v>
      </c>
      <c r="BF178" s="21">
        <v>1</v>
      </c>
      <c r="BG178" s="21">
        <v>1</v>
      </c>
      <c r="BH178" s="21">
        <v>1</v>
      </c>
      <c r="BI178">
        <v>-1</v>
      </c>
      <c r="BJ178">
        <v>-1</v>
      </c>
      <c r="BK178">
        <v>-1</v>
      </c>
    </row>
    <row r="179" spans="1:63" s="21" customFormat="1" x14ac:dyDescent="0.3">
      <c r="A179" s="21" t="s">
        <v>678</v>
      </c>
      <c r="B179" s="21">
        <v>1</v>
      </c>
      <c r="C179" s="2">
        <f>'vehicles specifications'!S45</f>
        <v>73</v>
      </c>
      <c r="D179" s="21">
        <v>1</v>
      </c>
      <c r="E179" s="21">
        <v>1</v>
      </c>
      <c r="F179" s="21">
        <f>1+'vehicles specifications'!AD45</f>
        <v>2</v>
      </c>
      <c r="G179" s="21">
        <f>1+'vehicles specifications'!AD45</f>
        <v>2</v>
      </c>
      <c r="J179" s="21">
        <v>1</v>
      </c>
      <c r="K179" s="21">
        <f>1/('fuels and tailpipe emissions'!$C$3*3.6)</f>
        <v>2.358490566037736E-2</v>
      </c>
      <c r="L179" s="21">
        <f t="shared" si="7"/>
        <v>0.30555555555555558</v>
      </c>
      <c r="M179" s="21">
        <f>1/'vehicles specifications'!J45</f>
        <v>2.9940119760479042E-5</v>
      </c>
      <c r="N179" s="21">
        <v>1</v>
      </c>
      <c r="O179" s="21">
        <f>1</f>
        <v>1</v>
      </c>
      <c r="P179" s="21">
        <v>1</v>
      </c>
      <c r="Q179" s="21">
        <v>1</v>
      </c>
      <c r="R179" s="21">
        <f>-1-'vehicles specifications'!AD45</f>
        <v>-2</v>
      </c>
      <c r="S179" s="21">
        <v>1</v>
      </c>
      <c r="T179" s="21">
        <v>1</v>
      </c>
      <c r="U179" s="21">
        <v>1</v>
      </c>
      <c r="V179" s="21">
        <v>1</v>
      </c>
      <c r="W179" s="21">
        <v>1</v>
      </c>
      <c r="X179" s="21">
        <v>1</v>
      </c>
      <c r="Y179" s="21">
        <v>1</v>
      </c>
      <c r="Z179" s="21">
        <v>1</v>
      </c>
      <c r="AA179" s="21">
        <v>1</v>
      </c>
      <c r="AB179" s="21">
        <v>1</v>
      </c>
      <c r="AC179" s="21">
        <v>1</v>
      </c>
      <c r="AD179" s="21">
        <v>1</v>
      </c>
      <c r="AE179" s="21">
        <v>1</v>
      </c>
      <c r="AF179" s="21">
        <v>1</v>
      </c>
      <c r="AG179" s="21">
        <v>1</v>
      </c>
      <c r="AH179" s="21">
        <v>1</v>
      </c>
      <c r="AI179" s="21">
        <v>1</v>
      </c>
      <c r="AJ179" s="21">
        <v>1</v>
      </c>
      <c r="AK179" s="21">
        <v>1</v>
      </c>
      <c r="AL179" s="21">
        <v>1</v>
      </c>
      <c r="AM179" s="21">
        <v>1</v>
      </c>
      <c r="AN179" s="21">
        <v>1</v>
      </c>
      <c r="AO179" s="21">
        <v>1</v>
      </c>
      <c r="AP179" s="21">
        <v>1</v>
      </c>
      <c r="AQ179" s="21">
        <v>1</v>
      </c>
      <c r="AR179" s="21">
        <v>1</v>
      </c>
      <c r="AS179" s="21">
        <v>1</v>
      </c>
      <c r="AT179" s="21">
        <v>1</v>
      </c>
      <c r="AU179" s="21">
        <v>1</v>
      </c>
      <c r="AV179" s="21">
        <v>1</v>
      </c>
      <c r="AW179" s="21">
        <v>1</v>
      </c>
      <c r="AX179" s="21">
        <v>1</v>
      </c>
      <c r="AY179" s="21">
        <v>1</v>
      </c>
      <c r="AZ179" s="21">
        <v>1</v>
      </c>
      <c r="BA179" s="21">
        <v>1</v>
      </c>
      <c r="BB179" s="21">
        <v>1</v>
      </c>
      <c r="BC179" s="21">
        <v>1</v>
      </c>
      <c r="BD179" s="21">
        <v>1</v>
      </c>
      <c r="BE179" s="21">
        <v>1</v>
      </c>
      <c r="BF179" s="21">
        <v>1</v>
      </c>
      <c r="BG179" s="21">
        <v>1</v>
      </c>
      <c r="BH179" s="21">
        <v>1</v>
      </c>
      <c r="BI179" s="21">
        <v>-1</v>
      </c>
      <c r="BJ179" s="21">
        <v>-1</v>
      </c>
      <c r="BK179" s="21">
        <v>-1</v>
      </c>
    </row>
    <row r="180" spans="1:63" s="21" customFormat="1" x14ac:dyDescent="0.3">
      <c r="A180" s="21" t="s">
        <v>679</v>
      </c>
      <c r="B180" s="21">
        <v>1</v>
      </c>
      <c r="C180" s="2">
        <f>'vehicles specifications'!S46</f>
        <v>73</v>
      </c>
      <c r="D180" s="21">
        <v>1</v>
      </c>
      <c r="E180" s="21">
        <v>1</v>
      </c>
      <c r="F180" s="21">
        <f>1+'vehicles specifications'!AD46</f>
        <v>1.5</v>
      </c>
      <c r="G180" s="21">
        <f>1+'vehicles specifications'!AD46</f>
        <v>1.5</v>
      </c>
      <c r="J180" s="21">
        <v>1</v>
      </c>
      <c r="K180" s="21">
        <f>1/('fuels and tailpipe emissions'!$C$3*3.6)</f>
        <v>2.358490566037736E-2</v>
      </c>
      <c r="L180" s="21">
        <f t="shared" si="7"/>
        <v>0.30555555555555558</v>
      </c>
      <c r="M180" s="21">
        <f>1/'vehicles specifications'!J46</f>
        <v>2.9940119760479042E-5</v>
      </c>
      <c r="N180" s="21">
        <v>1</v>
      </c>
      <c r="O180" s="21">
        <f>1</f>
        <v>1</v>
      </c>
      <c r="P180" s="21">
        <v>1</v>
      </c>
      <c r="Q180" s="21">
        <v>1</v>
      </c>
      <c r="R180" s="21">
        <f>-1-'vehicles specifications'!AD46</f>
        <v>-1.5</v>
      </c>
      <c r="S180" s="21">
        <v>1</v>
      </c>
      <c r="T180" s="21">
        <v>1</v>
      </c>
      <c r="U180" s="21">
        <v>1</v>
      </c>
      <c r="V180" s="21">
        <v>1</v>
      </c>
      <c r="W180" s="21">
        <v>1</v>
      </c>
      <c r="X180" s="21">
        <v>1</v>
      </c>
      <c r="Y180" s="21">
        <v>1</v>
      </c>
      <c r="Z180" s="21">
        <v>1</v>
      </c>
      <c r="AA180" s="21">
        <v>1</v>
      </c>
      <c r="AB180" s="21">
        <v>1</v>
      </c>
      <c r="AC180" s="21">
        <v>1</v>
      </c>
      <c r="AD180" s="21">
        <v>1</v>
      </c>
      <c r="AE180" s="21">
        <v>1</v>
      </c>
      <c r="AF180" s="21">
        <v>1</v>
      </c>
      <c r="AG180" s="21">
        <v>1</v>
      </c>
      <c r="AH180" s="21">
        <v>1</v>
      </c>
      <c r="AI180" s="21">
        <v>1</v>
      </c>
      <c r="AJ180" s="21">
        <v>1</v>
      </c>
      <c r="AK180" s="21">
        <v>1</v>
      </c>
      <c r="AL180" s="21">
        <v>1</v>
      </c>
      <c r="AM180" s="21">
        <v>1</v>
      </c>
      <c r="AN180" s="21">
        <v>1</v>
      </c>
      <c r="AO180" s="21">
        <v>1</v>
      </c>
      <c r="AP180" s="21">
        <v>1</v>
      </c>
      <c r="AQ180" s="21">
        <v>1</v>
      </c>
      <c r="AR180" s="21">
        <v>1</v>
      </c>
      <c r="AS180" s="21">
        <v>1</v>
      </c>
      <c r="AT180" s="21">
        <v>1</v>
      </c>
      <c r="AU180" s="21">
        <v>1</v>
      </c>
      <c r="AV180" s="21">
        <v>1</v>
      </c>
      <c r="AW180" s="21">
        <v>1</v>
      </c>
      <c r="AX180" s="21">
        <v>1</v>
      </c>
      <c r="AY180" s="21">
        <v>1</v>
      </c>
      <c r="AZ180" s="21">
        <v>1</v>
      </c>
      <c r="BA180" s="21">
        <v>1</v>
      </c>
      <c r="BB180" s="21">
        <v>1</v>
      </c>
      <c r="BC180" s="21">
        <v>1</v>
      </c>
      <c r="BD180" s="21">
        <v>1</v>
      </c>
      <c r="BE180" s="21">
        <v>1</v>
      </c>
      <c r="BF180" s="21">
        <v>1</v>
      </c>
      <c r="BG180" s="21">
        <v>1</v>
      </c>
      <c r="BH180" s="21">
        <v>1</v>
      </c>
      <c r="BI180" s="21">
        <v>-1</v>
      </c>
      <c r="BJ180" s="21">
        <v>-1</v>
      </c>
      <c r="BK180" s="21">
        <v>-1</v>
      </c>
    </row>
    <row r="181" spans="1:63" s="21" customFormat="1" x14ac:dyDescent="0.3">
      <c r="A181" s="21" t="s">
        <v>680</v>
      </c>
      <c r="B181" s="21">
        <v>1</v>
      </c>
      <c r="C181" s="2">
        <f>'vehicles specifications'!S47</f>
        <v>73</v>
      </c>
      <c r="D181" s="21">
        <v>1</v>
      </c>
      <c r="E181" s="21">
        <v>1</v>
      </c>
      <c r="F181" s="21">
        <f>1+'vehicles specifications'!AD47</f>
        <v>1.25</v>
      </c>
      <c r="G181" s="21">
        <f>1+'vehicles specifications'!AD47</f>
        <v>1.25</v>
      </c>
      <c r="J181" s="21">
        <v>1</v>
      </c>
      <c r="K181" s="21">
        <f>1/('fuels and tailpipe emissions'!$C$3*3.6)</f>
        <v>2.358490566037736E-2</v>
      </c>
      <c r="L181" s="21">
        <f t="shared" si="7"/>
        <v>0.30555555555555558</v>
      </c>
      <c r="M181" s="21">
        <f>1/'vehicles specifications'!J47</f>
        <v>2.9940119760479042E-5</v>
      </c>
      <c r="N181" s="21">
        <v>1</v>
      </c>
      <c r="O181" s="21">
        <f>1</f>
        <v>1</v>
      </c>
      <c r="P181" s="21">
        <v>1</v>
      </c>
      <c r="Q181" s="21">
        <v>1</v>
      </c>
      <c r="R181" s="21">
        <f>-1-'vehicles specifications'!AD47</f>
        <v>-1.25</v>
      </c>
      <c r="S181" s="21">
        <v>1</v>
      </c>
      <c r="T181" s="21">
        <v>1</v>
      </c>
      <c r="U181" s="21">
        <v>1</v>
      </c>
      <c r="V181" s="21">
        <v>1</v>
      </c>
      <c r="W181" s="21">
        <v>1</v>
      </c>
      <c r="X181" s="21">
        <v>1</v>
      </c>
      <c r="Y181" s="21">
        <v>1</v>
      </c>
      <c r="Z181" s="21">
        <v>1</v>
      </c>
      <c r="AA181" s="21">
        <v>1</v>
      </c>
      <c r="AB181" s="21">
        <v>1</v>
      </c>
      <c r="AC181" s="21">
        <v>1</v>
      </c>
      <c r="AD181" s="21">
        <v>1</v>
      </c>
      <c r="AE181" s="21">
        <v>1</v>
      </c>
      <c r="AF181" s="21">
        <v>1</v>
      </c>
      <c r="AG181" s="21">
        <v>1</v>
      </c>
      <c r="AH181" s="21">
        <v>1</v>
      </c>
      <c r="AI181" s="21">
        <v>1</v>
      </c>
      <c r="AJ181" s="21">
        <v>1</v>
      </c>
      <c r="AK181" s="21">
        <v>1</v>
      </c>
      <c r="AL181" s="21">
        <v>1</v>
      </c>
      <c r="AM181" s="21">
        <v>1</v>
      </c>
      <c r="AN181" s="21">
        <v>1</v>
      </c>
      <c r="AO181" s="21">
        <v>1</v>
      </c>
      <c r="AP181" s="21">
        <v>1</v>
      </c>
      <c r="AQ181" s="21">
        <v>1</v>
      </c>
      <c r="AR181" s="21">
        <v>1</v>
      </c>
      <c r="AS181" s="21">
        <v>1</v>
      </c>
      <c r="AT181" s="21">
        <v>1</v>
      </c>
      <c r="AU181" s="21">
        <v>1</v>
      </c>
      <c r="AV181" s="21">
        <v>1</v>
      </c>
      <c r="AW181" s="21">
        <v>1</v>
      </c>
      <c r="AX181" s="21">
        <v>1</v>
      </c>
      <c r="AY181" s="21">
        <v>1</v>
      </c>
      <c r="AZ181" s="21">
        <v>1</v>
      </c>
      <c r="BA181" s="21">
        <v>1</v>
      </c>
      <c r="BB181" s="21">
        <v>1</v>
      </c>
      <c r="BC181" s="21">
        <v>1</v>
      </c>
      <c r="BD181" s="21">
        <v>1</v>
      </c>
      <c r="BE181" s="21">
        <v>1</v>
      </c>
      <c r="BF181" s="21">
        <v>1</v>
      </c>
      <c r="BG181" s="21">
        <v>1</v>
      </c>
      <c r="BH181" s="21">
        <v>1</v>
      </c>
      <c r="BI181" s="21">
        <v>-1</v>
      </c>
      <c r="BJ181" s="21">
        <v>-1</v>
      </c>
      <c r="BK181" s="21">
        <v>-1</v>
      </c>
    </row>
    <row r="182" spans="1:63" s="21" customFormat="1" x14ac:dyDescent="0.3">
      <c r="A182" s="21" t="s">
        <v>681</v>
      </c>
      <c r="B182" s="21">
        <v>1</v>
      </c>
      <c r="C182" s="2">
        <f>'vehicles specifications'!S48</f>
        <v>73</v>
      </c>
      <c r="D182" s="21">
        <v>1</v>
      </c>
      <c r="E182" s="21">
        <v>1</v>
      </c>
      <c r="F182" s="21">
        <f>1+'vehicles specifications'!AD48</f>
        <v>1</v>
      </c>
      <c r="G182" s="21">
        <f>1+'vehicles specifications'!AD48</f>
        <v>1</v>
      </c>
      <c r="J182" s="21">
        <v>1</v>
      </c>
      <c r="K182" s="21">
        <f>1/('fuels and tailpipe emissions'!$C$3*3.6)</f>
        <v>2.358490566037736E-2</v>
      </c>
      <c r="L182" s="21">
        <f t="shared" si="7"/>
        <v>0.30555555555555558</v>
      </c>
      <c r="M182" s="21">
        <f>1/'vehicles specifications'!J48</f>
        <v>2.9940119760479042E-5</v>
      </c>
      <c r="N182" s="21">
        <v>1</v>
      </c>
      <c r="O182" s="21">
        <f>1</f>
        <v>1</v>
      </c>
      <c r="P182" s="21">
        <v>1</v>
      </c>
      <c r="Q182" s="21">
        <v>1</v>
      </c>
      <c r="R182" s="21">
        <f>-1-'vehicles specifications'!AD48</f>
        <v>-1</v>
      </c>
      <c r="S182" s="21">
        <v>1</v>
      </c>
      <c r="T182" s="21">
        <v>1</v>
      </c>
      <c r="U182" s="21">
        <v>1</v>
      </c>
      <c r="V182" s="21">
        <v>1</v>
      </c>
      <c r="W182" s="21">
        <v>1</v>
      </c>
      <c r="X182" s="21">
        <v>1</v>
      </c>
      <c r="Y182" s="21">
        <v>1</v>
      </c>
      <c r="Z182" s="21">
        <v>1</v>
      </c>
      <c r="AA182" s="21">
        <v>1</v>
      </c>
      <c r="AB182" s="21">
        <v>1</v>
      </c>
      <c r="AC182" s="21">
        <v>1</v>
      </c>
      <c r="AD182" s="21">
        <v>1</v>
      </c>
      <c r="AE182" s="21">
        <v>1</v>
      </c>
      <c r="AF182" s="21">
        <v>1</v>
      </c>
      <c r="AG182" s="21">
        <v>1</v>
      </c>
      <c r="AH182" s="21">
        <v>1</v>
      </c>
      <c r="AI182" s="21">
        <v>1</v>
      </c>
      <c r="AJ182" s="21">
        <v>1</v>
      </c>
      <c r="AK182" s="21">
        <v>1</v>
      </c>
      <c r="AL182" s="21">
        <v>1</v>
      </c>
      <c r="AM182" s="21">
        <v>1</v>
      </c>
      <c r="AN182" s="21">
        <v>1</v>
      </c>
      <c r="AO182" s="21">
        <v>1</v>
      </c>
      <c r="AP182" s="21">
        <v>1</v>
      </c>
      <c r="AQ182" s="21">
        <v>1</v>
      </c>
      <c r="AR182" s="21">
        <v>1</v>
      </c>
      <c r="AS182" s="21">
        <v>1</v>
      </c>
      <c r="AT182" s="21">
        <v>1</v>
      </c>
      <c r="AU182" s="21">
        <v>1</v>
      </c>
      <c r="AV182" s="21">
        <v>1</v>
      </c>
      <c r="AW182" s="21">
        <v>1</v>
      </c>
      <c r="AX182" s="21">
        <v>1</v>
      </c>
      <c r="AY182" s="21">
        <v>1</v>
      </c>
      <c r="AZ182" s="21">
        <v>1</v>
      </c>
      <c r="BA182" s="21">
        <v>1</v>
      </c>
      <c r="BB182" s="21">
        <v>1</v>
      </c>
      <c r="BC182" s="21">
        <v>1</v>
      </c>
      <c r="BD182" s="21">
        <v>1</v>
      </c>
      <c r="BE182" s="21">
        <v>1</v>
      </c>
      <c r="BF182" s="21">
        <v>1</v>
      </c>
      <c r="BG182" s="21">
        <v>1</v>
      </c>
      <c r="BH182" s="21">
        <v>1</v>
      </c>
      <c r="BI182" s="21">
        <v>-1</v>
      </c>
      <c r="BJ182" s="21">
        <v>-1</v>
      </c>
      <c r="BK182" s="21">
        <v>-1</v>
      </c>
    </row>
    <row r="183" spans="1:63" x14ac:dyDescent="0.3">
      <c r="A183" t="s">
        <v>632</v>
      </c>
      <c r="B183">
        <v>1</v>
      </c>
      <c r="C183" s="2">
        <f>'vehicles specifications'!S49</f>
        <v>84</v>
      </c>
      <c r="D183">
        <v>1</v>
      </c>
      <c r="E183">
        <v>1</v>
      </c>
      <c r="F183">
        <f>1+'vehicles specifications'!AD49</f>
        <v>2</v>
      </c>
      <c r="G183">
        <f>1+'vehicles specifications'!AD49</f>
        <v>2</v>
      </c>
      <c r="J183">
        <v>1</v>
      </c>
      <c r="K183">
        <f>1/('fuels and tailpipe emissions'!$C$3*3.6)</f>
        <v>2.358490566037736E-2</v>
      </c>
      <c r="L183" s="21">
        <f t="shared" si="7"/>
        <v>0.30555555555555558</v>
      </c>
      <c r="M183">
        <f>1/'vehicles specifications'!J49</f>
        <v>2.5125628140703518E-5</v>
      </c>
      <c r="N183" s="21">
        <v>1</v>
      </c>
      <c r="O183">
        <f>1</f>
        <v>1</v>
      </c>
      <c r="P183">
        <v>1</v>
      </c>
      <c r="Q183">
        <v>1</v>
      </c>
      <c r="R183">
        <f>-1-'vehicles specifications'!AD49</f>
        <v>-2</v>
      </c>
      <c r="S183">
        <v>1</v>
      </c>
      <c r="T183">
        <v>1</v>
      </c>
      <c r="U183">
        <v>1</v>
      </c>
      <c r="V183">
        <v>1</v>
      </c>
      <c r="W183">
        <v>1</v>
      </c>
      <c r="X183">
        <v>1</v>
      </c>
      <c r="Y183">
        <v>1</v>
      </c>
      <c r="Z183">
        <v>1</v>
      </c>
      <c r="AA183">
        <v>1</v>
      </c>
      <c r="AB183">
        <v>1</v>
      </c>
      <c r="AC183" s="21">
        <v>1</v>
      </c>
      <c r="AD183" s="21">
        <v>1</v>
      </c>
      <c r="AE183" s="21">
        <v>1</v>
      </c>
      <c r="AF183" s="21">
        <v>1</v>
      </c>
      <c r="AG183" s="21">
        <v>1</v>
      </c>
      <c r="AH183" s="21">
        <v>1</v>
      </c>
      <c r="AI183" s="21">
        <v>1</v>
      </c>
      <c r="AJ183" s="21">
        <v>1</v>
      </c>
      <c r="AK183" s="21">
        <v>1</v>
      </c>
      <c r="AL183" s="21">
        <v>1</v>
      </c>
      <c r="AM183" s="21">
        <v>1</v>
      </c>
      <c r="AN183" s="21">
        <v>1</v>
      </c>
      <c r="AO183" s="21">
        <v>1</v>
      </c>
      <c r="AP183" s="21">
        <v>1</v>
      </c>
      <c r="AQ183" s="21">
        <v>1</v>
      </c>
      <c r="AR183" s="21">
        <v>1</v>
      </c>
      <c r="AS183" s="21">
        <v>1</v>
      </c>
      <c r="AT183" s="21">
        <v>1</v>
      </c>
      <c r="AU183" s="21">
        <v>1</v>
      </c>
      <c r="AV183" s="21">
        <v>1</v>
      </c>
      <c r="AW183" s="21">
        <v>1</v>
      </c>
      <c r="AX183" s="21">
        <v>1</v>
      </c>
      <c r="AY183" s="21">
        <v>1</v>
      </c>
      <c r="AZ183" s="21">
        <v>1</v>
      </c>
      <c r="BA183" s="21">
        <v>1</v>
      </c>
      <c r="BB183" s="21">
        <v>1</v>
      </c>
      <c r="BC183" s="21">
        <v>1</v>
      </c>
      <c r="BD183" s="21">
        <v>1</v>
      </c>
      <c r="BE183" s="21">
        <v>1</v>
      </c>
      <c r="BF183" s="21">
        <v>1</v>
      </c>
      <c r="BG183" s="21">
        <v>1</v>
      </c>
      <c r="BH183" s="21">
        <v>1</v>
      </c>
      <c r="BI183">
        <v>-1</v>
      </c>
      <c r="BJ183">
        <v>-1</v>
      </c>
      <c r="BK183">
        <v>-1</v>
      </c>
    </row>
    <row r="184" spans="1:63" x14ac:dyDescent="0.3">
      <c r="A184" t="s">
        <v>633</v>
      </c>
      <c r="B184" s="21">
        <v>1</v>
      </c>
      <c r="C184" s="2">
        <f>'vehicles specifications'!S50</f>
        <v>84</v>
      </c>
      <c r="D184">
        <v>1</v>
      </c>
      <c r="E184">
        <v>1</v>
      </c>
      <c r="F184">
        <f>1+'vehicles specifications'!AD50</f>
        <v>1.5</v>
      </c>
      <c r="G184">
        <f>1+'vehicles specifications'!AD50</f>
        <v>1.5</v>
      </c>
      <c r="J184">
        <v>1</v>
      </c>
      <c r="K184">
        <f>1/('fuels and tailpipe emissions'!$C$3*3.6)</f>
        <v>2.358490566037736E-2</v>
      </c>
      <c r="L184" s="21">
        <f t="shared" si="7"/>
        <v>0.30555555555555558</v>
      </c>
      <c r="M184">
        <f>1/'vehicles specifications'!J50</f>
        <v>2.5125628140703518E-5</v>
      </c>
      <c r="N184" s="21">
        <v>1</v>
      </c>
      <c r="O184">
        <f>1</f>
        <v>1</v>
      </c>
      <c r="P184">
        <v>1</v>
      </c>
      <c r="Q184">
        <v>1</v>
      </c>
      <c r="R184">
        <f>-1-'vehicles specifications'!AD50</f>
        <v>-1.5</v>
      </c>
      <c r="S184">
        <v>1</v>
      </c>
      <c r="T184">
        <v>1</v>
      </c>
      <c r="U184">
        <v>1</v>
      </c>
      <c r="V184">
        <v>1</v>
      </c>
      <c r="W184">
        <v>1</v>
      </c>
      <c r="X184">
        <v>1</v>
      </c>
      <c r="Y184">
        <v>1</v>
      </c>
      <c r="Z184">
        <v>1</v>
      </c>
      <c r="AA184">
        <v>1</v>
      </c>
      <c r="AB184">
        <v>1</v>
      </c>
      <c r="AC184" s="21">
        <v>1</v>
      </c>
      <c r="AD184" s="21">
        <v>1</v>
      </c>
      <c r="AE184" s="21">
        <v>1</v>
      </c>
      <c r="AF184" s="21">
        <v>1</v>
      </c>
      <c r="AG184" s="21">
        <v>1</v>
      </c>
      <c r="AH184" s="21">
        <v>1</v>
      </c>
      <c r="AI184" s="21">
        <v>1</v>
      </c>
      <c r="AJ184" s="21">
        <v>1</v>
      </c>
      <c r="AK184" s="21">
        <v>1</v>
      </c>
      <c r="AL184" s="21">
        <v>1</v>
      </c>
      <c r="AM184" s="21">
        <v>1</v>
      </c>
      <c r="AN184" s="21">
        <v>1</v>
      </c>
      <c r="AO184" s="21">
        <v>1</v>
      </c>
      <c r="AP184" s="21">
        <v>1</v>
      </c>
      <c r="AQ184" s="21">
        <v>1</v>
      </c>
      <c r="AR184" s="21">
        <v>1</v>
      </c>
      <c r="AS184" s="21">
        <v>1</v>
      </c>
      <c r="AT184" s="21">
        <v>1</v>
      </c>
      <c r="AU184" s="21">
        <v>1</v>
      </c>
      <c r="AV184" s="21">
        <v>1</v>
      </c>
      <c r="AW184" s="21">
        <v>1</v>
      </c>
      <c r="AX184" s="21">
        <v>1</v>
      </c>
      <c r="AY184" s="21">
        <v>1</v>
      </c>
      <c r="AZ184" s="21">
        <v>1</v>
      </c>
      <c r="BA184" s="21">
        <v>1</v>
      </c>
      <c r="BB184" s="21">
        <v>1</v>
      </c>
      <c r="BC184" s="21">
        <v>1</v>
      </c>
      <c r="BD184" s="21">
        <v>1</v>
      </c>
      <c r="BE184" s="21">
        <v>1</v>
      </c>
      <c r="BF184" s="21">
        <v>1</v>
      </c>
      <c r="BG184" s="21">
        <v>1</v>
      </c>
      <c r="BH184" s="21">
        <v>1</v>
      </c>
      <c r="BI184">
        <v>-1</v>
      </c>
      <c r="BJ184">
        <v>-1</v>
      </c>
      <c r="BK184">
        <v>-1</v>
      </c>
    </row>
    <row r="185" spans="1:63" x14ac:dyDescent="0.3">
      <c r="A185" t="s">
        <v>634</v>
      </c>
      <c r="B185" s="21">
        <v>1</v>
      </c>
      <c r="C185" s="2">
        <f>'vehicles specifications'!S51</f>
        <v>84</v>
      </c>
      <c r="D185">
        <v>1</v>
      </c>
      <c r="E185">
        <v>1</v>
      </c>
      <c r="F185">
        <f>1+'vehicles specifications'!AD51</f>
        <v>1.25</v>
      </c>
      <c r="G185">
        <f>1+'vehicles specifications'!AD51</f>
        <v>1.25</v>
      </c>
      <c r="J185">
        <v>1</v>
      </c>
      <c r="K185">
        <f>1/('fuels and tailpipe emissions'!$C$3*3.6)</f>
        <v>2.358490566037736E-2</v>
      </c>
      <c r="L185" s="21">
        <f t="shared" si="7"/>
        <v>0.30555555555555558</v>
      </c>
      <c r="M185">
        <f>1/'vehicles specifications'!J51</f>
        <v>2.5125628140703518E-5</v>
      </c>
      <c r="N185" s="21">
        <v>1</v>
      </c>
      <c r="O185">
        <f>1</f>
        <v>1</v>
      </c>
      <c r="P185">
        <v>1</v>
      </c>
      <c r="Q185">
        <v>1</v>
      </c>
      <c r="R185">
        <f>-1-'vehicles specifications'!AD51</f>
        <v>-1.25</v>
      </c>
      <c r="S185">
        <v>1</v>
      </c>
      <c r="T185">
        <v>1</v>
      </c>
      <c r="U185">
        <v>1</v>
      </c>
      <c r="V185">
        <v>1</v>
      </c>
      <c r="W185">
        <v>1</v>
      </c>
      <c r="X185">
        <v>1</v>
      </c>
      <c r="Y185">
        <v>1</v>
      </c>
      <c r="Z185">
        <v>1</v>
      </c>
      <c r="AA185">
        <v>1</v>
      </c>
      <c r="AB185">
        <v>1</v>
      </c>
      <c r="AC185" s="21">
        <v>1</v>
      </c>
      <c r="AD185" s="21">
        <v>1</v>
      </c>
      <c r="AE185" s="21">
        <v>1</v>
      </c>
      <c r="AF185" s="21">
        <v>1</v>
      </c>
      <c r="AG185" s="21">
        <v>1</v>
      </c>
      <c r="AH185" s="21">
        <v>1</v>
      </c>
      <c r="AI185" s="21">
        <v>1</v>
      </c>
      <c r="AJ185" s="21">
        <v>1</v>
      </c>
      <c r="AK185" s="21">
        <v>1</v>
      </c>
      <c r="AL185" s="21">
        <v>1</v>
      </c>
      <c r="AM185" s="21">
        <v>1</v>
      </c>
      <c r="AN185" s="21">
        <v>1</v>
      </c>
      <c r="AO185" s="21">
        <v>1</v>
      </c>
      <c r="AP185" s="21">
        <v>1</v>
      </c>
      <c r="AQ185" s="21">
        <v>1</v>
      </c>
      <c r="AR185" s="21">
        <v>1</v>
      </c>
      <c r="AS185" s="21">
        <v>1</v>
      </c>
      <c r="AT185" s="21">
        <v>1</v>
      </c>
      <c r="AU185" s="21">
        <v>1</v>
      </c>
      <c r="AV185" s="21">
        <v>1</v>
      </c>
      <c r="AW185" s="21">
        <v>1</v>
      </c>
      <c r="AX185" s="21">
        <v>1</v>
      </c>
      <c r="AY185" s="21">
        <v>1</v>
      </c>
      <c r="AZ185" s="21">
        <v>1</v>
      </c>
      <c r="BA185" s="21">
        <v>1</v>
      </c>
      <c r="BB185" s="21">
        <v>1</v>
      </c>
      <c r="BC185" s="21">
        <v>1</v>
      </c>
      <c r="BD185" s="21">
        <v>1</v>
      </c>
      <c r="BE185" s="21">
        <v>1</v>
      </c>
      <c r="BF185" s="21">
        <v>1</v>
      </c>
      <c r="BG185" s="21">
        <v>1</v>
      </c>
      <c r="BH185" s="21">
        <v>1</v>
      </c>
      <c r="BI185">
        <v>-1</v>
      </c>
      <c r="BJ185">
        <v>-1</v>
      </c>
      <c r="BK185">
        <v>-1</v>
      </c>
    </row>
    <row r="186" spans="1:63" x14ac:dyDescent="0.3">
      <c r="A186" t="s">
        <v>635</v>
      </c>
      <c r="B186" s="21">
        <v>1</v>
      </c>
      <c r="C186" s="2">
        <f>'vehicles specifications'!S52</f>
        <v>84</v>
      </c>
      <c r="D186">
        <v>1</v>
      </c>
      <c r="E186">
        <v>1</v>
      </c>
      <c r="F186">
        <f>1+'vehicles specifications'!AD52</f>
        <v>1</v>
      </c>
      <c r="G186">
        <f>1+'vehicles specifications'!AD52</f>
        <v>1</v>
      </c>
      <c r="J186">
        <v>1</v>
      </c>
      <c r="K186">
        <f>1/('fuels and tailpipe emissions'!$C$3*3.6)</f>
        <v>2.358490566037736E-2</v>
      </c>
      <c r="L186" s="21">
        <f t="shared" si="7"/>
        <v>0.30555555555555558</v>
      </c>
      <c r="M186">
        <f>1/'vehicles specifications'!J52</f>
        <v>2.5125628140703518E-5</v>
      </c>
      <c r="N186" s="21">
        <v>1</v>
      </c>
      <c r="O186">
        <f>1</f>
        <v>1</v>
      </c>
      <c r="P186">
        <v>1</v>
      </c>
      <c r="Q186">
        <v>1</v>
      </c>
      <c r="R186">
        <f>-1-'vehicles specifications'!AD52</f>
        <v>-1</v>
      </c>
      <c r="S186">
        <v>1</v>
      </c>
      <c r="T186">
        <v>1</v>
      </c>
      <c r="U186">
        <v>1</v>
      </c>
      <c r="V186">
        <v>1</v>
      </c>
      <c r="W186">
        <v>1</v>
      </c>
      <c r="X186">
        <v>1</v>
      </c>
      <c r="Y186">
        <v>1</v>
      </c>
      <c r="Z186">
        <v>1</v>
      </c>
      <c r="AA186">
        <v>1</v>
      </c>
      <c r="AB186">
        <v>1</v>
      </c>
      <c r="AC186" s="21">
        <v>1</v>
      </c>
      <c r="AD186" s="21">
        <v>1</v>
      </c>
      <c r="AE186" s="21">
        <v>1</v>
      </c>
      <c r="AF186" s="21">
        <v>1</v>
      </c>
      <c r="AG186" s="21">
        <v>1</v>
      </c>
      <c r="AH186" s="21">
        <v>1</v>
      </c>
      <c r="AI186" s="21">
        <v>1</v>
      </c>
      <c r="AJ186" s="21">
        <v>1</v>
      </c>
      <c r="AK186" s="21">
        <v>1</v>
      </c>
      <c r="AL186" s="21">
        <v>1</v>
      </c>
      <c r="AM186" s="21">
        <v>1</v>
      </c>
      <c r="AN186" s="21">
        <v>1</v>
      </c>
      <c r="AO186" s="21">
        <v>1</v>
      </c>
      <c r="AP186" s="21">
        <v>1</v>
      </c>
      <c r="AQ186" s="21">
        <v>1</v>
      </c>
      <c r="AR186" s="21">
        <v>1</v>
      </c>
      <c r="AS186" s="21">
        <v>1</v>
      </c>
      <c r="AT186" s="21">
        <v>1</v>
      </c>
      <c r="AU186" s="21">
        <v>1</v>
      </c>
      <c r="AV186" s="21">
        <v>1</v>
      </c>
      <c r="AW186" s="21">
        <v>1</v>
      </c>
      <c r="AX186" s="21">
        <v>1</v>
      </c>
      <c r="AY186" s="21">
        <v>1</v>
      </c>
      <c r="AZ186" s="21">
        <v>1</v>
      </c>
      <c r="BA186" s="21">
        <v>1</v>
      </c>
      <c r="BB186" s="21">
        <v>1</v>
      </c>
      <c r="BC186" s="21">
        <v>1</v>
      </c>
      <c r="BD186" s="21">
        <v>1</v>
      </c>
      <c r="BE186" s="21">
        <v>1</v>
      </c>
      <c r="BF186" s="21">
        <v>1</v>
      </c>
      <c r="BG186" s="21">
        <v>1</v>
      </c>
      <c r="BH186" s="21">
        <v>1</v>
      </c>
      <c r="BI186">
        <v>-1</v>
      </c>
      <c r="BJ186">
        <v>-1</v>
      </c>
      <c r="BK186">
        <v>-1</v>
      </c>
    </row>
    <row r="187" spans="1:63" x14ac:dyDescent="0.3">
      <c r="A187" t="s">
        <v>715</v>
      </c>
      <c r="B187">
        <f t="shared" ref="B187:D204" si="8">1/90</f>
        <v>1.1111111111111112E-2</v>
      </c>
      <c r="C187" s="2">
        <f>'vehicles specifications'!S53</f>
        <v>65.433826960328489</v>
      </c>
      <c r="D187">
        <f t="shared" si="8"/>
        <v>1.1111111111111112E-2</v>
      </c>
      <c r="F187">
        <f>1+'vehicles specifications'!AD53</f>
        <v>1</v>
      </c>
      <c r="G187">
        <f>1+'vehicles specifications'!AD53</f>
        <v>1</v>
      </c>
      <c r="H187">
        <v>1</v>
      </c>
      <c r="I187">
        <v>1</v>
      </c>
      <c r="K187">
        <f>1/('fuels and tailpipe emissions'!$C$3*3.6)</f>
        <v>2.358490566037736E-2</v>
      </c>
      <c r="L187" s="21">
        <f t="shared" si="7"/>
        <v>0.30555555555555558</v>
      </c>
      <c r="M187">
        <f>1/'vehicles specifications'!J53</f>
        <v>2.5125628140703518E-5</v>
      </c>
      <c r="N187" s="21">
        <v>1</v>
      </c>
      <c r="O187">
        <f>1</f>
        <v>1</v>
      </c>
      <c r="P187">
        <v>-1</v>
      </c>
      <c r="Q187">
        <v>-1</v>
      </c>
      <c r="R187">
        <f>-1-'vehicles specifications'!AD53</f>
        <v>-1</v>
      </c>
      <c r="S187">
        <v>1</v>
      </c>
      <c r="T187">
        <v>1</v>
      </c>
      <c r="U187">
        <v>1</v>
      </c>
      <c r="V187">
        <v>1</v>
      </c>
      <c r="W187">
        <v>1</v>
      </c>
      <c r="X187">
        <v>1</v>
      </c>
      <c r="Y187">
        <v>1</v>
      </c>
      <c r="Z187">
        <v>1</v>
      </c>
      <c r="AA187">
        <v>1</v>
      </c>
      <c r="AB187">
        <v>1</v>
      </c>
      <c r="AC187" s="21">
        <v>1</v>
      </c>
      <c r="AD187" s="21">
        <v>1</v>
      </c>
      <c r="AE187" s="21">
        <v>1</v>
      </c>
      <c r="AF187" s="21">
        <v>1</v>
      </c>
      <c r="AG187" s="21">
        <v>1</v>
      </c>
      <c r="AH187" s="21">
        <v>1</v>
      </c>
      <c r="AI187" s="21">
        <v>1</v>
      </c>
      <c r="AJ187" s="21">
        <v>1</v>
      </c>
      <c r="AK187" s="21">
        <v>1</v>
      </c>
      <c r="AL187" s="21">
        <v>1</v>
      </c>
      <c r="AM187" s="21">
        <v>1</v>
      </c>
      <c r="AN187" s="21">
        <v>1</v>
      </c>
      <c r="AO187" s="21">
        <v>1</v>
      </c>
      <c r="AP187" s="21">
        <v>1</v>
      </c>
      <c r="AQ187" s="21">
        <v>1</v>
      </c>
      <c r="AR187" s="21">
        <v>1</v>
      </c>
      <c r="AS187" s="21">
        <v>1</v>
      </c>
      <c r="AT187" s="21">
        <v>1</v>
      </c>
      <c r="AU187" s="21">
        <v>1</v>
      </c>
      <c r="AV187" s="21">
        <v>1</v>
      </c>
      <c r="AW187" s="21">
        <v>1</v>
      </c>
      <c r="AX187" s="21">
        <v>1</v>
      </c>
      <c r="AY187" s="21">
        <v>1</v>
      </c>
      <c r="AZ187" s="21">
        <v>1</v>
      </c>
      <c r="BA187" s="21">
        <v>1</v>
      </c>
      <c r="BB187" s="21">
        <v>1</v>
      </c>
      <c r="BC187" s="21">
        <v>1</v>
      </c>
      <c r="BD187" s="21">
        <v>1</v>
      </c>
      <c r="BE187" s="21">
        <v>1</v>
      </c>
      <c r="BF187" s="21">
        <v>1</v>
      </c>
      <c r="BG187" s="21">
        <v>1</v>
      </c>
      <c r="BH187" s="21">
        <v>1</v>
      </c>
      <c r="BI187">
        <v>-1</v>
      </c>
      <c r="BJ187">
        <v>-1</v>
      </c>
      <c r="BK187">
        <v>-1</v>
      </c>
    </row>
    <row r="188" spans="1:63" x14ac:dyDescent="0.3">
      <c r="A188" t="s">
        <v>716</v>
      </c>
      <c r="B188">
        <f t="shared" si="8"/>
        <v>1.1111111111111112E-2</v>
      </c>
      <c r="C188" s="2">
        <f>'vehicles specifications'!S54</f>
        <v>65.433826960328489</v>
      </c>
      <c r="D188">
        <f t="shared" si="8"/>
        <v>1.1111111111111112E-2</v>
      </c>
      <c r="F188">
        <f>1+'vehicles specifications'!AD54</f>
        <v>1</v>
      </c>
      <c r="G188">
        <f>1+'vehicles specifications'!AD54</f>
        <v>1</v>
      </c>
      <c r="H188">
        <v>1</v>
      </c>
      <c r="I188">
        <v>1</v>
      </c>
      <c r="K188">
        <f>1/('fuels and tailpipe emissions'!$C$3*3.6)</f>
        <v>2.358490566037736E-2</v>
      </c>
      <c r="L188" s="21">
        <f t="shared" si="7"/>
        <v>0.30555555555555558</v>
      </c>
      <c r="M188">
        <f>1/'vehicles specifications'!J54</f>
        <v>2.5125628140703518E-5</v>
      </c>
      <c r="N188" s="21">
        <v>1</v>
      </c>
      <c r="O188">
        <f>1</f>
        <v>1</v>
      </c>
      <c r="P188">
        <v>-1</v>
      </c>
      <c r="Q188">
        <v>-1</v>
      </c>
      <c r="R188">
        <f>-1-'vehicles specifications'!AD54</f>
        <v>-1</v>
      </c>
      <c r="S188">
        <v>1</v>
      </c>
      <c r="T188">
        <v>1</v>
      </c>
      <c r="U188">
        <v>1</v>
      </c>
      <c r="V188">
        <v>1</v>
      </c>
      <c r="W188">
        <v>1</v>
      </c>
      <c r="X188">
        <v>1</v>
      </c>
      <c r="Y188">
        <v>1</v>
      </c>
      <c r="Z188">
        <v>1</v>
      </c>
      <c r="AA188">
        <v>1</v>
      </c>
      <c r="AB188">
        <v>1</v>
      </c>
      <c r="AC188" s="21">
        <v>1</v>
      </c>
      <c r="AD188" s="21">
        <v>1</v>
      </c>
      <c r="AE188" s="21">
        <v>1</v>
      </c>
      <c r="AF188" s="21">
        <v>1</v>
      </c>
      <c r="AG188" s="21">
        <v>1</v>
      </c>
      <c r="AH188" s="21">
        <v>1</v>
      </c>
      <c r="AI188" s="21">
        <v>1</v>
      </c>
      <c r="AJ188" s="21">
        <v>1</v>
      </c>
      <c r="AK188" s="21">
        <v>1</v>
      </c>
      <c r="AL188" s="21">
        <v>1</v>
      </c>
      <c r="AM188" s="21">
        <v>1</v>
      </c>
      <c r="AN188" s="21">
        <v>1</v>
      </c>
      <c r="AO188" s="21">
        <v>1</v>
      </c>
      <c r="AP188" s="21">
        <v>1</v>
      </c>
      <c r="AQ188" s="21">
        <v>1</v>
      </c>
      <c r="AR188" s="21">
        <v>1</v>
      </c>
      <c r="AS188" s="21">
        <v>1</v>
      </c>
      <c r="AT188" s="21">
        <v>1</v>
      </c>
      <c r="AU188" s="21">
        <v>1</v>
      </c>
      <c r="AV188" s="21">
        <v>1</v>
      </c>
      <c r="AW188" s="21">
        <v>1</v>
      </c>
      <c r="AX188" s="21">
        <v>1</v>
      </c>
      <c r="AY188" s="21">
        <v>1</v>
      </c>
      <c r="AZ188" s="21">
        <v>1</v>
      </c>
      <c r="BA188" s="21">
        <v>1</v>
      </c>
      <c r="BB188" s="21">
        <v>1</v>
      </c>
      <c r="BC188" s="21">
        <v>1</v>
      </c>
      <c r="BD188" s="21">
        <v>1</v>
      </c>
      <c r="BE188" s="21">
        <v>1</v>
      </c>
      <c r="BF188" s="21">
        <v>1</v>
      </c>
      <c r="BG188" s="21">
        <v>1</v>
      </c>
      <c r="BH188" s="21">
        <v>1</v>
      </c>
      <c r="BI188">
        <v>-1</v>
      </c>
      <c r="BJ188">
        <v>-1</v>
      </c>
      <c r="BK188">
        <v>-1</v>
      </c>
    </row>
    <row r="189" spans="1:63" x14ac:dyDescent="0.3">
      <c r="A189" t="s">
        <v>717</v>
      </c>
      <c r="B189">
        <f t="shared" si="8"/>
        <v>1.1111111111111112E-2</v>
      </c>
      <c r="C189" s="2">
        <f>'vehicles specifications'!S55</f>
        <v>65.433826960328489</v>
      </c>
      <c r="D189">
        <f t="shared" si="8"/>
        <v>1.1111111111111112E-2</v>
      </c>
      <c r="F189">
        <f>1+'vehicles specifications'!AD55</f>
        <v>1</v>
      </c>
      <c r="G189">
        <f>1+'vehicles specifications'!AD55</f>
        <v>1</v>
      </c>
      <c r="H189">
        <v>1</v>
      </c>
      <c r="I189">
        <v>1</v>
      </c>
      <c r="K189">
        <f>1/('fuels and tailpipe emissions'!$C$3*3.6)</f>
        <v>2.358490566037736E-2</v>
      </c>
      <c r="L189" s="21">
        <f t="shared" si="7"/>
        <v>0.30555555555555558</v>
      </c>
      <c r="M189">
        <f>1/'vehicles specifications'!J55</f>
        <v>2.5125628140703518E-5</v>
      </c>
      <c r="N189" s="21">
        <v>1</v>
      </c>
      <c r="O189">
        <f>1</f>
        <v>1</v>
      </c>
      <c r="P189">
        <v>-1</v>
      </c>
      <c r="Q189">
        <v>-1</v>
      </c>
      <c r="R189">
        <f>-1-'vehicles specifications'!AD55</f>
        <v>-1</v>
      </c>
      <c r="S189">
        <v>1</v>
      </c>
      <c r="T189">
        <v>1</v>
      </c>
      <c r="U189">
        <v>1</v>
      </c>
      <c r="V189">
        <v>1</v>
      </c>
      <c r="W189">
        <v>1</v>
      </c>
      <c r="X189">
        <v>1</v>
      </c>
      <c r="Y189">
        <v>1</v>
      </c>
      <c r="Z189">
        <v>1</v>
      </c>
      <c r="AA189">
        <v>1</v>
      </c>
      <c r="AB189">
        <v>1</v>
      </c>
      <c r="AC189" s="21">
        <v>1</v>
      </c>
      <c r="AD189" s="21">
        <v>1</v>
      </c>
      <c r="AE189" s="21">
        <v>1</v>
      </c>
      <c r="AF189" s="21">
        <v>1</v>
      </c>
      <c r="AG189" s="21">
        <v>1</v>
      </c>
      <c r="AH189" s="21">
        <v>1</v>
      </c>
      <c r="AI189" s="21">
        <v>1</v>
      </c>
      <c r="AJ189" s="21">
        <v>1</v>
      </c>
      <c r="AK189" s="21">
        <v>1</v>
      </c>
      <c r="AL189" s="21">
        <v>1</v>
      </c>
      <c r="AM189" s="21">
        <v>1</v>
      </c>
      <c r="AN189" s="21">
        <v>1</v>
      </c>
      <c r="AO189" s="21">
        <v>1</v>
      </c>
      <c r="AP189" s="21">
        <v>1</v>
      </c>
      <c r="AQ189" s="21">
        <v>1</v>
      </c>
      <c r="AR189" s="21">
        <v>1</v>
      </c>
      <c r="AS189" s="21">
        <v>1</v>
      </c>
      <c r="AT189" s="21">
        <v>1</v>
      </c>
      <c r="AU189" s="21">
        <v>1</v>
      </c>
      <c r="AV189" s="21">
        <v>1</v>
      </c>
      <c r="AW189" s="21">
        <v>1</v>
      </c>
      <c r="AX189" s="21">
        <v>1</v>
      </c>
      <c r="AY189" s="21">
        <v>1</v>
      </c>
      <c r="AZ189" s="21">
        <v>1</v>
      </c>
      <c r="BA189" s="21">
        <v>1</v>
      </c>
      <c r="BB189" s="21">
        <v>1</v>
      </c>
      <c r="BC189" s="21">
        <v>1</v>
      </c>
      <c r="BD189" s="21">
        <v>1</v>
      </c>
      <c r="BE189" s="21">
        <v>1</v>
      </c>
      <c r="BF189" s="21">
        <v>1</v>
      </c>
      <c r="BG189" s="21">
        <v>1</v>
      </c>
      <c r="BH189" s="21">
        <v>1</v>
      </c>
      <c r="BI189">
        <v>-1</v>
      </c>
      <c r="BJ189">
        <v>-1</v>
      </c>
      <c r="BK189">
        <v>-1</v>
      </c>
    </row>
    <row r="190" spans="1:63" x14ac:dyDescent="0.3">
      <c r="A190" t="s">
        <v>718</v>
      </c>
      <c r="B190">
        <f t="shared" si="8"/>
        <v>1.1111111111111112E-2</v>
      </c>
      <c r="C190" s="2">
        <f>'vehicles specifications'!S56</f>
        <v>65.433826960328489</v>
      </c>
      <c r="D190">
        <f t="shared" si="8"/>
        <v>1.1111111111111112E-2</v>
      </c>
      <c r="F190">
        <f>1+'vehicles specifications'!AD56</f>
        <v>1</v>
      </c>
      <c r="G190">
        <f>1+'vehicles specifications'!AD56</f>
        <v>1</v>
      </c>
      <c r="H190">
        <v>1</v>
      </c>
      <c r="I190">
        <v>1</v>
      </c>
      <c r="K190">
        <f>1/('fuels and tailpipe emissions'!$C$3*3.6)</f>
        <v>2.358490566037736E-2</v>
      </c>
      <c r="L190" s="21">
        <f t="shared" si="7"/>
        <v>0.30555555555555558</v>
      </c>
      <c r="M190">
        <f>1/'vehicles specifications'!J56</f>
        <v>2.5125628140703518E-5</v>
      </c>
      <c r="N190" s="21">
        <v>1</v>
      </c>
      <c r="O190">
        <f>1</f>
        <v>1</v>
      </c>
      <c r="P190">
        <v>-1</v>
      </c>
      <c r="Q190">
        <v>-1</v>
      </c>
      <c r="R190">
        <f>-1-'vehicles specifications'!AD56</f>
        <v>-1</v>
      </c>
      <c r="S190">
        <v>1</v>
      </c>
      <c r="T190">
        <v>1</v>
      </c>
      <c r="U190">
        <v>1</v>
      </c>
      <c r="V190">
        <v>1</v>
      </c>
      <c r="W190">
        <v>1</v>
      </c>
      <c r="X190">
        <v>1</v>
      </c>
      <c r="Y190">
        <v>1</v>
      </c>
      <c r="Z190">
        <v>1</v>
      </c>
      <c r="AA190">
        <v>1</v>
      </c>
      <c r="AB190">
        <v>1</v>
      </c>
      <c r="AC190" s="21">
        <v>1</v>
      </c>
      <c r="AD190" s="21">
        <v>1</v>
      </c>
      <c r="AE190" s="21">
        <v>1</v>
      </c>
      <c r="AF190" s="21">
        <v>1</v>
      </c>
      <c r="AG190" s="21">
        <v>1</v>
      </c>
      <c r="AH190" s="21">
        <v>1</v>
      </c>
      <c r="AI190" s="21">
        <v>1</v>
      </c>
      <c r="AJ190" s="21">
        <v>1</v>
      </c>
      <c r="AK190" s="21">
        <v>1</v>
      </c>
      <c r="AL190" s="21">
        <v>1</v>
      </c>
      <c r="AM190" s="21">
        <v>1</v>
      </c>
      <c r="AN190" s="21">
        <v>1</v>
      </c>
      <c r="AO190" s="21">
        <v>1</v>
      </c>
      <c r="AP190" s="21">
        <v>1</v>
      </c>
      <c r="AQ190" s="21">
        <v>1</v>
      </c>
      <c r="AR190" s="21">
        <v>1</v>
      </c>
      <c r="AS190" s="21">
        <v>1</v>
      </c>
      <c r="AT190" s="21">
        <v>1</v>
      </c>
      <c r="AU190" s="21">
        <v>1</v>
      </c>
      <c r="AV190" s="21">
        <v>1</v>
      </c>
      <c r="AW190" s="21">
        <v>1</v>
      </c>
      <c r="AX190" s="21">
        <v>1</v>
      </c>
      <c r="AY190" s="21">
        <v>1</v>
      </c>
      <c r="AZ190" s="21">
        <v>1</v>
      </c>
      <c r="BA190" s="21">
        <v>1</v>
      </c>
      <c r="BB190" s="21">
        <v>1</v>
      </c>
      <c r="BC190" s="21">
        <v>1</v>
      </c>
      <c r="BD190" s="21">
        <v>1</v>
      </c>
      <c r="BE190" s="21">
        <v>1</v>
      </c>
      <c r="BF190" s="21">
        <v>1</v>
      </c>
      <c r="BG190" s="21">
        <v>1</v>
      </c>
      <c r="BH190" s="21">
        <v>1</v>
      </c>
      <c r="BI190">
        <v>-1</v>
      </c>
      <c r="BJ190">
        <v>-1</v>
      </c>
      <c r="BK190">
        <v>-1</v>
      </c>
    </row>
    <row r="191" spans="1:63" x14ac:dyDescent="0.3">
      <c r="A191" t="s">
        <v>719</v>
      </c>
      <c r="B191">
        <f t="shared" si="8"/>
        <v>1.1111111111111112E-2</v>
      </c>
      <c r="C191" s="2">
        <f>'vehicles specifications'!S57</f>
        <v>65.433826960328489</v>
      </c>
      <c r="D191">
        <f t="shared" si="8"/>
        <v>1.1111111111111112E-2</v>
      </c>
      <c r="F191">
        <f>1+'vehicles specifications'!AD57</f>
        <v>1</v>
      </c>
      <c r="G191">
        <f>1+'vehicles specifications'!AD57</f>
        <v>1</v>
      </c>
      <c r="H191">
        <v>1</v>
      </c>
      <c r="I191">
        <v>1</v>
      </c>
      <c r="K191">
        <f>1/('fuels and tailpipe emissions'!$C$3*3.6)</f>
        <v>2.358490566037736E-2</v>
      </c>
      <c r="L191" s="21">
        <f t="shared" si="7"/>
        <v>0.30555555555555558</v>
      </c>
      <c r="M191">
        <f>1/'vehicles specifications'!J57</f>
        <v>2.5125628140703518E-5</v>
      </c>
      <c r="N191" s="21">
        <v>1</v>
      </c>
      <c r="O191">
        <f>1</f>
        <v>1</v>
      </c>
      <c r="P191">
        <v>-1</v>
      </c>
      <c r="Q191">
        <v>-1</v>
      </c>
      <c r="R191">
        <f>-1-'vehicles specifications'!AD57</f>
        <v>-1</v>
      </c>
      <c r="S191">
        <v>1</v>
      </c>
      <c r="T191">
        <v>1</v>
      </c>
      <c r="U191">
        <v>1</v>
      </c>
      <c r="V191">
        <v>1</v>
      </c>
      <c r="W191">
        <v>1</v>
      </c>
      <c r="X191">
        <v>1</v>
      </c>
      <c r="Y191">
        <v>1</v>
      </c>
      <c r="Z191">
        <v>1</v>
      </c>
      <c r="AA191">
        <v>1</v>
      </c>
      <c r="AB191">
        <v>1</v>
      </c>
      <c r="AC191" s="21">
        <v>1</v>
      </c>
      <c r="AD191" s="21">
        <v>1</v>
      </c>
      <c r="AE191" s="21">
        <v>1</v>
      </c>
      <c r="AF191" s="21">
        <v>1</v>
      </c>
      <c r="AG191" s="21">
        <v>1</v>
      </c>
      <c r="AH191" s="21">
        <v>1</v>
      </c>
      <c r="AI191" s="21">
        <v>1</v>
      </c>
      <c r="AJ191" s="21">
        <v>1</v>
      </c>
      <c r="AK191" s="21">
        <v>1</v>
      </c>
      <c r="AL191" s="21">
        <v>1</v>
      </c>
      <c r="AM191" s="21">
        <v>1</v>
      </c>
      <c r="AN191" s="21">
        <v>1</v>
      </c>
      <c r="AO191" s="21">
        <v>1</v>
      </c>
      <c r="AP191" s="21">
        <v>1</v>
      </c>
      <c r="AQ191" s="21">
        <v>1</v>
      </c>
      <c r="AR191" s="21">
        <v>1</v>
      </c>
      <c r="AS191" s="21">
        <v>1</v>
      </c>
      <c r="AT191" s="21">
        <v>1</v>
      </c>
      <c r="AU191" s="21">
        <v>1</v>
      </c>
      <c r="AV191" s="21">
        <v>1</v>
      </c>
      <c r="AW191" s="21">
        <v>1</v>
      </c>
      <c r="AX191" s="21">
        <v>1</v>
      </c>
      <c r="AY191" s="21">
        <v>1</v>
      </c>
      <c r="AZ191" s="21">
        <v>1</v>
      </c>
      <c r="BA191" s="21">
        <v>1</v>
      </c>
      <c r="BB191" s="21">
        <v>1</v>
      </c>
      <c r="BC191" s="21">
        <v>1</v>
      </c>
      <c r="BD191" s="21">
        <v>1</v>
      </c>
      <c r="BE191" s="21">
        <v>1</v>
      </c>
      <c r="BF191" s="21">
        <v>1</v>
      </c>
      <c r="BG191" s="21">
        <v>1</v>
      </c>
      <c r="BH191" s="21">
        <v>1</v>
      </c>
      <c r="BI191">
        <v>-1</v>
      </c>
      <c r="BJ191">
        <v>-1</v>
      </c>
      <c r="BK191">
        <v>-1</v>
      </c>
    </row>
    <row r="192" spans="1:63" x14ac:dyDescent="0.3">
      <c r="A192" t="s">
        <v>720</v>
      </c>
      <c r="B192">
        <f t="shared" si="8"/>
        <v>1.1111111111111112E-2</v>
      </c>
      <c r="C192" s="2">
        <f>'vehicles specifications'!S58</f>
        <v>65.433826960328489</v>
      </c>
      <c r="D192">
        <f t="shared" si="8"/>
        <v>1.1111111111111112E-2</v>
      </c>
      <c r="F192">
        <f>1+'vehicles specifications'!AD58</f>
        <v>1</v>
      </c>
      <c r="G192">
        <f>1+'vehicles specifications'!AD58</f>
        <v>1</v>
      </c>
      <c r="H192">
        <v>1</v>
      </c>
      <c r="I192">
        <v>1</v>
      </c>
      <c r="K192">
        <f>1/('fuels and tailpipe emissions'!$C$3*3.6)</f>
        <v>2.358490566037736E-2</v>
      </c>
      <c r="L192" s="21">
        <f t="shared" si="7"/>
        <v>0.30555555555555558</v>
      </c>
      <c r="M192">
        <f>1/'vehicles specifications'!J58</f>
        <v>2.5125628140703518E-5</v>
      </c>
      <c r="N192" s="21">
        <v>1</v>
      </c>
      <c r="O192">
        <f>1</f>
        <v>1</v>
      </c>
      <c r="P192">
        <v>-1</v>
      </c>
      <c r="Q192">
        <v>-1</v>
      </c>
      <c r="R192">
        <f>-1-'vehicles specifications'!AD58</f>
        <v>-1</v>
      </c>
      <c r="S192">
        <v>1</v>
      </c>
      <c r="T192">
        <v>1</v>
      </c>
      <c r="U192">
        <v>1</v>
      </c>
      <c r="V192">
        <v>1</v>
      </c>
      <c r="W192">
        <v>1</v>
      </c>
      <c r="X192">
        <v>1</v>
      </c>
      <c r="Y192">
        <v>1</v>
      </c>
      <c r="Z192">
        <v>1</v>
      </c>
      <c r="AA192">
        <v>1</v>
      </c>
      <c r="AB192">
        <v>1</v>
      </c>
      <c r="AC192" s="21">
        <v>1</v>
      </c>
      <c r="AD192" s="21">
        <v>1</v>
      </c>
      <c r="AE192" s="21">
        <v>1</v>
      </c>
      <c r="AF192" s="21">
        <v>1</v>
      </c>
      <c r="AG192" s="21">
        <v>1</v>
      </c>
      <c r="AH192" s="21">
        <v>1</v>
      </c>
      <c r="AI192" s="21">
        <v>1</v>
      </c>
      <c r="AJ192" s="21">
        <v>1</v>
      </c>
      <c r="AK192" s="21">
        <v>1</v>
      </c>
      <c r="AL192" s="21">
        <v>1</v>
      </c>
      <c r="AM192" s="21">
        <v>1</v>
      </c>
      <c r="AN192" s="21">
        <v>1</v>
      </c>
      <c r="AO192" s="21">
        <v>1</v>
      </c>
      <c r="AP192" s="21">
        <v>1</v>
      </c>
      <c r="AQ192" s="21">
        <v>1</v>
      </c>
      <c r="AR192" s="21">
        <v>1</v>
      </c>
      <c r="AS192" s="21">
        <v>1</v>
      </c>
      <c r="AT192" s="21">
        <v>1</v>
      </c>
      <c r="AU192" s="21">
        <v>1</v>
      </c>
      <c r="AV192" s="21">
        <v>1</v>
      </c>
      <c r="AW192" s="21">
        <v>1</v>
      </c>
      <c r="AX192" s="21">
        <v>1</v>
      </c>
      <c r="AY192" s="21">
        <v>1</v>
      </c>
      <c r="AZ192" s="21">
        <v>1</v>
      </c>
      <c r="BA192" s="21">
        <v>1</v>
      </c>
      <c r="BB192" s="21">
        <v>1</v>
      </c>
      <c r="BC192" s="21">
        <v>1</v>
      </c>
      <c r="BD192" s="21">
        <v>1</v>
      </c>
      <c r="BE192" s="21">
        <v>1</v>
      </c>
      <c r="BF192" s="21">
        <v>1</v>
      </c>
      <c r="BG192" s="21">
        <v>1</v>
      </c>
      <c r="BH192" s="21">
        <v>1</v>
      </c>
      <c r="BI192">
        <v>-1</v>
      </c>
      <c r="BJ192">
        <v>-1</v>
      </c>
      <c r="BK192">
        <v>-1</v>
      </c>
    </row>
    <row r="193" spans="1:63" x14ac:dyDescent="0.3">
      <c r="A193" t="s">
        <v>697</v>
      </c>
      <c r="B193">
        <f t="shared" si="8"/>
        <v>1.1111111111111112E-2</v>
      </c>
      <c r="C193" s="2">
        <f>'vehicles specifications'!S59</f>
        <v>81</v>
      </c>
      <c r="D193">
        <f t="shared" si="8"/>
        <v>1.1111111111111112E-2</v>
      </c>
      <c r="F193">
        <f>1+'vehicles specifications'!AD59</f>
        <v>1</v>
      </c>
      <c r="G193">
        <f>1+'vehicles specifications'!AD59</f>
        <v>1</v>
      </c>
      <c r="H193">
        <v>1</v>
      </c>
      <c r="I193">
        <v>1</v>
      </c>
      <c r="K193">
        <f>1/('fuels and tailpipe emissions'!$C$3*3.6)</f>
        <v>2.358490566037736E-2</v>
      </c>
      <c r="L193" s="21">
        <f t="shared" si="7"/>
        <v>0.30555555555555558</v>
      </c>
      <c r="M193">
        <f>1/'vehicles specifications'!J59</f>
        <v>1.6103059581320449E-5</v>
      </c>
      <c r="N193" s="21">
        <v>1</v>
      </c>
      <c r="O193">
        <f>1</f>
        <v>1</v>
      </c>
      <c r="P193">
        <v>-1</v>
      </c>
      <c r="Q193">
        <v>-1</v>
      </c>
      <c r="R193">
        <f>-1-'vehicles specifications'!AD59</f>
        <v>-1</v>
      </c>
      <c r="S193">
        <v>1</v>
      </c>
      <c r="T193">
        <v>1</v>
      </c>
      <c r="U193">
        <v>1</v>
      </c>
      <c r="V193">
        <v>1</v>
      </c>
      <c r="W193">
        <v>1</v>
      </c>
      <c r="X193">
        <v>1</v>
      </c>
      <c r="Y193">
        <v>1</v>
      </c>
      <c r="Z193">
        <v>1</v>
      </c>
      <c r="AA193">
        <v>1</v>
      </c>
      <c r="AB193">
        <v>1</v>
      </c>
      <c r="AC193" s="21">
        <v>1</v>
      </c>
      <c r="AD193" s="21">
        <v>1</v>
      </c>
      <c r="AE193" s="21">
        <v>1</v>
      </c>
      <c r="AF193" s="21">
        <v>1</v>
      </c>
      <c r="AG193" s="21">
        <v>1</v>
      </c>
      <c r="AH193" s="21">
        <v>1</v>
      </c>
      <c r="AI193" s="21">
        <v>1</v>
      </c>
      <c r="AJ193" s="21">
        <v>1</v>
      </c>
      <c r="AK193" s="21">
        <v>1</v>
      </c>
      <c r="AL193" s="21">
        <v>1</v>
      </c>
      <c r="AM193" s="21">
        <v>1</v>
      </c>
      <c r="AN193" s="21">
        <v>1</v>
      </c>
      <c r="AO193" s="21">
        <v>1</v>
      </c>
      <c r="AP193" s="21">
        <v>1</v>
      </c>
      <c r="AQ193" s="21">
        <v>1</v>
      </c>
      <c r="AR193" s="21">
        <v>1</v>
      </c>
      <c r="AS193" s="21">
        <v>1</v>
      </c>
      <c r="AT193" s="21">
        <v>1</v>
      </c>
      <c r="AU193" s="21">
        <v>1</v>
      </c>
      <c r="AV193" s="21">
        <v>1</v>
      </c>
      <c r="AW193" s="21">
        <v>1</v>
      </c>
      <c r="AX193" s="21">
        <v>1</v>
      </c>
      <c r="AY193" s="21">
        <v>1</v>
      </c>
      <c r="AZ193" s="21">
        <v>1</v>
      </c>
      <c r="BA193" s="21">
        <v>1</v>
      </c>
      <c r="BB193" s="21">
        <v>1</v>
      </c>
      <c r="BC193" s="21">
        <v>1</v>
      </c>
      <c r="BD193" s="21">
        <v>1</v>
      </c>
      <c r="BE193" s="21">
        <v>1</v>
      </c>
      <c r="BF193" s="21">
        <v>1</v>
      </c>
      <c r="BG193" s="21">
        <v>1</v>
      </c>
      <c r="BH193" s="21">
        <v>1</v>
      </c>
      <c r="BI193">
        <v>-1</v>
      </c>
      <c r="BJ193">
        <v>-1</v>
      </c>
      <c r="BK193">
        <v>-1</v>
      </c>
    </row>
    <row r="194" spans="1:63" x14ac:dyDescent="0.3">
      <c r="A194" t="s">
        <v>698</v>
      </c>
      <c r="B194">
        <f t="shared" si="8"/>
        <v>1.1111111111111112E-2</v>
      </c>
      <c r="C194" s="2">
        <f>'vehicles specifications'!S60</f>
        <v>81</v>
      </c>
      <c r="D194">
        <f t="shared" si="8"/>
        <v>1.1111111111111112E-2</v>
      </c>
      <c r="F194">
        <f>1+'vehicles specifications'!AD60</f>
        <v>1</v>
      </c>
      <c r="G194">
        <f>1+'vehicles specifications'!AD60</f>
        <v>1</v>
      </c>
      <c r="H194">
        <v>1</v>
      </c>
      <c r="I194">
        <v>1</v>
      </c>
      <c r="K194">
        <f>1/('fuels and tailpipe emissions'!$C$3*3.6)</f>
        <v>2.358490566037736E-2</v>
      </c>
      <c r="L194" s="21">
        <f t="shared" si="7"/>
        <v>0.30555555555555558</v>
      </c>
      <c r="M194">
        <f>1/'vehicles specifications'!J60</f>
        <v>1.6103059581320449E-5</v>
      </c>
      <c r="N194" s="21">
        <v>1</v>
      </c>
      <c r="O194">
        <f>1</f>
        <v>1</v>
      </c>
      <c r="P194">
        <v>-1</v>
      </c>
      <c r="Q194">
        <v>-1</v>
      </c>
      <c r="R194">
        <f>-1-'vehicles specifications'!AD60</f>
        <v>-1</v>
      </c>
      <c r="S194">
        <v>1</v>
      </c>
      <c r="T194">
        <v>1</v>
      </c>
      <c r="U194">
        <v>1</v>
      </c>
      <c r="V194">
        <v>1</v>
      </c>
      <c r="W194">
        <v>1</v>
      </c>
      <c r="X194">
        <v>1</v>
      </c>
      <c r="Y194">
        <v>1</v>
      </c>
      <c r="Z194">
        <v>1</v>
      </c>
      <c r="AA194">
        <v>1</v>
      </c>
      <c r="AB194">
        <v>1</v>
      </c>
      <c r="AC194" s="21">
        <v>1</v>
      </c>
      <c r="AD194" s="21">
        <v>1</v>
      </c>
      <c r="AE194" s="21">
        <v>1</v>
      </c>
      <c r="AF194" s="21">
        <v>1</v>
      </c>
      <c r="AG194" s="21">
        <v>1</v>
      </c>
      <c r="AH194" s="21">
        <v>1</v>
      </c>
      <c r="AI194" s="21">
        <v>1</v>
      </c>
      <c r="AJ194" s="21">
        <v>1</v>
      </c>
      <c r="AK194" s="21">
        <v>1</v>
      </c>
      <c r="AL194" s="21">
        <v>1</v>
      </c>
      <c r="AM194" s="21">
        <v>1</v>
      </c>
      <c r="AN194" s="21">
        <v>1</v>
      </c>
      <c r="AO194" s="21">
        <v>1</v>
      </c>
      <c r="AP194" s="21">
        <v>1</v>
      </c>
      <c r="AQ194" s="21">
        <v>1</v>
      </c>
      <c r="AR194" s="21">
        <v>1</v>
      </c>
      <c r="AS194" s="21">
        <v>1</v>
      </c>
      <c r="AT194" s="21">
        <v>1</v>
      </c>
      <c r="AU194" s="21">
        <v>1</v>
      </c>
      <c r="AV194" s="21">
        <v>1</v>
      </c>
      <c r="AW194" s="21">
        <v>1</v>
      </c>
      <c r="AX194" s="21">
        <v>1</v>
      </c>
      <c r="AY194" s="21">
        <v>1</v>
      </c>
      <c r="AZ194" s="21">
        <v>1</v>
      </c>
      <c r="BA194" s="21">
        <v>1</v>
      </c>
      <c r="BB194" s="21">
        <v>1</v>
      </c>
      <c r="BC194" s="21">
        <v>1</v>
      </c>
      <c r="BD194" s="21">
        <v>1</v>
      </c>
      <c r="BE194" s="21">
        <v>1</v>
      </c>
      <c r="BF194" s="21">
        <v>1</v>
      </c>
      <c r="BG194" s="21">
        <v>1</v>
      </c>
      <c r="BH194" s="21">
        <v>1</v>
      </c>
      <c r="BI194">
        <v>-1</v>
      </c>
      <c r="BJ194">
        <v>-1</v>
      </c>
      <c r="BK194">
        <v>-1</v>
      </c>
    </row>
    <row r="195" spans="1:63" x14ac:dyDescent="0.3">
      <c r="A195" t="s">
        <v>699</v>
      </c>
      <c r="B195">
        <f t="shared" si="8"/>
        <v>1.1111111111111112E-2</v>
      </c>
      <c r="C195" s="2">
        <f>'vehicles specifications'!S61</f>
        <v>81</v>
      </c>
      <c r="D195">
        <f t="shared" si="8"/>
        <v>1.1111111111111112E-2</v>
      </c>
      <c r="F195">
        <f>1+'vehicles specifications'!AD61</f>
        <v>1</v>
      </c>
      <c r="G195">
        <f>1+'vehicles specifications'!AD61</f>
        <v>1</v>
      </c>
      <c r="H195">
        <v>1</v>
      </c>
      <c r="I195">
        <v>1</v>
      </c>
      <c r="K195">
        <f>1/('fuels and tailpipe emissions'!$C$3*3.6)</f>
        <v>2.358490566037736E-2</v>
      </c>
      <c r="L195" s="21">
        <f t="shared" si="7"/>
        <v>0.30555555555555558</v>
      </c>
      <c r="M195">
        <f>1/'vehicles specifications'!J61</f>
        <v>1.6103059581320449E-5</v>
      </c>
      <c r="N195" s="21">
        <v>1</v>
      </c>
      <c r="O195">
        <f>1</f>
        <v>1</v>
      </c>
      <c r="P195">
        <v>-1</v>
      </c>
      <c r="Q195">
        <v>-1</v>
      </c>
      <c r="R195">
        <f>-1-'vehicles specifications'!AD61</f>
        <v>-1</v>
      </c>
      <c r="S195">
        <v>1</v>
      </c>
      <c r="T195">
        <v>1</v>
      </c>
      <c r="U195">
        <v>1</v>
      </c>
      <c r="V195">
        <v>1</v>
      </c>
      <c r="W195">
        <v>1</v>
      </c>
      <c r="X195">
        <v>1</v>
      </c>
      <c r="Y195">
        <v>1</v>
      </c>
      <c r="Z195">
        <v>1</v>
      </c>
      <c r="AA195">
        <v>1</v>
      </c>
      <c r="AB195">
        <v>1</v>
      </c>
      <c r="AC195" s="21">
        <v>1</v>
      </c>
      <c r="AD195" s="21">
        <v>1</v>
      </c>
      <c r="AE195" s="21">
        <v>1</v>
      </c>
      <c r="AF195" s="21">
        <v>1</v>
      </c>
      <c r="AG195" s="21">
        <v>1</v>
      </c>
      <c r="AH195" s="21">
        <v>1</v>
      </c>
      <c r="AI195" s="21">
        <v>1</v>
      </c>
      <c r="AJ195" s="21">
        <v>1</v>
      </c>
      <c r="AK195" s="21">
        <v>1</v>
      </c>
      <c r="AL195" s="21">
        <v>1</v>
      </c>
      <c r="AM195" s="21">
        <v>1</v>
      </c>
      <c r="AN195" s="21">
        <v>1</v>
      </c>
      <c r="AO195" s="21">
        <v>1</v>
      </c>
      <c r="AP195" s="21">
        <v>1</v>
      </c>
      <c r="AQ195" s="21">
        <v>1</v>
      </c>
      <c r="AR195" s="21">
        <v>1</v>
      </c>
      <c r="AS195" s="21">
        <v>1</v>
      </c>
      <c r="AT195" s="21">
        <v>1</v>
      </c>
      <c r="AU195" s="21">
        <v>1</v>
      </c>
      <c r="AV195" s="21">
        <v>1</v>
      </c>
      <c r="AW195" s="21">
        <v>1</v>
      </c>
      <c r="AX195" s="21">
        <v>1</v>
      </c>
      <c r="AY195" s="21">
        <v>1</v>
      </c>
      <c r="AZ195" s="21">
        <v>1</v>
      </c>
      <c r="BA195" s="21">
        <v>1</v>
      </c>
      <c r="BB195" s="21">
        <v>1</v>
      </c>
      <c r="BC195" s="21">
        <v>1</v>
      </c>
      <c r="BD195" s="21">
        <v>1</v>
      </c>
      <c r="BE195" s="21">
        <v>1</v>
      </c>
      <c r="BF195" s="21">
        <v>1</v>
      </c>
      <c r="BG195" s="21">
        <v>1</v>
      </c>
      <c r="BH195" s="21">
        <v>1</v>
      </c>
      <c r="BI195">
        <v>-1</v>
      </c>
      <c r="BJ195">
        <v>-1</v>
      </c>
      <c r="BK195">
        <v>-1</v>
      </c>
    </row>
    <row r="196" spans="1:63" x14ac:dyDescent="0.3">
      <c r="A196" t="s">
        <v>700</v>
      </c>
      <c r="B196">
        <f t="shared" si="8"/>
        <v>1.1111111111111112E-2</v>
      </c>
      <c r="C196" s="2">
        <f>'vehicles specifications'!S62</f>
        <v>81</v>
      </c>
      <c r="D196">
        <f t="shared" si="8"/>
        <v>1.1111111111111112E-2</v>
      </c>
      <c r="F196">
        <f>1+'vehicles specifications'!AD62</f>
        <v>1</v>
      </c>
      <c r="G196">
        <f>1+'vehicles specifications'!AD62</f>
        <v>1</v>
      </c>
      <c r="H196">
        <v>1</v>
      </c>
      <c r="I196">
        <v>1</v>
      </c>
      <c r="K196">
        <f>1/('fuels and tailpipe emissions'!$C$3*3.6)</f>
        <v>2.358490566037736E-2</v>
      </c>
      <c r="L196" s="21">
        <f t="shared" si="7"/>
        <v>0.30555555555555558</v>
      </c>
      <c r="M196">
        <f>1/'vehicles specifications'!J62</f>
        <v>1.6103059581320449E-5</v>
      </c>
      <c r="N196" s="21">
        <v>1</v>
      </c>
      <c r="O196">
        <f>1</f>
        <v>1</v>
      </c>
      <c r="P196">
        <v>-1</v>
      </c>
      <c r="Q196">
        <v>-1</v>
      </c>
      <c r="R196">
        <f>-1-'vehicles specifications'!AD62</f>
        <v>-1</v>
      </c>
      <c r="S196">
        <v>1</v>
      </c>
      <c r="T196">
        <v>1</v>
      </c>
      <c r="U196">
        <v>1</v>
      </c>
      <c r="V196">
        <v>1</v>
      </c>
      <c r="W196">
        <v>1</v>
      </c>
      <c r="X196">
        <v>1</v>
      </c>
      <c r="Y196">
        <v>1</v>
      </c>
      <c r="Z196">
        <v>1</v>
      </c>
      <c r="AA196">
        <v>1</v>
      </c>
      <c r="AB196">
        <v>1</v>
      </c>
      <c r="AC196" s="21">
        <v>1</v>
      </c>
      <c r="AD196" s="21">
        <v>1</v>
      </c>
      <c r="AE196" s="21">
        <v>1</v>
      </c>
      <c r="AF196" s="21">
        <v>1</v>
      </c>
      <c r="AG196" s="21">
        <v>1</v>
      </c>
      <c r="AH196" s="21">
        <v>1</v>
      </c>
      <c r="AI196" s="21">
        <v>1</v>
      </c>
      <c r="AJ196" s="21">
        <v>1</v>
      </c>
      <c r="AK196" s="21">
        <v>1</v>
      </c>
      <c r="AL196" s="21">
        <v>1</v>
      </c>
      <c r="AM196" s="21">
        <v>1</v>
      </c>
      <c r="AN196" s="21">
        <v>1</v>
      </c>
      <c r="AO196" s="21">
        <v>1</v>
      </c>
      <c r="AP196" s="21">
        <v>1</v>
      </c>
      <c r="AQ196" s="21">
        <v>1</v>
      </c>
      <c r="AR196" s="21">
        <v>1</v>
      </c>
      <c r="AS196" s="21">
        <v>1</v>
      </c>
      <c r="AT196" s="21">
        <v>1</v>
      </c>
      <c r="AU196" s="21">
        <v>1</v>
      </c>
      <c r="AV196" s="21">
        <v>1</v>
      </c>
      <c r="AW196" s="21">
        <v>1</v>
      </c>
      <c r="AX196" s="21">
        <v>1</v>
      </c>
      <c r="AY196" s="21">
        <v>1</v>
      </c>
      <c r="AZ196" s="21">
        <v>1</v>
      </c>
      <c r="BA196" s="21">
        <v>1</v>
      </c>
      <c r="BB196" s="21">
        <v>1</v>
      </c>
      <c r="BC196" s="21">
        <v>1</v>
      </c>
      <c r="BD196" s="21">
        <v>1</v>
      </c>
      <c r="BE196" s="21">
        <v>1</v>
      </c>
      <c r="BF196" s="21">
        <v>1</v>
      </c>
      <c r="BG196" s="21">
        <v>1</v>
      </c>
      <c r="BH196" s="21">
        <v>1</v>
      </c>
      <c r="BI196">
        <v>-1</v>
      </c>
      <c r="BJ196">
        <v>-1</v>
      </c>
      <c r="BK196">
        <v>-1</v>
      </c>
    </row>
    <row r="197" spans="1:63" x14ac:dyDescent="0.3">
      <c r="A197" t="s">
        <v>701</v>
      </c>
      <c r="B197">
        <f t="shared" si="8"/>
        <v>1.1111111111111112E-2</v>
      </c>
      <c r="C197" s="2">
        <f>'vehicles specifications'!S63</f>
        <v>81</v>
      </c>
      <c r="D197">
        <f t="shared" si="8"/>
        <v>1.1111111111111112E-2</v>
      </c>
      <c r="F197">
        <f>1+'vehicles specifications'!AD63</f>
        <v>1</v>
      </c>
      <c r="G197">
        <f>1+'vehicles specifications'!AD63</f>
        <v>1</v>
      </c>
      <c r="H197">
        <v>1</v>
      </c>
      <c r="I197">
        <v>1</v>
      </c>
      <c r="K197">
        <f>1/('fuels and tailpipe emissions'!$C$3*3.6)</f>
        <v>2.358490566037736E-2</v>
      </c>
      <c r="L197" s="21">
        <f t="shared" si="7"/>
        <v>0.30555555555555558</v>
      </c>
      <c r="M197">
        <f>1/'vehicles specifications'!J63</f>
        <v>1.6103059581320449E-5</v>
      </c>
      <c r="N197" s="21">
        <v>1</v>
      </c>
      <c r="O197">
        <f>1</f>
        <v>1</v>
      </c>
      <c r="P197">
        <v>-1</v>
      </c>
      <c r="Q197">
        <v>-1</v>
      </c>
      <c r="R197">
        <f>-1-'vehicles specifications'!AD63</f>
        <v>-1</v>
      </c>
      <c r="S197">
        <v>1</v>
      </c>
      <c r="T197">
        <v>1</v>
      </c>
      <c r="U197">
        <v>1</v>
      </c>
      <c r="V197">
        <v>1</v>
      </c>
      <c r="W197">
        <v>1</v>
      </c>
      <c r="X197">
        <v>1</v>
      </c>
      <c r="Y197">
        <v>1</v>
      </c>
      <c r="Z197">
        <v>1</v>
      </c>
      <c r="AA197">
        <v>1</v>
      </c>
      <c r="AB197">
        <v>1</v>
      </c>
      <c r="AC197" s="21">
        <v>1</v>
      </c>
      <c r="AD197" s="21">
        <v>1</v>
      </c>
      <c r="AE197" s="21">
        <v>1</v>
      </c>
      <c r="AF197" s="21">
        <v>1</v>
      </c>
      <c r="AG197" s="21">
        <v>1</v>
      </c>
      <c r="AH197" s="21">
        <v>1</v>
      </c>
      <c r="AI197" s="21">
        <v>1</v>
      </c>
      <c r="AJ197" s="21">
        <v>1</v>
      </c>
      <c r="AK197" s="21">
        <v>1</v>
      </c>
      <c r="AL197" s="21">
        <v>1</v>
      </c>
      <c r="AM197" s="21">
        <v>1</v>
      </c>
      <c r="AN197" s="21">
        <v>1</v>
      </c>
      <c r="AO197" s="21">
        <v>1</v>
      </c>
      <c r="AP197" s="21">
        <v>1</v>
      </c>
      <c r="AQ197" s="21">
        <v>1</v>
      </c>
      <c r="AR197" s="21">
        <v>1</v>
      </c>
      <c r="AS197" s="21">
        <v>1</v>
      </c>
      <c r="AT197" s="21">
        <v>1</v>
      </c>
      <c r="AU197" s="21">
        <v>1</v>
      </c>
      <c r="AV197" s="21">
        <v>1</v>
      </c>
      <c r="AW197" s="21">
        <v>1</v>
      </c>
      <c r="AX197" s="21">
        <v>1</v>
      </c>
      <c r="AY197" s="21">
        <v>1</v>
      </c>
      <c r="AZ197" s="21">
        <v>1</v>
      </c>
      <c r="BA197" s="21">
        <v>1</v>
      </c>
      <c r="BB197" s="21">
        <v>1</v>
      </c>
      <c r="BC197" s="21">
        <v>1</v>
      </c>
      <c r="BD197" s="21">
        <v>1</v>
      </c>
      <c r="BE197" s="21">
        <v>1</v>
      </c>
      <c r="BF197" s="21">
        <v>1</v>
      </c>
      <c r="BG197" s="21">
        <v>1</v>
      </c>
      <c r="BH197" s="21">
        <v>1</v>
      </c>
      <c r="BI197">
        <v>-1</v>
      </c>
      <c r="BJ197">
        <v>-1</v>
      </c>
      <c r="BK197">
        <v>-1</v>
      </c>
    </row>
    <row r="198" spans="1:63" x14ac:dyDescent="0.3">
      <c r="A198" t="s">
        <v>702</v>
      </c>
      <c r="B198">
        <f t="shared" si="8"/>
        <v>1.1111111111111112E-2</v>
      </c>
      <c r="C198" s="2">
        <f>'vehicles specifications'!S64</f>
        <v>81</v>
      </c>
      <c r="D198">
        <f t="shared" si="8"/>
        <v>1.1111111111111112E-2</v>
      </c>
      <c r="F198">
        <f>1+'vehicles specifications'!AD64</f>
        <v>1</v>
      </c>
      <c r="G198">
        <f>1+'vehicles specifications'!AD64</f>
        <v>1</v>
      </c>
      <c r="H198">
        <v>1</v>
      </c>
      <c r="I198">
        <v>1</v>
      </c>
      <c r="K198">
        <f>1/('fuels and tailpipe emissions'!$C$3*3.6)</f>
        <v>2.358490566037736E-2</v>
      </c>
      <c r="L198" s="21">
        <f t="shared" si="7"/>
        <v>0.30555555555555558</v>
      </c>
      <c r="M198">
        <f>1/'vehicles specifications'!J64</f>
        <v>1.6103059581320449E-5</v>
      </c>
      <c r="N198" s="21">
        <v>1</v>
      </c>
      <c r="O198">
        <f>1</f>
        <v>1</v>
      </c>
      <c r="P198">
        <v>-1</v>
      </c>
      <c r="Q198">
        <v>-1</v>
      </c>
      <c r="R198">
        <f>-1-'vehicles specifications'!AD64</f>
        <v>-1</v>
      </c>
      <c r="S198">
        <v>1</v>
      </c>
      <c r="T198">
        <v>1</v>
      </c>
      <c r="U198">
        <v>1</v>
      </c>
      <c r="V198">
        <v>1</v>
      </c>
      <c r="W198">
        <v>1</v>
      </c>
      <c r="X198">
        <v>1</v>
      </c>
      <c r="Y198">
        <v>1</v>
      </c>
      <c r="Z198">
        <v>1</v>
      </c>
      <c r="AA198">
        <v>1</v>
      </c>
      <c r="AB198">
        <v>1</v>
      </c>
      <c r="AC198" s="21">
        <v>1</v>
      </c>
      <c r="AD198" s="21">
        <v>1</v>
      </c>
      <c r="AE198" s="21">
        <v>1</v>
      </c>
      <c r="AF198" s="21">
        <v>1</v>
      </c>
      <c r="AG198" s="21">
        <v>1</v>
      </c>
      <c r="AH198" s="21">
        <v>1</v>
      </c>
      <c r="AI198" s="21">
        <v>1</v>
      </c>
      <c r="AJ198" s="21">
        <v>1</v>
      </c>
      <c r="AK198" s="21">
        <v>1</v>
      </c>
      <c r="AL198" s="21">
        <v>1</v>
      </c>
      <c r="AM198" s="21">
        <v>1</v>
      </c>
      <c r="AN198" s="21">
        <v>1</v>
      </c>
      <c r="AO198" s="21">
        <v>1</v>
      </c>
      <c r="AP198" s="21">
        <v>1</v>
      </c>
      <c r="AQ198" s="21">
        <v>1</v>
      </c>
      <c r="AR198" s="21">
        <v>1</v>
      </c>
      <c r="AS198" s="21">
        <v>1</v>
      </c>
      <c r="AT198" s="21">
        <v>1</v>
      </c>
      <c r="AU198" s="21">
        <v>1</v>
      </c>
      <c r="AV198" s="21">
        <v>1</v>
      </c>
      <c r="AW198" s="21">
        <v>1</v>
      </c>
      <c r="AX198" s="21">
        <v>1</v>
      </c>
      <c r="AY198" s="21">
        <v>1</v>
      </c>
      <c r="AZ198" s="21">
        <v>1</v>
      </c>
      <c r="BA198" s="21">
        <v>1</v>
      </c>
      <c r="BB198" s="21">
        <v>1</v>
      </c>
      <c r="BC198" s="21">
        <v>1</v>
      </c>
      <c r="BD198" s="21">
        <v>1</v>
      </c>
      <c r="BE198" s="21">
        <v>1</v>
      </c>
      <c r="BF198" s="21">
        <v>1</v>
      </c>
      <c r="BG198" s="21">
        <v>1</v>
      </c>
      <c r="BH198" s="21">
        <v>1</v>
      </c>
      <c r="BI198">
        <v>-1</v>
      </c>
      <c r="BJ198">
        <v>-1</v>
      </c>
      <c r="BK198">
        <v>-1</v>
      </c>
    </row>
    <row r="199" spans="1:63" x14ac:dyDescent="0.3">
      <c r="A199" t="s">
        <v>706</v>
      </c>
      <c r="B199">
        <f t="shared" si="8"/>
        <v>1.1111111111111112E-2</v>
      </c>
      <c r="C199" s="2">
        <f>'vehicles specifications'!S65</f>
        <v>111</v>
      </c>
      <c r="D199">
        <f t="shared" si="8"/>
        <v>1.1111111111111112E-2</v>
      </c>
      <c r="F199">
        <f>1+'vehicles specifications'!AD65</f>
        <v>1</v>
      </c>
      <c r="G199">
        <f>1+'vehicles specifications'!AD65</f>
        <v>1</v>
      </c>
      <c r="H199">
        <v>1</v>
      </c>
      <c r="I199">
        <v>1</v>
      </c>
      <c r="K199">
        <f>1/('fuels and tailpipe emissions'!$C$3*3.6)</f>
        <v>2.358490566037736E-2</v>
      </c>
      <c r="L199" s="21">
        <f t="shared" si="7"/>
        <v>0.30555555555555558</v>
      </c>
      <c r="M199">
        <f>1/'vehicles specifications'!J65</f>
        <v>1.6103059581320449E-5</v>
      </c>
      <c r="N199" s="21">
        <v>1</v>
      </c>
      <c r="O199">
        <f>1</f>
        <v>1</v>
      </c>
      <c r="P199">
        <v>-1</v>
      </c>
      <c r="Q199">
        <v>-1</v>
      </c>
      <c r="R199">
        <f>-1-'vehicles specifications'!AD65</f>
        <v>-1</v>
      </c>
      <c r="S199">
        <v>1</v>
      </c>
      <c r="T199">
        <v>1</v>
      </c>
      <c r="U199">
        <v>1</v>
      </c>
      <c r="V199">
        <v>1</v>
      </c>
      <c r="W199">
        <v>1</v>
      </c>
      <c r="X199">
        <v>1</v>
      </c>
      <c r="Y199">
        <v>1</v>
      </c>
      <c r="Z199">
        <v>1</v>
      </c>
      <c r="AA199">
        <v>1</v>
      </c>
      <c r="AB199">
        <v>1</v>
      </c>
      <c r="AC199" s="21">
        <v>1</v>
      </c>
      <c r="AD199" s="21">
        <v>1</v>
      </c>
      <c r="AE199" s="21">
        <v>1</v>
      </c>
      <c r="AF199" s="21">
        <v>1</v>
      </c>
      <c r="AG199" s="21">
        <v>1</v>
      </c>
      <c r="AH199" s="21">
        <v>1</v>
      </c>
      <c r="AI199" s="21">
        <v>1</v>
      </c>
      <c r="AJ199" s="21">
        <v>1</v>
      </c>
      <c r="AK199" s="21">
        <v>1</v>
      </c>
      <c r="AL199" s="21">
        <v>1</v>
      </c>
      <c r="AM199" s="21">
        <v>1</v>
      </c>
      <c r="AN199" s="21">
        <v>1</v>
      </c>
      <c r="AO199" s="21">
        <v>1</v>
      </c>
      <c r="AP199" s="21">
        <v>1</v>
      </c>
      <c r="AQ199" s="21">
        <v>1</v>
      </c>
      <c r="AR199" s="21">
        <v>1</v>
      </c>
      <c r="AS199" s="21">
        <v>1</v>
      </c>
      <c r="AT199" s="21">
        <v>1</v>
      </c>
      <c r="AU199" s="21">
        <v>1</v>
      </c>
      <c r="AV199" s="21">
        <v>1</v>
      </c>
      <c r="AW199" s="21">
        <v>1</v>
      </c>
      <c r="AX199" s="21">
        <v>1</v>
      </c>
      <c r="AY199" s="21">
        <v>1</v>
      </c>
      <c r="AZ199" s="21">
        <v>1</v>
      </c>
      <c r="BA199" s="21">
        <v>1</v>
      </c>
      <c r="BB199" s="21">
        <v>1</v>
      </c>
      <c r="BC199" s="21">
        <v>1</v>
      </c>
      <c r="BD199" s="21">
        <v>1</v>
      </c>
      <c r="BE199" s="21">
        <v>1</v>
      </c>
      <c r="BF199" s="21">
        <v>1</v>
      </c>
      <c r="BG199" s="21">
        <v>1</v>
      </c>
      <c r="BH199" s="21">
        <v>1</v>
      </c>
      <c r="BI199">
        <v>-1</v>
      </c>
      <c r="BJ199">
        <v>-1</v>
      </c>
      <c r="BK199">
        <v>-1</v>
      </c>
    </row>
    <row r="200" spans="1:63" x14ac:dyDescent="0.3">
      <c r="A200" t="s">
        <v>707</v>
      </c>
      <c r="B200">
        <f t="shared" si="8"/>
        <v>1.1111111111111112E-2</v>
      </c>
      <c r="C200" s="2">
        <f>'vehicles specifications'!S66</f>
        <v>111</v>
      </c>
      <c r="D200">
        <f t="shared" si="8"/>
        <v>1.1111111111111112E-2</v>
      </c>
      <c r="F200">
        <f>1+'vehicles specifications'!AD66</f>
        <v>1</v>
      </c>
      <c r="G200">
        <f>1+'vehicles specifications'!AD66</f>
        <v>1</v>
      </c>
      <c r="H200">
        <v>1</v>
      </c>
      <c r="I200">
        <v>1</v>
      </c>
      <c r="K200">
        <f>1/('fuels and tailpipe emissions'!$C$3*3.6)</f>
        <v>2.358490566037736E-2</v>
      </c>
      <c r="L200" s="21">
        <f t="shared" si="7"/>
        <v>0.30555555555555558</v>
      </c>
      <c r="M200">
        <f>1/'vehicles specifications'!J66</f>
        <v>1.6103059581320449E-5</v>
      </c>
      <c r="N200" s="21">
        <v>1</v>
      </c>
      <c r="O200">
        <f>1</f>
        <v>1</v>
      </c>
      <c r="P200">
        <v>-1</v>
      </c>
      <c r="Q200">
        <v>-1</v>
      </c>
      <c r="R200">
        <f>-1-'vehicles specifications'!AD66</f>
        <v>-1</v>
      </c>
      <c r="S200">
        <v>1</v>
      </c>
      <c r="T200">
        <v>1</v>
      </c>
      <c r="U200">
        <v>1</v>
      </c>
      <c r="V200">
        <v>1</v>
      </c>
      <c r="W200">
        <v>1</v>
      </c>
      <c r="X200">
        <v>1</v>
      </c>
      <c r="Y200">
        <v>1</v>
      </c>
      <c r="Z200">
        <v>1</v>
      </c>
      <c r="AA200">
        <v>1</v>
      </c>
      <c r="AB200">
        <v>1</v>
      </c>
      <c r="AC200" s="21">
        <v>1</v>
      </c>
      <c r="AD200" s="21">
        <v>1</v>
      </c>
      <c r="AE200" s="21">
        <v>1</v>
      </c>
      <c r="AF200" s="21">
        <v>1</v>
      </c>
      <c r="AG200" s="21">
        <v>1</v>
      </c>
      <c r="AH200" s="21">
        <v>1</v>
      </c>
      <c r="AI200" s="21">
        <v>1</v>
      </c>
      <c r="AJ200" s="21">
        <v>1</v>
      </c>
      <c r="AK200" s="21">
        <v>1</v>
      </c>
      <c r="AL200" s="21">
        <v>1</v>
      </c>
      <c r="AM200" s="21">
        <v>1</v>
      </c>
      <c r="AN200" s="21">
        <v>1</v>
      </c>
      <c r="AO200" s="21">
        <v>1</v>
      </c>
      <c r="AP200" s="21">
        <v>1</v>
      </c>
      <c r="AQ200" s="21">
        <v>1</v>
      </c>
      <c r="AR200" s="21">
        <v>1</v>
      </c>
      <c r="AS200" s="21">
        <v>1</v>
      </c>
      <c r="AT200" s="21">
        <v>1</v>
      </c>
      <c r="AU200" s="21">
        <v>1</v>
      </c>
      <c r="AV200" s="21">
        <v>1</v>
      </c>
      <c r="AW200" s="21">
        <v>1</v>
      </c>
      <c r="AX200" s="21">
        <v>1</v>
      </c>
      <c r="AY200" s="21">
        <v>1</v>
      </c>
      <c r="AZ200" s="21">
        <v>1</v>
      </c>
      <c r="BA200" s="21">
        <v>1</v>
      </c>
      <c r="BB200" s="21">
        <v>1</v>
      </c>
      <c r="BC200" s="21">
        <v>1</v>
      </c>
      <c r="BD200" s="21">
        <v>1</v>
      </c>
      <c r="BE200" s="21">
        <v>1</v>
      </c>
      <c r="BF200" s="21">
        <v>1</v>
      </c>
      <c r="BG200" s="21">
        <v>1</v>
      </c>
      <c r="BH200" s="21">
        <v>1</v>
      </c>
      <c r="BI200">
        <v>-1</v>
      </c>
      <c r="BJ200">
        <v>-1</v>
      </c>
      <c r="BK200">
        <v>-1</v>
      </c>
    </row>
    <row r="201" spans="1:63" x14ac:dyDescent="0.3">
      <c r="A201" t="s">
        <v>708</v>
      </c>
      <c r="B201">
        <f t="shared" si="8"/>
        <v>1.1111111111111112E-2</v>
      </c>
      <c r="C201" s="2">
        <f>'vehicles specifications'!S67</f>
        <v>111</v>
      </c>
      <c r="D201">
        <f t="shared" si="8"/>
        <v>1.1111111111111112E-2</v>
      </c>
      <c r="F201">
        <f>1+'vehicles specifications'!AD67</f>
        <v>1</v>
      </c>
      <c r="G201">
        <f>1+'vehicles specifications'!AD67</f>
        <v>1</v>
      </c>
      <c r="H201">
        <v>1</v>
      </c>
      <c r="I201">
        <v>1</v>
      </c>
      <c r="K201">
        <f>1/('fuels and tailpipe emissions'!$C$3*3.6)</f>
        <v>2.358490566037736E-2</v>
      </c>
      <c r="L201" s="21">
        <f t="shared" si="7"/>
        <v>0.30555555555555558</v>
      </c>
      <c r="M201">
        <f>1/'vehicles specifications'!J67</f>
        <v>1.6103059581320449E-5</v>
      </c>
      <c r="N201" s="21">
        <v>1</v>
      </c>
      <c r="O201">
        <f>1</f>
        <v>1</v>
      </c>
      <c r="P201">
        <v>-1</v>
      </c>
      <c r="Q201">
        <v>-1</v>
      </c>
      <c r="R201">
        <f>-1-'vehicles specifications'!AD67</f>
        <v>-1</v>
      </c>
      <c r="S201">
        <v>1</v>
      </c>
      <c r="T201">
        <v>1</v>
      </c>
      <c r="U201">
        <v>1</v>
      </c>
      <c r="V201">
        <v>1</v>
      </c>
      <c r="W201">
        <v>1</v>
      </c>
      <c r="X201">
        <v>1</v>
      </c>
      <c r="Y201">
        <v>1</v>
      </c>
      <c r="Z201">
        <v>1</v>
      </c>
      <c r="AA201">
        <v>1</v>
      </c>
      <c r="AB201">
        <v>1</v>
      </c>
      <c r="AC201" s="21">
        <v>1</v>
      </c>
      <c r="AD201" s="21">
        <v>1</v>
      </c>
      <c r="AE201" s="21">
        <v>1</v>
      </c>
      <c r="AF201" s="21">
        <v>1</v>
      </c>
      <c r="AG201" s="21">
        <v>1</v>
      </c>
      <c r="AH201" s="21">
        <v>1</v>
      </c>
      <c r="AI201" s="21">
        <v>1</v>
      </c>
      <c r="AJ201" s="21">
        <v>1</v>
      </c>
      <c r="AK201" s="21">
        <v>1</v>
      </c>
      <c r="AL201" s="21">
        <v>1</v>
      </c>
      <c r="AM201" s="21">
        <v>1</v>
      </c>
      <c r="AN201" s="21">
        <v>1</v>
      </c>
      <c r="AO201" s="21">
        <v>1</v>
      </c>
      <c r="AP201" s="21">
        <v>1</v>
      </c>
      <c r="AQ201" s="21">
        <v>1</v>
      </c>
      <c r="AR201" s="21">
        <v>1</v>
      </c>
      <c r="AS201" s="21">
        <v>1</v>
      </c>
      <c r="AT201" s="21">
        <v>1</v>
      </c>
      <c r="AU201" s="21">
        <v>1</v>
      </c>
      <c r="AV201" s="21">
        <v>1</v>
      </c>
      <c r="AW201" s="21">
        <v>1</v>
      </c>
      <c r="AX201" s="21">
        <v>1</v>
      </c>
      <c r="AY201" s="21">
        <v>1</v>
      </c>
      <c r="AZ201" s="21">
        <v>1</v>
      </c>
      <c r="BA201" s="21">
        <v>1</v>
      </c>
      <c r="BB201" s="21">
        <v>1</v>
      </c>
      <c r="BC201" s="21">
        <v>1</v>
      </c>
      <c r="BD201" s="21">
        <v>1</v>
      </c>
      <c r="BE201" s="21">
        <v>1</v>
      </c>
      <c r="BF201" s="21">
        <v>1</v>
      </c>
      <c r="BG201" s="21">
        <v>1</v>
      </c>
      <c r="BH201" s="21">
        <v>1</v>
      </c>
      <c r="BI201">
        <v>-1</v>
      </c>
      <c r="BJ201">
        <v>-1</v>
      </c>
      <c r="BK201">
        <v>-1</v>
      </c>
    </row>
    <row r="202" spans="1:63" x14ac:dyDescent="0.3">
      <c r="A202" t="s">
        <v>709</v>
      </c>
      <c r="B202">
        <f t="shared" si="8"/>
        <v>1.1111111111111112E-2</v>
      </c>
      <c r="C202" s="2">
        <f>'vehicles specifications'!S68</f>
        <v>111</v>
      </c>
      <c r="D202">
        <f t="shared" si="8"/>
        <v>1.1111111111111112E-2</v>
      </c>
      <c r="F202">
        <f>1+'vehicles specifications'!AD68</f>
        <v>1</v>
      </c>
      <c r="G202">
        <f>1+'vehicles specifications'!AD68</f>
        <v>1</v>
      </c>
      <c r="H202">
        <v>1</v>
      </c>
      <c r="I202">
        <v>1</v>
      </c>
      <c r="K202">
        <f>1/('fuels and tailpipe emissions'!$C$3*3.6)</f>
        <v>2.358490566037736E-2</v>
      </c>
      <c r="L202" s="21">
        <f t="shared" si="7"/>
        <v>0.30555555555555558</v>
      </c>
      <c r="M202">
        <f>1/'vehicles specifications'!J68</f>
        <v>1.6103059581320449E-5</v>
      </c>
      <c r="N202" s="21">
        <v>1</v>
      </c>
      <c r="O202">
        <f>1</f>
        <v>1</v>
      </c>
      <c r="P202">
        <v>-1</v>
      </c>
      <c r="Q202">
        <v>-1</v>
      </c>
      <c r="R202">
        <f>-1-'vehicles specifications'!AD68</f>
        <v>-1</v>
      </c>
      <c r="S202">
        <v>1</v>
      </c>
      <c r="T202">
        <v>1</v>
      </c>
      <c r="U202">
        <v>1</v>
      </c>
      <c r="V202">
        <v>1</v>
      </c>
      <c r="W202">
        <v>1</v>
      </c>
      <c r="X202">
        <v>1</v>
      </c>
      <c r="Y202">
        <v>1</v>
      </c>
      <c r="Z202">
        <v>1</v>
      </c>
      <c r="AA202">
        <v>1</v>
      </c>
      <c r="AB202">
        <v>1</v>
      </c>
      <c r="AC202" s="21">
        <v>1</v>
      </c>
      <c r="AD202" s="21">
        <v>1</v>
      </c>
      <c r="AE202" s="21">
        <v>1</v>
      </c>
      <c r="AF202" s="21">
        <v>1</v>
      </c>
      <c r="AG202" s="21">
        <v>1</v>
      </c>
      <c r="AH202" s="21">
        <v>1</v>
      </c>
      <c r="AI202" s="21">
        <v>1</v>
      </c>
      <c r="AJ202" s="21">
        <v>1</v>
      </c>
      <c r="AK202" s="21">
        <v>1</v>
      </c>
      <c r="AL202" s="21">
        <v>1</v>
      </c>
      <c r="AM202" s="21">
        <v>1</v>
      </c>
      <c r="AN202" s="21">
        <v>1</v>
      </c>
      <c r="AO202" s="21">
        <v>1</v>
      </c>
      <c r="AP202" s="21">
        <v>1</v>
      </c>
      <c r="AQ202" s="21">
        <v>1</v>
      </c>
      <c r="AR202" s="21">
        <v>1</v>
      </c>
      <c r="AS202" s="21">
        <v>1</v>
      </c>
      <c r="AT202" s="21">
        <v>1</v>
      </c>
      <c r="AU202" s="21">
        <v>1</v>
      </c>
      <c r="AV202" s="21">
        <v>1</v>
      </c>
      <c r="AW202" s="21">
        <v>1</v>
      </c>
      <c r="AX202" s="21">
        <v>1</v>
      </c>
      <c r="AY202" s="21">
        <v>1</v>
      </c>
      <c r="AZ202" s="21">
        <v>1</v>
      </c>
      <c r="BA202" s="21">
        <v>1</v>
      </c>
      <c r="BB202" s="21">
        <v>1</v>
      </c>
      <c r="BC202" s="21">
        <v>1</v>
      </c>
      <c r="BD202" s="21">
        <v>1</v>
      </c>
      <c r="BE202" s="21">
        <v>1</v>
      </c>
      <c r="BF202" s="21">
        <v>1</v>
      </c>
      <c r="BG202" s="21">
        <v>1</v>
      </c>
      <c r="BH202" s="21">
        <v>1</v>
      </c>
      <c r="BI202">
        <v>-1</v>
      </c>
      <c r="BJ202">
        <v>-1</v>
      </c>
      <c r="BK202">
        <v>-1</v>
      </c>
    </row>
    <row r="203" spans="1:63" x14ac:dyDescent="0.3">
      <c r="A203" t="s">
        <v>710</v>
      </c>
      <c r="B203">
        <f t="shared" si="8"/>
        <v>1.1111111111111112E-2</v>
      </c>
      <c r="C203" s="2">
        <f>'vehicles specifications'!S69</f>
        <v>111</v>
      </c>
      <c r="D203">
        <f t="shared" si="8"/>
        <v>1.1111111111111112E-2</v>
      </c>
      <c r="F203">
        <f>1+'vehicles specifications'!AD69</f>
        <v>1</v>
      </c>
      <c r="G203">
        <f>1+'vehicles specifications'!AD69</f>
        <v>1</v>
      </c>
      <c r="H203">
        <v>1</v>
      </c>
      <c r="I203">
        <v>1</v>
      </c>
      <c r="K203">
        <f>1/('fuels and tailpipe emissions'!$C$3*3.6)</f>
        <v>2.358490566037736E-2</v>
      </c>
      <c r="L203" s="21">
        <f t="shared" si="7"/>
        <v>0.30555555555555558</v>
      </c>
      <c r="M203">
        <f>1/'vehicles specifications'!J69</f>
        <v>1.6103059581320449E-5</v>
      </c>
      <c r="N203" s="21">
        <v>1</v>
      </c>
      <c r="O203">
        <f>1</f>
        <v>1</v>
      </c>
      <c r="P203">
        <v>-1</v>
      </c>
      <c r="Q203">
        <v>-1</v>
      </c>
      <c r="R203">
        <f>-1-'vehicles specifications'!AD69</f>
        <v>-1</v>
      </c>
      <c r="S203">
        <v>1</v>
      </c>
      <c r="T203">
        <v>1</v>
      </c>
      <c r="U203">
        <v>1</v>
      </c>
      <c r="V203">
        <v>1</v>
      </c>
      <c r="W203">
        <v>1</v>
      </c>
      <c r="X203">
        <v>1</v>
      </c>
      <c r="Y203">
        <v>1</v>
      </c>
      <c r="Z203">
        <v>1</v>
      </c>
      <c r="AA203">
        <v>1</v>
      </c>
      <c r="AB203">
        <v>1</v>
      </c>
      <c r="AC203" s="21">
        <v>1</v>
      </c>
      <c r="AD203" s="21">
        <v>1</v>
      </c>
      <c r="AE203" s="21">
        <v>1</v>
      </c>
      <c r="AF203" s="21">
        <v>1</v>
      </c>
      <c r="AG203" s="21">
        <v>1</v>
      </c>
      <c r="AH203" s="21">
        <v>1</v>
      </c>
      <c r="AI203" s="21">
        <v>1</v>
      </c>
      <c r="AJ203" s="21">
        <v>1</v>
      </c>
      <c r="AK203" s="21">
        <v>1</v>
      </c>
      <c r="AL203" s="21">
        <v>1</v>
      </c>
      <c r="AM203" s="21">
        <v>1</v>
      </c>
      <c r="AN203" s="21">
        <v>1</v>
      </c>
      <c r="AO203" s="21">
        <v>1</v>
      </c>
      <c r="AP203" s="21">
        <v>1</v>
      </c>
      <c r="AQ203" s="21">
        <v>1</v>
      </c>
      <c r="AR203" s="21">
        <v>1</v>
      </c>
      <c r="AS203" s="21">
        <v>1</v>
      </c>
      <c r="AT203" s="21">
        <v>1</v>
      </c>
      <c r="AU203" s="21">
        <v>1</v>
      </c>
      <c r="AV203" s="21">
        <v>1</v>
      </c>
      <c r="AW203" s="21">
        <v>1</v>
      </c>
      <c r="AX203" s="21">
        <v>1</v>
      </c>
      <c r="AY203" s="21">
        <v>1</v>
      </c>
      <c r="AZ203" s="21">
        <v>1</v>
      </c>
      <c r="BA203" s="21">
        <v>1</v>
      </c>
      <c r="BB203" s="21">
        <v>1</v>
      </c>
      <c r="BC203" s="21">
        <v>1</v>
      </c>
      <c r="BD203" s="21">
        <v>1</v>
      </c>
      <c r="BE203" s="21">
        <v>1</v>
      </c>
      <c r="BF203" s="21">
        <v>1</v>
      </c>
      <c r="BG203" s="21">
        <v>1</v>
      </c>
      <c r="BH203" s="21">
        <v>1</v>
      </c>
      <c r="BI203">
        <v>-1</v>
      </c>
      <c r="BJ203">
        <v>-1</v>
      </c>
      <c r="BK203">
        <v>-1</v>
      </c>
    </row>
    <row r="204" spans="1:63" x14ac:dyDescent="0.3">
      <c r="A204" t="s">
        <v>711</v>
      </c>
      <c r="B204">
        <f t="shared" si="8"/>
        <v>1.1111111111111112E-2</v>
      </c>
      <c r="C204" s="2">
        <f>'vehicles specifications'!S70</f>
        <v>111</v>
      </c>
      <c r="D204">
        <f t="shared" si="8"/>
        <v>1.1111111111111112E-2</v>
      </c>
      <c r="F204">
        <f>1+'vehicles specifications'!AD70</f>
        <v>1</v>
      </c>
      <c r="G204">
        <f>1+'vehicles specifications'!AD70</f>
        <v>1</v>
      </c>
      <c r="H204">
        <v>1</v>
      </c>
      <c r="I204">
        <v>1</v>
      </c>
      <c r="K204">
        <f>1/('fuels and tailpipe emissions'!$C$3*3.6)</f>
        <v>2.358490566037736E-2</v>
      </c>
      <c r="L204" s="21">
        <f t="shared" si="7"/>
        <v>0.30555555555555558</v>
      </c>
      <c r="M204">
        <f>1/'vehicles specifications'!J70</f>
        <v>1.6103059581320449E-5</v>
      </c>
      <c r="N204" s="21">
        <v>1</v>
      </c>
      <c r="O204">
        <f>1</f>
        <v>1</v>
      </c>
      <c r="P204">
        <v>-1</v>
      </c>
      <c r="Q204">
        <v>-1</v>
      </c>
      <c r="R204">
        <f>-1-'vehicles specifications'!AD70</f>
        <v>-1</v>
      </c>
      <c r="S204">
        <v>1</v>
      </c>
      <c r="T204">
        <v>1</v>
      </c>
      <c r="U204">
        <v>1</v>
      </c>
      <c r="V204">
        <v>1</v>
      </c>
      <c r="W204">
        <v>1</v>
      </c>
      <c r="X204">
        <v>1</v>
      </c>
      <c r="Y204">
        <v>1</v>
      </c>
      <c r="Z204">
        <v>1</v>
      </c>
      <c r="AA204">
        <v>1</v>
      </c>
      <c r="AB204">
        <v>1</v>
      </c>
      <c r="AC204" s="21">
        <v>1</v>
      </c>
      <c r="AD204" s="21">
        <v>1</v>
      </c>
      <c r="AE204" s="21">
        <v>1</v>
      </c>
      <c r="AF204" s="21">
        <v>1</v>
      </c>
      <c r="AG204" s="21">
        <v>1</v>
      </c>
      <c r="AH204" s="21">
        <v>1</v>
      </c>
      <c r="AI204" s="21">
        <v>1</v>
      </c>
      <c r="AJ204" s="21">
        <v>1</v>
      </c>
      <c r="AK204" s="21">
        <v>1</v>
      </c>
      <c r="AL204" s="21">
        <v>1</v>
      </c>
      <c r="AM204" s="21">
        <v>1</v>
      </c>
      <c r="AN204" s="21">
        <v>1</v>
      </c>
      <c r="AO204" s="21">
        <v>1</v>
      </c>
      <c r="AP204" s="21">
        <v>1</v>
      </c>
      <c r="AQ204" s="21">
        <v>1</v>
      </c>
      <c r="AR204" s="21">
        <v>1</v>
      </c>
      <c r="AS204" s="21">
        <v>1</v>
      </c>
      <c r="AT204" s="21">
        <v>1</v>
      </c>
      <c r="AU204" s="21">
        <v>1</v>
      </c>
      <c r="AV204" s="21">
        <v>1</v>
      </c>
      <c r="AW204" s="21">
        <v>1</v>
      </c>
      <c r="AX204" s="21">
        <v>1</v>
      </c>
      <c r="AY204" s="21">
        <v>1</v>
      </c>
      <c r="AZ204" s="21">
        <v>1</v>
      </c>
      <c r="BA204" s="21">
        <v>1</v>
      </c>
      <c r="BB204" s="21">
        <v>1</v>
      </c>
      <c r="BC204" s="21">
        <v>1</v>
      </c>
      <c r="BD204" s="21">
        <v>1</v>
      </c>
      <c r="BE204" s="21">
        <v>1</v>
      </c>
      <c r="BF204" s="21">
        <v>1</v>
      </c>
      <c r="BG204" s="21">
        <v>1</v>
      </c>
      <c r="BH204" s="21">
        <v>1</v>
      </c>
      <c r="BI204">
        <v>-1</v>
      </c>
      <c r="BJ204">
        <v>-1</v>
      </c>
      <c r="BK204">
        <v>-1</v>
      </c>
    </row>
    <row r="205" spans="1:63" x14ac:dyDescent="0.3">
      <c r="A205" t="s">
        <v>541</v>
      </c>
      <c r="B205" s="21">
        <v>1</v>
      </c>
      <c r="C205" s="2">
        <f>'vehicles specifications'!S71</f>
        <v>53</v>
      </c>
      <c r="D205">
        <v>1</v>
      </c>
      <c r="E205">
        <v>1</v>
      </c>
      <c r="F205">
        <f>1+'vehicles specifications'!AD71</f>
        <v>2</v>
      </c>
      <c r="G205">
        <f>1+'vehicles specifications'!AD71</f>
        <v>2</v>
      </c>
      <c r="J205">
        <v>1</v>
      </c>
      <c r="K205">
        <f>1/('fuels and tailpipe emissions'!$C$3*3.6)</f>
        <v>2.358490566037736E-2</v>
      </c>
      <c r="L205" s="21">
        <f t="shared" si="7"/>
        <v>0.30555555555555558</v>
      </c>
      <c r="M205">
        <f>1/'vehicles specifications'!J71</f>
        <v>2.9940119760479042E-5</v>
      </c>
      <c r="N205" s="21">
        <v>1</v>
      </c>
      <c r="O205">
        <f>1</f>
        <v>1</v>
      </c>
      <c r="P205">
        <v>1</v>
      </c>
      <c r="Q205">
        <v>1</v>
      </c>
      <c r="R205">
        <f>-1-'vehicles specifications'!AD71</f>
        <v>-2</v>
      </c>
      <c r="S205">
        <v>1</v>
      </c>
      <c r="T205">
        <v>1</v>
      </c>
      <c r="U205">
        <v>1</v>
      </c>
      <c r="V205">
        <v>1</v>
      </c>
      <c r="W205">
        <v>1</v>
      </c>
      <c r="X205">
        <v>1</v>
      </c>
      <c r="Y205">
        <v>1</v>
      </c>
      <c r="Z205">
        <v>1</v>
      </c>
      <c r="AA205">
        <v>1</v>
      </c>
      <c r="AB205">
        <v>1</v>
      </c>
      <c r="AC205" s="21">
        <v>1</v>
      </c>
      <c r="AD205" s="21">
        <v>1</v>
      </c>
      <c r="AE205" s="21">
        <v>1</v>
      </c>
      <c r="AF205" s="21">
        <v>1</v>
      </c>
      <c r="AG205" s="21">
        <v>1</v>
      </c>
      <c r="AH205" s="21">
        <v>1</v>
      </c>
      <c r="AI205" s="21">
        <v>1</v>
      </c>
      <c r="AJ205" s="21">
        <v>1</v>
      </c>
      <c r="AK205" s="21">
        <v>1</v>
      </c>
      <c r="AL205" s="21">
        <v>1</v>
      </c>
      <c r="AM205" s="21">
        <v>1</v>
      </c>
      <c r="AN205" s="21">
        <v>1</v>
      </c>
      <c r="AO205" s="21">
        <v>1</v>
      </c>
      <c r="AP205" s="21">
        <v>1</v>
      </c>
      <c r="AQ205" s="21">
        <v>1</v>
      </c>
      <c r="AR205" s="21">
        <v>1</v>
      </c>
      <c r="AS205" s="21">
        <v>1</v>
      </c>
      <c r="AT205" s="21">
        <v>1</v>
      </c>
      <c r="AU205" s="21">
        <v>1</v>
      </c>
      <c r="AV205" s="21">
        <v>1</v>
      </c>
      <c r="AW205" s="21">
        <v>1</v>
      </c>
      <c r="AX205" s="21">
        <v>1</v>
      </c>
      <c r="AY205" s="21">
        <v>1</v>
      </c>
      <c r="AZ205" s="21">
        <v>1</v>
      </c>
      <c r="BA205" s="21">
        <v>1</v>
      </c>
      <c r="BB205" s="21">
        <v>1</v>
      </c>
      <c r="BC205" s="21">
        <v>1</v>
      </c>
      <c r="BD205" s="21">
        <v>1</v>
      </c>
      <c r="BE205" s="21">
        <v>1</v>
      </c>
      <c r="BF205" s="21">
        <v>1</v>
      </c>
      <c r="BG205" s="21">
        <v>1</v>
      </c>
      <c r="BH205" s="21">
        <v>1</v>
      </c>
      <c r="BI205">
        <v>-1</v>
      </c>
      <c r="BJ205">
        <v>-1</v>
      </c>
      <c r="BK205">
        <v>-1</v>
      </c>
    </row>
    <row r="206" spans="1:63" x14ac:dyDescent="0.3">
      <c r="A206" t="s">
        <v>542</v>
      </c>
      <c r="B206" s="21">
        <v>1</v>
      </c>
      <c r="C206" s="2">
        <f>'vehicles specifications'!S72</f>
        <v>53</v>
      </c>
      <c r="D206" s="21">
        <v>1</v>
      </c>
      <c r="E206">
        <v>1</v>
      </c>
      <c r="F206">
        <f>1+'vehicles specifications'!AD72</f>
        <v>1.5</v>
      </c>
      <c r="G206">
        <f>1+'vehicles specifications'!AD72</f>
        <v>1.5</v>
      </c>
      <c r="J206">
        <v>1</v>
      </c>
      <c r="K206">
        <f>1/('fuels and tailpipe emissions'!$C$3*3.6)</f>
        <v>2.358490566037736E-2</v>
      </c>
      <c r="L206" s="21">
        <f t="shared" si="7"/>
        <v>0.30555555555555558</v>
      </c>
      <c r="M206">
        <f>1/'vehicles specifications'!J72</f>
        <v>2.9940119760479042E-5</v>
      </c>
      <c r="N206" s="21">
        <v>1</v>
      </c>
      <c r="O206">
        <f>1</f>
        <v>1</v>
      </c>
      <c r="P206" s="21">
        <v>1</v>
      </c>
      <c r="Q206" s="21">
        <v>1</v>
      </c>
      <c r="R206">
        <f>-1-'vehicles specifications'!AD72</f>
        <v>-1.5</v>
      </c>
      <c r="S206">
        <v>1</v>
      </c>
      <c r="T206">
        <v>1</v>
      </c>
      <c r="U206">
        <v>1</v>
      </c>
      <c r="V206">
        <v>1</v>
      </c>
      <c r="W206">
        <v>1</v>
      </c>
      <c r="X206">
        <v>1</v>
      </c>
      <c r="Y206">
        <v>1</v>
      </c>
      <c r="Z206">
        <v>1</v>
      </c>
      <c r="AA206">
        <v>1</v>
      </c>
      <c r="AB206">
        <v>1</v>
      </c>
      <c r="AC206" s="21">
        <v>1</v>
      </c>
      <c r="AD206" s="21">
        <v>1</v>
      </c>
      <c r="AE206" s="21">
        <v>1</v>
      </c>
      <c r="AF206" s="21">
        <v>1</v>
      </c>
      <c r="AG206" s="21">
        <v>1</v>
      </c>
      <c r="AH206" s="21">
        <v>1</v>
      </c>
      <c r="AI206" s="21">
        <v>1</v>
      </c>
      <c r="AJ206" s="21">
        <v>1</v>
      </c>
      <c r="AK206" s="21">
        <v>1</v>
      </c>
      <c r="AL206" s="21">
        <v>1</v>
      </c>
      <c r="AM206" s="21">
        <v>1</v>
      </c>
      <c r="AN206" s="21">
        <v>1</v>
      </c>
      <c r="AO206" s="21">
        <v>1</v>
      </c>
      <c r="AP206" s="21">
        <v>1</v>
      </c>
      <c r="AQ206" s="21">
        <v>1</v>
      </c>
      <c r="AR206" s="21">
        <v>1</v>
      </c>
      <c r="AS206" s="21">
        <v>1</v>
      </c>
      <c r="AT206" s="21">
        <v>1</v>
      </c>
      <c r="AU206" s="21">
        <v>1</v>
      </c>
      <c r="AV206" s="21">
        <v>1</v>
      </c>
      <c r="AW206" s="21">
        <v>1</v>
      </c>
      <c r="AX206" s="21">
        <v>1</v>
      </c>
      <c r="AY206" s="21">
        <v>1</v>
      </c>
      <c r="AZ206" s="21">
        <v>1</v>
      </c>
      <c r="BA206" s="21">
        <v>1</v>
      </c>
      <c r="BB206" s="21">
        <v>1</v>
      </c>
      <c r="BC206" s="21">
        <v>1</v>
      </c>
      <c r="BD206" s="21">
        <v>1</v>
      </c>
      <c r="BE206" s="21">
        <v>1</v>
      </c>
      <c r="BF206" s="21">
        <v>1</v>
      </c>
      <c r="BG206" s="21">
        <v>1</v>
      </c>
      <c r="BH206" s="21">
        <v>1</v>
      </c>
      <c r="BI206">
        <v>-1</v>
      </c>
      <c r="BJ206">
        <v>-1</v>
      </c>
      <c r="BK206">
        <v>-1</v>
      </c>
    </row>
    <row r="207" spans="1:63" x14ac:dyDescent="0.3">
      <c r="A207" t="s">
        <v>543</v>
      </c>
      <c r="B207" s="21">
        <v>1</v>
      </c>
      <c r="C207" s="2">
        <f>'vehicles specifications'!S73</f>
        <v>53</v>
      </c>
      <c r="D207" s="21">
        <v>1</v>
      </c>
      <c r="E207">
        <v>1</v>
      </c>
      <c r="F207">
        <f>1+'vehicles specifications'!AD73</f>
        <v>1.25</v>
      </c>
      <c r="G207">
        <f>1+'vehicles specifications'!AD73</f>
        <v>1.25</v>
      </c>
      <c r="J207">
        <v>1</v>
      </c>
      <c r="K207">
        <f>1/('fuels and tailpipe emissions'!$C$3*3.6)</f>
        <v>2.358490566037736E-2</v>
      </c>
      <c r="L207" s="21">
        <f t="shared" si="7"/>
        <v>0.30555555555555558</v>
      </c>
      <c r="M207">
        <f>1/'vehicles specifications'!J73</f>
        <v>2.9940119760479042E-5</v>
      </c>
      <c r="N207" s="21">
        <v>1</v>
      </c>
      <c r="O207">
        <f>1</f>
        <v>1</v>
      </c>
      <c r="P207" s="21">
        <v>1</v>
      </c>
      <c r="Q207" s="21">
        <v>1</v>
      </c>
      <c r="R207">
        <f>-1-'vehicles specifications'!AD73</f>
        <v>-1.25</v>
      </c>
      <c r="S207">
        <v>1</v>
      </c>
      <c r="T207">
        <v>1</v>
      </c>
      <c r="U207">
        <v>1</v>
      </c>
      <c r="V207">
        <v>1</v>
      </c>
      <c r="W207">
        <v>1</v>
      </c>
      <c r="X207">
        <v>1</v>
      </c>
      <c r="Y207">
        <v>1</v>
      </c>
      <c r="Z207">
        <v>1</v>
      </c>
      <c r="AA207">
        <v>1</v>
      </c>
      <c r="AB207">
        <v>1</v>
      </c>
      <c r="AC207" s="21">
        <v>1</v>
      </c>
      <c r="AD207" s="21">
        <v>1</v>
      </c>
      <c r="AE207" s="21">
        <v>1</v>
      </c>
      <c r="AF207" s="21">
        <v>1</v>
      </c>
      <c r="AG207" s="21">
        <v>1</v>
      </c>
      <c r="AH207" s="21">
        <v>1</v>
      </c>
      <c r="AI207" s="21">
        <v>1</v>
      </c>
      <c r="AJ207" s="21">
        <v>1</v>
      </c>
      <c r="AK207" s="21">
        <v>1</v>
      </c>
      <c r="AL207" s="21">
        <v>1</v>
      </c>
      <c r="AM207" s="21">
        <v>1</v>
      </c>
      <c r="AN207" s="21">
        <v>1</v>
      </c>
      <c r="AO207" s="21">
        <v>1</v>
      </c>
      <c r="AP207" s="21">
        <v>1</v>
      </c>
      <c r="AQ207" s="21">
        <v>1</v>
      </c>
      <c r="AR207" s="21">
        <v>1</v>
      </c>
      <c r="AS207" s="21">
        <v>1</v>
      </c>
      <c r="AT207" s="21">
        <v>1</v>
      </c>
      <c r="AU207" s="21">
        <v>1</v>
      </c>
      <c r="AV207" s="21">
        <v>1</v>
      </c>
      <c r="AW207" s="21">
        <v>1</v>
      </c>
      <c r="AX207" s="21">
        <v>1</v>
      </c>
      <c r="AY207" s="21">
        <v>1</v>
      </c>
      <c r="AZ207" s="21">
        <v>1</v>
      </c>
      <c r="BA207" s="21">
        <v>1</v>
      </c>
      <c r="BB207" s="21">
        <v>1</v>
      </c>
      <c r="BC207" s="21">
        <v>1</v>
      </c>
      <c r="BD207" s="21">
        <v>1</v>
      </c>
      <c r="BE207" s="21">
        <v>1</v>
      </c>
      <c r="BF207" s="21">
        <v>1</v>
      </c>
      <c r="BG207" s="21">
        <v>1</v>
      </c>
      <c r="BH207" s="21">
        <v>1</v>
      </c>
      <c r="BI207">
        <v>-1</v>
      </c>
      <c r="BJ207">
        <v>-1</v>
      </c>
      <c r="BK207">
        <v>-1</v>
      </c>
    </row>
    <row r="208" spans="1:63" x14ac:dyDescent="0.3">
      <c r="A208" t="s">
        <v>544</v>
      </c>
      <c r="B208" s="21">
        <v>1</v>
      </c>
      <c r="C208" s="2">
        <f>'vehicles specifications'!S74</f>
        <v>53</v>
      </c>
      <c r="D208" s="21">
        <v>1</v>
      </c>
      <c r="E208">
        <v>1</v>
      </c>
      <c r="F208">
        <f>1+'vehicles specifications'!AD74</f>
        <v>1</v>
      </c>
      <c r="G208">
        <f>1+'vehicles specifications'!AD74</f>
        <v>1</v>
      </c>
      <c r="J208">
        <v>1</v>
      </c>
      <c r="K208">
        <f>1/('fuels and tailpipe emissions'!$C$3*3.6)</f>
        <v>2.358490566037736E-2</v>
      </c>
      <c r="L208" s="21">
        <f t="shared" si="7"/>
        <v>0.30555555555555558</v>
      </c>
      <c r="M208">
        <f>1/'vehicles specifications'!J74</f>
        <v>2.9940119760479042E-5</v>
      </c>
      <c r="N208" s="21">
        <v>1</v>
      </c>
      <c r="O208">
        <f>1</f>
        <v>1</v>
      </c>
      <c r="P208" s="21">
        <v>1</v>
      </c>
      <c r="Q208" s="21">
        <v>1</v>
      </c>
      <c r="R208">
        <f>-1-'vehicles specifications'!AD74</f>
        <v>-1</v>
      </c>
      <c r="S208">
        <v>1</v>
      </c>
      <c r="T208">
        <v>1</v>
      </c>
      <c r="U208">
        <v>1</v>
      </c>
      <c r="V208">
        <v>1</v>
      </c>
      <c r="W208">
        <v>1</v>
      </c>
      <c r="X208">
        <v>1</v>
      </c>
      <c r="Y208">
        <v>1</v>
      </c>
      <c r="Z208">
        <v>1</v>
      </c>
      <c r="AA208">
        <v>1</v>
      </c>
      <c r="AB208">
        <v>1</v>
      </c>
      <c r="AC208" s="21">
        <v>1</v>
      </c>
      <c r="AD208" s="21">
        <v>1</v>
      </c>
      <c r="AE208" s="21">
        <v>1</v>
      </c>
      <c r="AF208" s="21">
        <v>1</v>
      </c>
      <c r="AG208" s="21">
        <v>1</v>
      </c>
      <c r="AH208" s="21">
        <v>1</v>
      </c>
      <c r="AI208" s="21">
        <v>1</v>
      </c>
      <c r="AJ208" s="21">
        <v>1</v>
      </c>
      <c r="AK208" s="21">
        <v>1</v>
      </c>
      <c r="AL208" s="21">
        <v>1</v>
      </c>
      <c r="AM208" s="21">
        <v>1</v>
      </c>
      <c r="AN208" s="21">
        <v>1</v>
      </c>
      <c r="AO208" s="21">
        <v>1</v>
      </c>
      <c r="AP208" s="21">
        <v>1</v>
      </c>
      <c r="AQ208" s="21">
        <v>1</v>
      </c>
      <c r="AR208" s="21">
        <v>1</v>
      </c>
      <c r="AS208" s="21">
        <v>1</v>
      </c>
      <c r="AT208" s="21">
        <v>1</v>
      </c>
      <c r="AU208" s="21">
        <v>1</v>
      </c>
      <c r="AV208" s="21">
        <v>1</v>
      </c>
      <c r="AW208" s="21">
        <v>1</v>
      </c>
      <c r="AX208" s="21">
        <v>1</v>
      </c>
      <c r="AY208" s="21">
        <v>1</v>
      </c>
      <c r="AZ208" s="21">
        <v>1</v>
      </c>
      <c r="BA208" s="21">
        <v>1</v>
      </c>
      <c r="BB208" s="21">
        <v>1</v>
      </c>
      <c r="BC208" s="21">
        <v>1</v>
      </c>
      <c r="BD208" s="21">
        <v>1</v>
      </c>
      <c r="BE208" s="21">
        <v>1</v>
      </c>
      <c r="BF208" s="21">
        <v>1</v>
      </c>
      <c r="BG208" s="21">
        <v>1</v>
      </c>
      <c r="BH208" s="21">
        <v>1</v>
      </c>
      <c r="BI208">
        <v>-1</v>
      </c>
      <c r="BJ208">
        <v>-1</v>
      </c>
      <c r="BK208">
        <v>-1</v>
      </c>
    </row>
    <row r="209" spans="1:63" x14ac:dyDescent="0.3">
      <c r="A209" t="s">
        <v>545</v>
      </c>
      <c r="B209" s="21">
        <v>1</v>
      </c>
      <c r="C209" s="2">
        <f>'vehicles specifications'!S75</f>
        <v>65.433826960328489</v>
      </c>
      <c r="D209" s="21">
        <v>1</v>
      </c>
      <c r="E209">
        <v>1</v>
      </c>
      <c r="F209">
        <f>1+'vehicles specifications'!AD75</f>
        <v>2</v>
      </c>
      <c r="G209">
        <f>1+'vehicles specifications'!AD75</f>
        <v>2</v>
      </c>
      <c r="J209">
        <v>1</v>
      </c>
      <c r="K209">
        <f>1/('fuels and tailpipe emissions'!$C$3*3.6)</f>
        <v>2.358490566037736E-2</v>
      </c>
      <c r="L209" s="21">
        <f t="shared" si="7"/>
        <v>0.30555555555555558</v>
      </c>
      <c r="M209">
        <f>1/'vehicles specifications'!J75</f>
        <v>2.5125628140703518E-5</v>
      </c>
      <c r="N209" s="21">
        <v>1</v>
      </c>
      <c r="O209">
        <f>1</f>
        <v>1</v>
      </c>
      <c r="P209" s="21">
        <v>1</v>
      </c>
      <c r="Q209" s="21">
        <v>1</v>
      </c>
      <c r="R209">
        <f>-1-'vehicles specifications'!AD75</f>
        <v>-2</v>
      </c>
      <c r="S209">
        <v>1</v>
      </c>
      <c r="T209">
        <v>1</v>
      </c>
      <c r="U209">
        <v>1</v>
      </c>
      <c r="V209">
        <v>1</v>
      </c>
      <c r="W209">
        <v>1</v>
      </c>
      <c r="X209">
        <v>1</v>
      </c>
      <c r="Y209">
        <v>1</v>
      </c>
      <c r="Z209">
        <v>1</v>
      </c>
      <c r="AA209">
        <v>1</v>
      </c>
      <c r="AB209">
        <v>1</v>
      </c>
      <c r="AC209" s="21">
        <v>1</v>
      </c>
      <c r="AD209" s="21">
        <v>1</v>
      </c>
      <c r="AE209" s="21">
        <v>1</v>
      </c>
      <c r="AF209" s="21">
        <v>1</v>
      </c>
      <c r="AG209" s="21">
        <v>1</v>
      </c>
      <c r="AH209" s="21">
        <v>1</v>
      </c>
      <c r="AI209" s="21">
        <v>1</v>
      </c>
      <c r="AJ209" s="21">
        <v>1</v>
      </c>
      <c r="AK209" s="21">
        <v>1</v>
      </c>
      <c r="AL209" s="21">
        <v>1</v>
      </c>
      <c r="AM209" s="21">
        <v>1</v>
      </c>
      <c r="AN209" s="21">
        <v>1</v>
      </c>
      <c r="AO209" s="21">
        <v>1</v>
      </c>
      <c r="AP209" s="21">
        <v>1</v>
      </c>
      <c r="AQ209" s="21">
        <v>1</v>
      </c>
      <c r="AR209" s="21">
        <v>1</v>
      </c>
      <c r="AS209" s="21">
        <v>1</v>
      </c>
      <c r="AT209" s="21">
        <v>1</v>
      </c>
      <c r="AU209" s="21">
        <v>1</v>
      </c>
      <c r="AV209" s="21">
        <v>1</v>
      </c>
      <c r="AW209" s="21">
        <v>1</v>
      </c>
      <c r="AX209" s="21">
        <v>1</v>
      </c>
      <c r="AY209" s="21">
        <v>1</v>
      </c>
      <c r="AZ209" s="21">
        <v>1</v>
      </c>
      <c r="BA209" s="21">
        <v>1</v>
      </c>
      <c r="BB209" s="21">
        <v>1</v>
      </c>
      <c r="BC209" s="21">
        <v>1</v>
      </c>
      <c r="BD209" s="21">
        <v>1</v>
      </c>
      <c r="BE209" s="21">
        <v>1</v>
      </c>
      <c r="BF209" s="21">
        <v>1</v>
      </c>
      <c r="BG209" s="21">
        <v>1</v>
      </c>
      <c r="BH209" s="21">
        <v>1</v>
      </c>
      <c r="BI209">
        <v>-1</v>
      </c>
      <c r="BJ209">
        <v>-1</v>
      </c>
      <c r="BK209">
        <v>-1</v>
      </c>
    </row>
    <row r="210" spans="1:63" x14ac:dyDescent="0.3">
      <c r="A210" t="s">
        <v>546</v>
      </c>
      <c r="B210" s="21">
        <v>1</v>
      </c>
      <c r="C210" s="2">
        <f>'vehicles specifications'!S76</f>
        <v>65.433826960328489</v>
      </c>
      <c r="D210" s="21">
        <v>1</v>
      </c>
      <c r="E210">
        <v>1</v>
      </c>
      <c r="F210">
        <f>1+'vehicles specifications'!AD76</f>
        <v>1.5</v>
      </c>
      <c r="G210">
        <f>1+'vehicles specifications'!AD76</f>
        <v>1.5</v>
      </c>
      <c r="J210">
        <v>1</v>
      </c>
      <c r="K210">
        <f>1/('fuels and tailpipe emissions'!$C$3*3.6)</f>
        <v>2.358490566037736E-2</v>
      </c>
      <c r="L210" s="21">
        <f t="shared" si="7"/>
        <v>0.30555555555555558</v>
      </c>
      <c r="M210">
        <f>1/'vehicles specifications'!J76</f>
        <v>2.5125628140703518E-5</v>
      </c>
      <c r="N210" s="21">
        <v>1</v>
      </c>
      <c r="O210">
        <f>1</f>
        <v>1</v>
      </c>
      <c r="P210" s="21">
        <v>1</v>
      </c>
      <c r="Q210" s="21">
        <v>1</v>
      </c>
      <c r="R210">
        <f>-1-'vehicles specifications'!AD76</f>
        <v>-1.5</v>
      </c>
      <c r="S210">
        <v>1</v>
      </c>
      <c r="T210">
        <v>1</v>
      </c>
      <c r="U210">
        <v>1</v>
      </c>
      <c r="V210">
        <v>1</v>
      </c>
      <c r="W210">
        <v>1</v>
      </c>
      <c r="X210">
        <v>1</v>
      </c>
      <c r="Y210">
        <v>1</v>
      </c>
      <c r="Z210">
        <v>1</v>
      </c>
      <c r="AA210">
        <v>1</v>
      </c>
      <c r="AB210">
        <v>1</v>
      </c>
      <c r="AC210" s="21">
        <v>1</v>
      </c>
      <c r="AD210" s="21">
        <v>1</v>
      </c>
      <c r="AE210" s="21">
        <v>1</v>
      </c>
      <c r="AF210" s="21">
        <v>1</v>
      </c>
      <c r="AG210" s="21">
        <v>1</v>
      </c>
      <c r="AH210" s="21">
        <v>1</v>
      </c>
      <c r="AI210" s="21">
        <v>1</v>
      </c>
      <c r="AJ210" s="21">
        <v>1</v>
      </c>
      <c r="AK210" s="21">
        <v>1</v>
      </c>
      <c r="AL210" s="21">
        <v>1</v>
      </c>
      <c r="AM210" s="21">
        <v>1</v>
      </c>
      <c r="AN210" s="21">
        <v>1</v>
      </c>
      <c r="AO210" s="21">
        <v>1</v>
      </c>
      <c r="AP210" s="21">
        <v>1</v>
      </c>
      <c r="AQ210" s="21">
        <v>1</v>
      </c>
      <c r="AR210" s="21">
        <v>1</v>
      </c>
      <c r="AS210" s="21">
        <v>1</v>
      </c>
      <c r="AT210" s="21">
        <v>1</v>
      </c>
      <c r="AU210" s="21">
        <v>1</v>
      </c>
      <c r="AV210" s="21">
        <v>1</v>
      </c>
      <c r="AW210" s="21">
        <v>1</v>
      </c>
      <c r="AX210" s="21">
        <v>1</v>
      </c>
      <c r="AY210" s="21">
        <v>1</v>
      </c>
      <c r="AZ210" s="21">
        <v>1</v>
      </c>
      <c r="BA210" s="21">
        <v>1</v>
      </c>
      <c r="BB210" s="21">
        <v>1</v>
      </c>
      <c r="BC210" s="21">
        <v>1</v>
      </c>
      <c r="BD210" s="21">
        <v>1</v>
      </c>
      <c r="BE210" s="21">
        <v>1</v>
      </c>
      <c r="BF210" s="21">
        <v>1</v>
      </c>
      <c r="BG210" s="21">
        <v>1</v>
      </c>
      <c r="BH210" s="21">
        <v>1</v>
      </c>
      <c r="BI210">
        <v>-1</v>
      </c>
      <c r="BJ210">
        <v>-1</v>
      </c>
      <c r="BK210">
        <v>-1</v>
      </c>
    </row>
    <row r="211" spans="1:63" x14ac:dyDescent="0.3">
      <c r="A211" t="s">
        <v>547</v>
      </c>
      <c r="B211" s="21">
        <v>1</v>
      </c>
      <c r="C211" s="2">
        <f>'vehicles specifications'!S77</f>
        <v>65.433826960328489</v>
      </c>
      <c r="D211" s="21">
        <v>1</v>
      </c>
      <c r="E211">
        <v>1</v>
      </c>
      <c r="F211">
        <f>1+'vehicles specifications'!AD77</f>
        <v>1.25</v>
      </c>
      <c r="G211">
        <f>1+'vehicles specifications'!AD77</f>
        <v>1.25</v>
      </c>
      <c r="J211">
        <v>1</v>
      </c>
      <c r="K211">
        <f>1/('fuels and tailpipe emissions'!$C$3*3.6)</f>
        <v>2.358490566037736E-2</v>
      </c>
      <c r="L211" s="21">
        <f t="shared" si="7"/>
        <v>0.30555555555555558</v>
      </c>
      <c r="M211">
        <f>1/'vehicles specifications'!J77</f>
        <v>2.5125628140703518E-5</v>
      </c>
      <c r="N211" s="21">
        <v>1</v>
      </c>
      <c r="O211">
        <f>1</f>
        <v>1</v>
      </c>
      <c r="P211" s="21">
        <v>1</v>
      </c>
      <c r="Q211" s="21">
        <v>1</v>
      </c>
      <c r="R211">
        <f>-1-'vehicles specifications'!AD77</f>
        <v>-1.25</v>
      </c>
      <c r="S211">
        <v>1</v>
      </c>
      <c r="T211">
        <v>1</v>
      </c>
      <c r="U211">
        <v>1</v>
      </c>
      <c r="V211">
        <v>1</v>
      </c>
      <c r="W211">
        <v>1</v>
      </c>
      <c r="X211">
        <v>1</v>
      </c>
      <c r="Y211">
        <v>1</v>
      </c>
      <c r="Z211">
        <v>1</v>
      </c>
      <c r="AA211">
        <v>1</v>
      </c>
      <c r="AB211">
        <v>1</v>
      </c>
      <c r="AC211" s="21">
        <v>1</v>
      </c>
      <c r="AD211" s="21">
        <v>1</v>
      </c>
      <c r="AE211" s="21">
        <v>1</v>
      </c>
      <c r="AF211" s="21">
        <v>1</v>
      </c>
      <c r="AG211" s="21">
        <v>1</v>
      </c>
      <c r="AH211" s="21">
        <v>1</v>
      </c>
      <c r="AI211" s="21">
        <v>1</v>
      </c>
      <c r="AJ211" s="21">
        <v>1</v>
      </c>
      <c r="AK211" s="21">
        <v>1</v>
      </c>
      <c r="AL211" s="21">
        <v>1</v>
      </c>
      <c r="AM211" s="21">
        <v>1</v>
      </c>
      <c r="AN211" s="21">
        <v>1</v>
      </c>
      <c r="AO211" s="21">
        <v>1</v>
      </c>
      <c r="AP211" s="21">
        <v>1</v>
      </c>
      <c r="AQ211" s="21">
        <v>1</v>
      </c>
      <c r="AR211" s="21">
        <v>1</v>
      </c>
      <c r="AS211" s="21">
        <v>1</v>
      </c>
      <c r="AT211" s="21">
        <v>1</v>
      </c>
      <c r="AU211" s="21">
        <v>1</v>
      </c>
      <c r="AV211" s="21">
        <v>1</v>
      </c>
      <c r="AW211" s="21">
        <v>1</v>
      </c>
      <c r="AX211" s="21">
        <v>1</v>
      </c>
      <c r="AY211" s="21">
        <v>1</v>
      </c>
      <c r="AZ211" s="21">
        <v>1</v>
      </c>
      <c r="BA211" s="21">
        <v>1</v>
      </c>
      <c r="BB211" s="21">
        <v>1</v>
      </c>
      <c r="BC211" s="21">
        <v>1</v>
      </c>
      <c r="BD211" s="21">
        <v>1</v>
      </c>
      <c r="BE211" s="21">
        <v>1</v>
      </c>
      <c r="BF211" s="21">
        <v>1</v>
      </c>
      <c r="BG211" s="21">
        <v>1</v>
      </c>
      <c r="BH211" s="21">
        <v>1</v>
      </c>
      <c r="BI211">
        <v>-1</v>
      </c>
      <c r="BJ211">
        <v>-1</v>
      </c>
      <c r="BK211">
        <v>-1</v>
      </c>
    </row>
    <row r="212" spans="1:63" x14ac:dyDescent="0.3">
      <c r="A212" t="s">
        <v>548</v>
      </c>
      <c r="B212" s="21">
        <v>1</v>
      </c>
      <c r="C212" s="2">
        <f>'vehicles specifications'!S78</f>
        <v>65.433826960328489</v>
      </c>
      <c r="D212" s="21">
        <v>1</v>
      </c>
      <c r="E212">
        <v>1</v>
      </c>
      <c r="F212">
        <f>1+'vehicles specifications'!AD78</f>
        <v>1</v>
      </c>
      <c r="G212">
        <f>1+'vehicles specifications'!AD78</f>
        <v>1</v>
      </c>
      <c r="J212">
        <v>1</v>
      </c>
      <c r="K212">
        <f>1/('fuels and tailpipe emissions'!$C$3*3.6)</f>
        <v>2.358490566037736E-2</v>
      </c>
      <c r="L212" s="21">
        <f t="shared" si="7"/>
        <v>0.30555555555555558</v>
      </c>
      <c r="M212">
        <f>1/'vehicles specifications'!J78</f>
        <v>2.5125628140703518E-5</v>
      </c>
      <c r="N212" s="21">
        <v>1</v>
      </c>
      <c r="O212">
        <f>1</f>
        <v>1</v>
      </c>
      <c r="P212" s="21">
        <v>1</v>
      </c>
      <c r="Q212" s="21">
        <v>1</v>
      </c>
      <c r="R212">
        <f>-1-'vehicles specifications'!AD78</f>
        <v>-1</v>
      </c>
      <c r="S212">
        <v>1</v>
      </c>
      <c r="T212">
        <v>1</v>
      </c>
      <c r="U212">
        <v>1</v>
      </c>
      <c r="V212">
        <v>1</v>
      </c>
      <c r="W212">
        <v>1</v>
      </c>
      <c r="X212">
        <v>1</v>
      </c>
      <c r="Y212">
        <v>1</v>
      </c>
      <c r="Z212">
        <v>1</v>
      </c>
      <c r="AA212">
        <v>1</v>
      </c>
      <c r="AB212">
        <v>1</v>
      </c>
      <c r="AC212" s="21">
        <v>1</v>
      </c>
      <c r="AD212" s="21">
        <v>1</v>
      </c>
      <c r="AE212" s="21">
        <v>1</v>
      </c>
      <c r="AF212" s="21">
        <v>1</v>
      </c>
      <c r="AG212" s="21">
        <v>1</v>
      </c>
      <c r="AH212" s="21">
        <v>1</v>
      </c>
      <c r="AI212" s="21">
        <v>1</v>
      </c>
      <c r="AJ212" s="21">
        <v>1</v>
      </c>
      <c r="AK212" s="21">
        <v>1</v>
      </c>
      <c r="AL212" s="21">
        <v>1</v>
      </c>
      <c r="AM212" s="21">
        <v>1</v>
      </c>
      <c r="AN212" s="21">
        <v>1</v>
      </c>
      <c r="AO212" s="21">
        <v>1</v>
      </c>
      <c r="AP212" s="21">
        <v>1</v>
      </c>
      <c r="AQ212" s="21">
        <v>1</v>
      </c>
      <c r="AR212" s="21">
        <v>1</v>
      </c>
      <c r="AS212" s="21">
        <v>1</v>
      </c>
      <c r="AT212" s="21">
        <v>1</v>
      </c>
      <c r="AU212" s="21">
        <v>1</v>
      </c>
      <c r="AV212" s="21">
        <v>1</v>
      </c>
      <c r="AW212" s="21">
        <v>1</v>
      </c>
      <c r="AX212" s="21">
        <v>1</v>
      </c>
      <c r="AY212" s="21">
        <v>1</v>
      </c>
      <c r="AZ212" s="21">
        <v>1</v>
      </c>
      <c r="BA212" s="21">
        <v>1</v>
      </c>
      <c r="BB212" s="21">
        <v>1</v>
      </c>
      <c r="BC212" s="21">
        <v>1</v>
      </c>
      <c r="BD212" s="21">
        <v>1</v>
      </c>
      <c r="BE212" s="21">
        <v>1</v>
      </c>
      <c r="BF212" s="21">
        <v>1</v>
      </c>
      <c r="BG212" s="21">
        <v>1</v>
      </c>
      <c r="BH212" s="21">
        <v>1</v>
      </c>
      <c r="BI212">
        <v>-1</v>
      </c>
      <c r="BJ212">
        <v>-1</v>
      </c>
      <c r="BK212">
        <v>-1</v>
      </c>
    </row>
    <row r="213" spans="1:63" x14ac:dyDescent="0.3">
      <c r="A213" t="s">
        <v>549</v>
      </c>
      <c r="B213" s="21">
        <v>1</v>
      </c>
      <c r="C213" s="2">
        <f>'vehicles specifications'!S79</f>
        <v>81</v>
      </c>
      <c r="D213" s="21">
        <v>1</v>
      </c>
      <c r="E213">
        <v>1</v>
      </c>
      <c r="F213">
        <f>1+'vehicles specifications'!AD79</f>
        <v>2</v>
      </c>
      <c r="G213">
        <f>1+'vehicles specifications'!AD79</f>
        <v>2</v>
      </c>
      <c r="J213">
        <v>1</v>
      </c>
      <c r="K213">
        <f>1/('fuels and tailpipe emissions'!$C$3*3.6)</f>
        <v>2.358490566037736E-2</v>
      </c>
      <c r="L213" s="21">
        <f t="shared" si="7"/>
        <v>0.30555555555555558</v>
      </c>
      <c r="M213">
        <f>1/'vehicles specifications'!J79</f>
        <v>1.6103059581320449E-5</v>
      </c>
      <c r="N213" s="21">
        <v>1</v>
      </c>
      <c r="O213">
        <f>1</f>
        <v>1</v>
      </c>
      <c r="P213" s="21">
        <v>1</v>
      </c>
      <c r="Q213" s="21">
        <v>1</v>
      </c>
      <c r="R213">
        <f>-1-'vehicles specifications'!AD79</f>
        <v>-2</v>
      </c>
      <c r="S213">
        <v>1</v>
      </c>
      <c r="T213">
        <v>1</v>
      </c>
      <c r="U213">
        <v>1</v>
      </c>
      <c r="V213">
        <v>1</v>
      </c>
      <c r="W213">
        <v>1</v>
      </c>
      <c r="X213">
        <v>1</v>
      </c>
      <c r="Y213">
        <v>1</v>
      </c>
      <c r="Z213">
        <v>1</v>
      </c>
      <c r="AA213">
        <v>1</v>
      </c>
      <c r="AB213">
        <v>1</v>
      </c>
      <c r="AC213" s="21">
        <v>1</v>
      </c>
      <c r="AD213" s="21">
        <v>1</v>
      </c>
      <c r="AE213" s="21">
        <v>1</v>
      </c>
      <c r="AF213" s="21">
        <v>1</v>
      </c>
      <c r="AG213" s="21">
        <v>1</v>
      </c>
      <c r="AH213" s="21">
        <v>1</v>
      </c>
      <c r="AI213" s="21">
        <v>1</v>
      </c>
      <c r="AJ213" s="21">
        <v>1</v>
      </c>
      <c r="AK213" s="21">
        <v>1</v>
      </c>
      <c r="AL213" s="21">
        <v>1</v>
      </c>
      <c r="AM213" s="21">
        <v>1</v>
      </c>
      <c r="AN213" s="21">
        <v>1</v>
      </c>
      <c r="AO213" s="21">
        <v>1</v>
      </c>
      <c r="AP213" s="21">
        <v>1</v>
      </c>
      <c r="AQ213" s="21">
        <v>1</v>
      </c>
      <c r="AR213" s="21">
        <v>1</v>
      </c>
      <c r="AS213" s="21">
        <v>1</v>
      </c>
      <c r="AT213" s="21">
        <v>1</v>
      </c>
      <c r="AU213" s="21">
        <v>1</v>
      </c>
      <c r="AV213" s="21">
        <v>1</v>
      </c>
      <c r="AW213" s="21">
        <v>1</v>
      </c>
      <c r="AX213" s="21">
        <v>1</v>
      </c>
      <c r="AY213" s="21">
        <v>1</v>
      </c>
      <c r="AZ213" s="21">
        <v>1</v>
      </c>
      <c r="BA213" s="21">
        <v>1</v>
      </c>
      <c r="BB213" s="21">
        <v>1</v>
      </c>
      <c r="BC213" s="21">
        <v>1</v>
      </c>
      <c r="BD213" s="21">
        <v>1</v>
      </c>
      <c r="BE213" s="21">
        <v>1</v>
      </c>
      <c r="BF213" s="21">
        <v>1</v>
      </c>
      <c r="BG213" s="21">
        <v>1</v>
      </c>
      <c r="BH213" s="21">
        <v>1</v>
      </c>
      <c r="BI213">
        <v>-1</v>
      </c>
      <c r="BJ213">
        <v>-1</v>
      </c>
      <c r="BK213">
        <v>-1</v>
      </c>
    </row>
    <row r="214" spans="1:63" x14ac:dyDescent="0.3">
      <c r="A214" t="s">
        <v>550</v>
      </c>
      <c r="B214" s="21">
        <v>1</v>
      </c>
      <c r="C214" s="2">
        <f>'vehicles specifications'!S80</f>
        <v>81</v>
      </c>
      <c r="D214" s="21">
        <v>1</v>
      </c>
      <c r="E214">
        <v>1</v>
      </c>
      <c r="F214">
        <f>1+'vehicles specifications'!AD80</f>
        <v>1.5</v>
      </c>
      <c r="G214">
        <f>1+'vehicles specifications'!AD80</f>
        <v>1.5</v>
      </c>
      <c r="J214">
        <v>1</v>
      </c>
      <c r="K214">
        <f>1/('fuels and tailpipe emissions'!$C$3*3.6)</f>
        <v>2.358490566037736E-2</v>
      </c>
      <c r="L214" s="21">
        <f t="shared" ref="L214:L220" si="9">1/3.6*1.1</f>
        <v>0.30555555555555558</v>
      </c>
      <c r="M214">
        <f>1/'vehicles specifications'!J80</f>
        <v>1.6103059581320449E-5</v>
      </c>
      <c r="N214" s="21">
        <v>1</v>
      </c>
      <c r="O214">
        <f>1</f>
        <v>1</v>
      </c>
      <c r="P214" s="21">
        <v>1</v>
      </c>
      <c r="Q214" s="21">
        <v>1</v>
      </c>
      <c r="R214">
        <f>-1-'vehicles specifications'!AD80</f>
        <v>-1.5</v>
      </c>
      <c r="S214">
        <v>1</v>
      </c>
      <c r="T214">
        <v>1</v>
      </c>
      <c r="U214">
        <v>1</v>
      </c>
      <c r="V214">
        <v>1</v>
      </c>
      <c r="W214">
        <v>1</v>
      </c>
      <c r="X214">
        <v>1</v>
      </c>
      <c r="Y214">
        <v>1</v>
      </c>
      <c r="Z214">
        <v>1</v>
      </c>
      <c r="AA214">
        <v>1</v>
      </c>
      <c r="AB214">
        <v>1</v>
      </c>
      <c r="AC214" s="21">
        <v>1</v>
      </c>
      <c r="AD214" s="21">
        <v>1</v>
      </c>
      <c r="AE214" s="21">
        <v>1</v>
      </c>
      <c r="AF214" s="21">
        <v>1</v>
      </c>
      <c r="AG214" s="21">
        <v>1</v>
      </c>
      <c r="AH214" s="21">
        <v>1</v>
      </c>
      <c r="AI214" s="21">
        <v>1</v>
      </c>
      <c r="AJ214" s="21">
        <v>1</v>
      </c>
      <c r="AK214" s="21">
        <v>1</v>
      </c>
      <c r="AL214" s="21">
        <v>1</v>
      </c>
      <c r="AM214" s="21">
        <v>1</v>
      </c>
      <c r="AN214" s="21">
        <v>1</v>
      </c>
      <c r="AO214" s="21">
        <v>1</v>
      </c>
      <c r="AP214" s="21">
        <v>1</v>
      </c>
      <c r="AQ214" s="21">
        <v>1</v>
      </c>
      <c r="AR214" s="21">
        <v>1</v>
      </c>
      <c r="AS214" s="21">
        <v>1</v>
      </c>
      <c r="AT214" s="21">
        <v>1</v>
      </c>
      <c r="AU214" s="21">
        <v>1</v>
      </c>
      <c r="AV214" s="21">
        <v>1</v>
      </c>
      <c r="AW214" s="21">
        <v>1</v>
      </c>
      <c r="AX214" s="21">
        <v>1</v>
      </c>
      <c r="AY214" s="21">
        <v>1</v>
      </c>
      <c r="AZ214" s="21">
        <v>1</v>
      </c>
      <c r="BA214" s="21">
        <v>1</v>
      </c>
      <c r="BB214" s="21">
        <v>1</v>
      </c>
      <c r="BC214" s="21">
        <v>1</v>
      </c>
      <c r="BD214" s="21">
        <v>1</v>
      </c>
      <c r="BE214" s="21">
        <v>1</v>
      </c>
      <c r="BF214" s="21">
        <v>1</v>
      </c>
      <c r="BG214" s="21">
        <v>1</v>
      </c>
      <c r="BH214" s="21">
        <v>1</v>
      </c>
      <c r="BI214">
        <v>-1</v>
      </c>
      <c r="BJ214">
        <v>-1</v>
      </c>
      <c r="BK214">
        <v>-1</v>
      </c>
    </row>
    <row r="215" spans="1:63" x14ac:dyDescent="0.3">
      <c r="A215" t="s">
        <v>551</v>
      </c>
      <c r="B215" s="21">
        <v>1</v>
      </c>
      <c r="C215" s="2">
        <f>'vehicles specifications'!S81</f>
        <v>81</v>
      </c>
      <c r="D215" s="21">
        <v>1</v>
      </c>
      <c r="E215">
        <v>1</v>
      </c>
      <c r="F215">
        <f>1+'vehicles specifications'!AD81</f>
        <v>1.25</v>
      </c>
      <c r="G215">
        <f>1+'vehicles specifications'!AD81</f>
        <v>1.25</v>
      </c>
      <c r="J215">
        <v>1</v>
      </c>
      <c r="K215">
        <f>1/('fuels and tailpipe emissions'!$C$3*3.6)</f>
        <v>2.358490566037736E-2</v>
      </c>
      <c r="L215" s="21">
        <f t="shared" si="9"/>
        <v>0.30555555555555558</v>
      </c>
      <c r="M215">
        <f>1/'vehicles specifications'!J81</f>
        <v>1.6103059581320449E-5</v>
      </c>
      <c r="N215" s="21">
        <v>1</v>
      </c>
      <c r="O215">
        <f>1</f>
        <v>1</v>
      </c>
      <c r="P215" s="21">
        <v>1</v>
      </c>
      <c r="Q215" s="21">
        <v>1</v>
      </c>
      <c r="R215">
        <f>-1-'vehicles specifications'!AD81</f>
        <v>-1.25</v>
      </c>
      <c r="S215">
        <v>1</v>
      </c>
      <c r="T215">
        <v>1</v>
      </c>
      <c r="U215">
        <v>1</v>
      </c>
      <c r="V215">
        <v>1</v>
      </c>
      <c r="W215">
        <v>1</v>
      </c>
      <c r="X215">
        <v>1</v>
      </c>
      <c r="Y215">
        <v>1</v>
      </c>
      <c r="Z215">
        <v>1</v>
      </c>
      <c r="AA215">
        <v>1</v>
      </c>
      <c r="AB215">
        <v>1</v>
      </c>
      <c r="AC215" s="21">
        <v>1</v>
      </c>
      <c r="AD215" s="21">
        <v>1</v>
      </c>
      <c r="AE215" s="21">
        <v>1</v>
      </c>
      <c r="AF215" s="21">
        <v>1</v>
      </c>
      <c r="AG215" s="21">
        <v>1</v>
      </c>
      <c r="AH215" s="21">
        <v>1</v>
      </c>
      <c r="AI215" s="21">
        <v>1</v>
      </c>
      <c r="AJ215" s="21">
        <v>1</v>
      </c>
      <c r="AK215" s="21">
        <v>1</v>
      </c>
      <c r="AL215" s="21">
        <v>1</v>
      </c>
      <c r="AM215" s="21">
        <v>1</v>
      </c>
      <c r="AN215" s="21">
        <v>1</v>
      </c>
      <c r="AO215" s="21">
        <v>1</v>
      </c>
      <c r="AP215" s="21">
        <v>1</v>
      </c>
      <c r="AQ215" s="21">
        <v>1</v>
      </c>
      <c r="AR215" s="21">
        <v>1</v>
      </c>
      <c r="AS215" s="21">
        <v>1</v>
      </c>
      <c r="AT215" s="21">
        <v>1</v>
      </c>
      <c r="AU215" s="21">
        <v>1</v>
      </c>
      <c r="AV215" s="21">
        <v>1</v>
      </c>
      <c r="AW215" s="21">
        <v>1</v>
      </c>
      <c r="AX215" s="21">
        <v>1</v>
      </c>
      <c r="AY215" s="21">
        <v>1</v>
      </c>
      <c r="AZ215" s="21">
        <v>1</v>
      </c>
      <c r="BA215" s="21">
        <v>1</v>
      </c>
      <c r="BB215" s="21">
        <v>1</v>
      </c>
      <c r="BC215" s="21">
        <v>1</v>
      </c>
      <c r="BD215" s="21">
        <v>1</v>
      </c>
      <c r="BE215" s="21">
        <v>1</v>
      </c>
      <c r="BF215" s="21">
        <v>1</v>
      </c>
      <c r="BG215" s="21">
        <v>1</v>
      </c>
      <c r="BH215" s="21">
        <v>1</v>
      </c>
      <c r="BI215">
        <v>-1</v>
      </c>
      <c r="BJ215">
        <v>-1</v>
      </c>
      <c r="BK215">
        <v>-1</v>
      </c>
    </row>
    <row r="216" spans="1:63" x14ac:dyDescent="0.3">
      <c r="A216" t="s">
        <v>552</v>
      </c>
      <c r="B216" s="21">
        <v>1</v>
      </c>
      <c r="C216" s="2">
        <f>'vehicles specifications'!S82</f>
        <v>81</v>
      </c>
      <c r="D216" s="21">
        <v>1</v>
      </c>
      <c r="E216">
        <v>1</v>
      </c>
      <c r="F216">
        <f>1+'vehicles specifications'!AD82</f>
        <v>1</v>
      </c>
      <c r="G216">
        <f>1+'vehicles specifications'!AD82</f>
        <v>1</v>
      </c>
      <c r="J216">
        <v>1</v>
      </c>
      <c r="K216">
        <f>1/('fuels and tailpipe emissions'!$C$3*3.6)</f>
        <v>2.358490566037736E-2</v>
      </c>
      <c r="L216" s="21">
        <f t="shared" si="9"/>
        <v>0.30555555555555558</v>
      </c>
      <c r="M216">
        <f>1/'vehicles specifications'!J82</f>
        <v>1.6103059581320449E-5</v>
      </c>
      <c r="N216" s="21">
        <v>1</v>
      </c>
      <c r="O216">
        <f>1</f>
        <v>1</v>
      </c>
      <c r="P216" s="21">
        <v>1</v>
      </c>
      <c r="Q216" s="21">
        <v>1</v>
      </c>
      <c r="R216">
        <f>-1-'vehicles specifications'!AD82</f>
        <v>-1</v>
      </c>
      <c r="S216">
        <v>1</v>
      </c>
      <c r="T216">
        <v>1</v>
      </c>
      <c r="U216">
        <v>1</v>
      </c>
      <c r="V216">
        <v>1</v>
      </c>
      <c r="W216">
        <v>1</v>
      </c>
      <c r="X216">
        <v>1</v>
      </c>
      <c r="Y216">
        <v>1</v>
      </c>
      <c r="Z216">
        <v>1</v>
      </c>
      <c r="AA216">
        <v>1</v>
      </c>
      <c r="AB216">
        <v>1</v>
      </c>
      <c r="AC216" s="21">
        <v>1</v>
      </c>
      <c r="AD216" s="21">
        <v>1</v>
      </c>
      <c r="AE216" s="21">
        <v>1</v>
      </c>
      <c r="AF216" s="21">
        <v>1</v>
      </c>
      <c r="AG216" s="21">
        <v>1</v>
      </c>
      <c r="AH216" s="21">
        <v>1</v>
      </c>
      <c r="AI216" s="21">
        <v>1</v>
      </c>
      <c r="AJ216" s="21">
        <v>1</v>
      </c>
      <c r="AK216" s="21">
        <v>1</v>
      </c>
      <c r="AL216" s="21">
        <v>1</v>
      </c>
      <c r="AM216" s="21">
        <v>1</v>
      </c>
      <c r="AN216" s="21">
        <v>1</v>
      </c>
      <c r="AO216" s="21">
        <v>1</v>
      </c>
      <c r="AP216" s="21">
        <v>1</v>
      </c>
      <c r="AQ216" s="21">
        <v>1</v>
      </c>
      <c r="AR216" s="21">
        <v>1</v>
      </c>
      <c r="AS216" s="21">
        <v>1</v>
      </c>
      <c r="AT216" s="21">
        <v>1</v>
      </c>
      <c r="AU216" s="21">
        <v>1</v>
      </c>
      <c r="AV216" s="21">
        <v>1</v>
      </c>
      <c r="AW216" s="21">
        <v>1</v>
      </c>
      <c r="AX216" s="21">
        <v>1</v>
      </c>
      <c r="AY216" s="21">
        <v>1</v>
      </c>
      <c r="AZ216" s="21">
        <v>1</v>
      </c>
      <c r="BA216" s="21">
        <v>1</v>
      </c>
      <c r="BB216" s="21">
        <v>1</v>
      </c>
      <c r="BC216" s="21">
        <v>1</v>
      </c>
      <c r="BD216" s="21">
        <v>1</v>
      </c>
      <c r="BE216" s="21">
        <v>1</v>
      </c>
      <c r="BF216" s="21">
        <v>1</v>
      </c>
      <c r="BG216" s="21">
        <v>1</v>
      </c>
      <c r="BH216" s="21">
        <v>1</v>
      </c>
      <c r="BI216">
        <v>-1</v>
      </c>
      <c r="BJ216">
        <v>-1</v>
      </c>
      <c r="BK216">
        <v>-1</v>
      </c>
    </row>
    <row r="217" spans="1:63" x14ac:dyDescent="0.3">
      <c r="A217" t="s">
        <v>553</v>
      </c>
      <c r="B217" s="21">
        <v>1</v>
      </c>
      <c r="C217" s="2">
        <f>'vehicles specifications'!S83</f>
        <v>111</v>
      </c>
      <c r="D217" s="21">
        <v>1</v>
      </c>
      <c r="E217">
        <v>1</v>
      </c>
      <c r="F217">
        <f>1+'vehicles specifications'!AD83</f>
        <v>2</v>
      </c>
      <c r="G217">
        <f>1+'vehicles specifications'!AD83</f>
        <v>2</v>
      </c>
      <c r="J217">
        <v>1</v>
      </c>
      <c r="K217">
        <f>1/('fuels and tailpipe emissions'!$C$3*3.6)</f>
        <v>2.358490566037736E-2</v>
      </c>
      <c r="L217" s="21">
        <f t="shared" si="9"/>
        <v>0.30555555555555558</v>
      </c>
      <c r="M217">
        <f>1/'vehicles specifications'!J83</f>
        <v>1.6103059581320449E-5</v>
      </c>
      <c r="N217" s="21">
        <v>1</v>
      </c>
      <c r="O217">
        <f>1</f>
        <v>1</v>
      </c>
      <c r="P217" s="21">
        <v>1</v>
      </c>
      <c r="Q217" s="21">
        <v>1</v>
      </c>
      <c r="R217">
        <f>-1-'vehicles specifications'!AD83</f>
        <v>-2</v>
      </c>
      <c r="S217">
        <v>1</v>
      </c>
      <c r="T217">
        <v>1</v>
      </c>
      <c r="U217">
        <v>1</v>
      </c>
      <c r="V217">
        <v>1</v>
      </c>
      <c r="W217">
        <v>1</v>
      </c>
      <c r="X217">
        <v>1</v>
      </c>
      <c r="Y217">
        <v>1</v>
      </c>
      <c r="Z217">
        <v>1</v>
      </c>
      <c r="AA217">
        <v>1</v>
      </c>
      <c r="AB217">
        <v>1</v>
      </c>
      <c r="AC217" s="21">
        <v>1</v>
      </c>
      <c r="AD217" s="21">
        <v>1</v>
      </c>
      <c r="AE217" s="21">
        <v>1</v>
      </c>
      <c r="AF217" s="21">
        <v>1</v>
      </c>
      <c r="AG217" s="21">
        <v>1</v>
      </c>
      <c r="AH217" s="21">
        <v>1</v>
      </c>
      <c r="AI217" s="21">
        <v>1</v>
      </c>
      <c r="AJ217" s="21">
        <v>1</v>
      </c>
      <c r="AK217" s="21">
        <v>1</v>
      </c>
      <c r="AL217" s="21">
        <v>1</v>
      </c>
      <c r="AM217" s="21">
        <v>1</v>
      </c>
      <c r="AN217" s="21">
        <v>1</v>
      </c>
      <c r="AO217" s="21">
        <v>1</v>
      </c>
      <c r="AP217" s="21">
        <v>1</v>
      </c>
      <c r="AQ217" s="21">
        <v>1</v>
      </c>
      <c r="AR217" s="21">
        <v>1</v>
      </c>
      <c r="AS217" s="21">
        <v>1</v>
      </c>
      <c r="AT217" s="21">
        <v>1</v>
      </c>
      <c r="AU217" s="21">
        <v>1</v>
      </c>
      <c r="AV217" s="21">
        <v>1</v>
      </c>
      <c r="AW217" s="21">
        <v>1</v>
      </c>
      <c r="AX217" s="21">
        <v>1</v>
      </c>
      <c r="AY217" s="21">
        <v>1</v>
      </c>
      <c r="AZ217" s="21">
        <v>1</v>
      </c>
      <c r="BA217" s="21">
        <v>1</v>
      </c>
      <c r="BB217" s="21">
        <v>1</v>
      </c>
      <c r="BC217" s="21">
        <v>1</v>
      </c>
      <c r="BD217" s="21">
        <v>1</v>
      </c>
      <c r="BE217" s="21">
        <v>1</v>
      </c>
      <c r="BF217" s="21">
        <v>1</v>
      </c>
      <c r="BG217" s="21">
        <v>1</v>
      </c>
      <c r="BH217" s="21">
        <v>1</v>
      </c>
      <c r="BI217">
        <v>-1</v>
      </c>
      <c r="BJ217">
        <v>-1</v>
      </c>
      <c r="BK217">
        <v>-1</v>
      </c>
    </row>
    <row r="218" spans="1:63" x14ac:dyDescent="0.3">
      <c r="A218" t="s">
        <v>554</v>
      </c>
      <c r="B218" s="21">
        <v>1</v>
      </c>
      <c r="C218" s="2">
        <f>'vehicles specifications'!S84</f>
        <v>111</v>
      </c>
      <c r="D218" s="21">
        <v>1</v>
      </c>
      <c r="E218">
        <v>1</v>
      </c>
      <c r="F218">
        <f>1+'vehicles specifications'!AD84</f>
        <v>1.5</v>
      </c>
      <c r="G218">
        <f>1+'vehicles specifications'!AD84</f>
        <v>1.5</v>
      </c>
      <c r="J218">
        <v>1</v>
      </c>
      <c r="K218">
        <f>1/('fuels and tailpipe emissions'!$C$3*3.6)</f>
        <v>2.358490566037736E-2</v>
      </c>
      <c r="L218" s="21">
        <f t="shared" si="9"/>
        <v>0.30555555555555558</v>
      </c>
      <c r="M218">
        <f>1/'vehicles specifications'!J84</f>
        <v>1.6103059581320449E-5</v>
      </c>
      <c r="N218" s="21">
        <v>1</v>
      </c>
      <c r="O218">
        <f>1</f>
        <v>1</v>
      </c>
      <c r="P218" s="21">
        <v>1</v>
      </c>
      <c r="Q218" s="21">
        <v>1</v>
      </c>
      <c r="R218">
        <f>-1-'vehicles specifications'!AD84</f>
        <v>-1.5</v>
      </c>
      <c r="S218">
        <v>1</v>
      </c>
      <c r="T218">
        <v>1</v>
      </c>
      <c r="U218">
        <v>1</v>
      </c>
      <c r="V218">
        <v>1</v>
      </c>
      <c r="W218">
        <v>1</v>
      </c>
      <c r="X218">
        <v>1</v>
      </c>
      <c r="Y218">
        <v>1</v>
      </c>
      <c r="Z218">
        <v>1</v>
      </c>
      <c r="AA218">
        <v>1</v>
      </c>
      <c r="AB218">
        <v>1</v>
      </c>
      <c r="AC218" s="21">
        <v>1</v>
      </c>
      <c r="AD218" s="21">
        <v>1</v>
      </c>
      <c r="AE218" s="21">
        <v>1</v>
      </c>
      <c r="AF218" s="21">
        <v>1</v>
      </c>
      <c r="AG218" s="21">
        <v>1</v>
      </c>
      <c r="AH218" s="21">
        <v>1</v>
      </c>
      <c r="AI218" s="21">
        <v>1</v>
      </c>
      <c r="AJ218" s="21">
        <v>1</v>
      </c>
      <c r="AK218" s="21">
        <v>1</v>
      </c>
      <c r="AL218" s="21">
        <v>1</v>
      </c>
      <c r="AM218" s="21">
        <v>1</v>
      </c>
      <c r="AN218" s="21">
        <v>1</v>
      </c>
      <c r="AO218" s="21">
        <v>1</v>
      </c>
      <c r="AP218" s="21">
        <v>1</v>
      </c>
      <c r="AQ218" s="21">
        <v>1</v>
      </c>
      <c r="AR218" s="21">
        <v>1</v>
      </c>
      <c r="AS218" s="21">
        <v>1</v>
      </c>
      <c r="AT218" s="21">
        <v>1</v>
      </c>
      <c r="AU218" s="21">
        <v>1</v>
      </c>
      <c r="AV218" s="21">
        <v>1</v>
      </c>
      <c r="AW218" s="21">
        <v>1</v>
      </c>
      <c r="AX218" s="21">
        <v>1</v>
      </c>
      <c r="AY218" s="21">
        <v>1</v>
      </c>
      <c r="AZ218" s="21">
        <v>1</v>
      </c>
      <c r="BA218" s="21">
        <v>1</v>
      </c>
      <c r="BB218" s="21">
        <v>1</v>
      </c>
      <c r="BC218" s="21">
        <v>1</v>
      </c>
      <c r="BD218" s="21">
        <v>1</v>
      </c>
      <c r="BE218" s="21">
        <v>1</v>
      </c>
      <c r="BF218" s="21">
        <v>1</v>
      </c>
      <c r="BG218" s="21">
        <v>1</v>
      </c>
      <c r="BH218" s="21">
        <v>1</v>
      </c>
      <c r="BI218">
        <v>-1</v>
      </c>
      <c r="BJ218">
        <v>-1</v>
      </c>
      <c r="BK218">
        <v>-1</v>
      </c>
    </row>
    <row r="219" spans="1:63" x14ac:dyDescent="0.3">
      <c r="A219" t="s">
        <v>555</v>
      </c>
      <c r="B219" s="21">
        <v>1</v>
      </c>
      <c r="C219" s="2">
        <f>'vehicles specifications'!S85</f>
        <v>111</v>
      </c>
      <c r="D219" s="21">
        <v>1</v>
      </c>
      <c r="E219">
        <v>1</v>
      </c>
      <c r="F219">
        <f>1+'vehicles specifications'!AD85</f>
        <v>1.25</v>
      </c>
      <c r="G219">
        <f>1+'vehicles specifications'!AD85</f>
        <v>1.25</v>
      </c>
      <c r="J219">
        <v>1</v>
      </c>
      <c r="K219">
        <f>1/('fuels and tailpipe emissions'!$C$3*3.6)</f>
        <v>2.358490566037736E-2</v>
      </c>
      <c r="L219" s="21">
        <f t="shared" si="9"/>
        <v>0.30555555555555558</v>
      </c>
      <c r="M219">
        <f>1/'vehicles specifications'!J85</f>
        <v>1.6103059581320449E-5</v>
      </c>
      <c r="N219" s="21">
        <v>1</v>
      </c>
      <c r="O219">
        <f>1</f>
        <v>1</v>
      </c>
      <c r="P219" s="21">
        <v>1</v>
      </c>
      <c r="Q219" s="21">
        <v>1</v>
      </c>
      <c r="R219">
        <f>-1-'vehicles specifications'!AD85</f>
        <v>-1.25</v>
      </c>
      <c r="S219">
        <v>1</v>
      </c>
      <c r="T219">
        <v>1</v>
      </c>
      <c r="U219">
        <v>1</v>
      </c>
      <c r="V219">
        <v>1</v>
      </c>
      <c r="W219">
        <v>1</v>
      </c>
      <c r="X219">
        <v>1</v>
      </c>
      <c r="Y219">
        <v>1</v>
      </c>
      <c r="Z219">
        <v>1</v>
      </c>
      <c r="AA219">
        <v>1</v>
      </c>
      <c r="AB219">
        <v>1</v>
      </c>
      <c r="AC219" s="21">
        <v>1</v>
      </c>
      <c r="AD219" s="21">
        <v>1</v>
      </c>
      <c r="AE219" s="21">
        <v>1</v>
      </c>
      <c r="AF219" s="21">
        <v>1</v>
      </c>
      <c r="AG219" s="21">
        <v>1</v>
      </c>
      <c r="AH219" s="21">
        <v>1</v>
      </c>
      <c r="AI219" s="21">
        <v>1</v>
      </c>
      <c r="AJ219" s="21">
        <v>1</v>
      </c>
      <c r="AK219" s="21">
        <v>1</v>
      </c>
      <c r="AL219" s="21">
        <v>1</v>
      </c>
      <c r="AM219" s="21">
        <v>1</v>
      </c>
      <c r="AN219" s="21">
        <v>1</v>
      </c>
      <c r="AO219" s="21">
        <v>1</v>
      </c>
      <c r="AP219" s="21">
        <v>1</v>
      </c>
      <c r="AQ219" s="21">
        <v>1</v>
      </c>
      <c r="AR219" s="21">
        <v>1</v>
      </c>
      <c r="AS219" s="21">
        <v>1</v>
      </c>
      <c r="AT219" s="21">
        <v>1</v>
      </c>
      <c r="AU219" s="21">
        <v>1</v>
      </c>
      <c r="AV219" s="21">
        <v>1</v>
      </c>
      <c r="AW219" s="21">
        <v>1</v>
      </c>
      <c r="AX219" s="21">
        <v>1</v>
      </c>
      <c r="AY219" s="21">
        <v>1</v>
      </c>
      <c r="AZ219" s="21">
        <v>1</v>
      </c>
      <c r="BA219" s="21">
        <v>1</v>
      </c>
      <c r="BB219" s="21">
        <v>1</v>
      </c>
      <c r="BC219" s="21">
        <v>1</v>
      </c>
      <c r="BD219" s="21">
        <v>1</v>
      </c>
      <c r="BE219" s="21">
        <v>1</v>
      </c>
      <c r="BF219" s="21">
        <v>1</v>
      </c>
      <c r="BG219" s="21">
        <v>1</v>
      </c>
      <c r="BH219" s="21">
        <v>1</v>
      </c>
      <c r="BI219">
        <v>-1</v>
      </c>
      <c r="BJ219">
        <v>-1</v>
      </c>
      <c r="BK219">
        <v>-1</v>
      </c>
    </row>
    <row r="220" spans="1:63" x14ac:dyDescent="0.3">
      <c r="A220" t="s">
        <v>556</v>
      </c>
      <c r="B220" s="21">
        <v>1</v>
      </c>
      <c r="C220" s="2">
        <f>'vehicles specifications'!S86</f>
        <v>111</v>
      </c>
      <c r="D220" s="21">
        <v>1</v>
      </c>
      <c r="E220">
        <v>1</v>
      </c>
      <c r="F220">
        <f>1+'vehicles specifications'!AD86</f>
        <v>1</v>
      </c>
      <c r="G220">
        <f>1+'vehicles specifications'!AD86</f>
        <v>1</v>
      </c>
      <c r="J220">
        <v>1</v>
      </c>
      <c r="K220">
        <f>1/('fuels and tailpipe emissions'!$C$3*3.6)</f>
        <v>2.358490566037736E-2</v>
      </c>
      <c r="L220" s="21">
        <f t="shared" si="9"/>
        <v>0.30555555555555558</v>
      </c>
      <c r="M220">
        <f>1/'vehicles specifications'!J86</f>
        <v>1.6103059581320449E-5</v>
      </c>
      <c r="N220" s="21">
        <v>1</v>
      </c>
      <c r="O220">
        <f>1</f>
        <v>1</v>
      </c>
      <c r="P220" s="21">
        <v>1</v>
      </c>
      <c r="Q220" s="21">
        <v>1</v>
      </c>
      <c r="R220">
        <f>-1-'vehicles specifications'!AD86</f>
        <v>-1</v>
      </c>
      <c r="S220">
        <v>1</v>
      </c>
      <c r="T220">
        <v>1</v>
      </c>
      <c r="U220">
        <v>1</v>
      </c>
      <c r="V220">
        <v>1</v>
      </c>
      <c r="W220">
        <v>1</v>
      </c>
      <c r="X220">
        <v>1</v>
      </c>
      <c r="Y220">
        <v>1</v>
      </c>
      <c r="Z220">
        <v>1</v>
      </c>
      <c r="AA220">
        <v>1</v>
      </c>
      <c r="AB220">
        <v>1</v>
      </c>
      <c r="AC220" s="21">
        <v>1</v>
      </c>
      <c r="AD220" s="21">
        <v>1</v>
      </c>
      <c r="AE220" s="21">
        <v>1</v>
      </c>
      <c r="AF220" s="21">
        <v>1</v>
      </c>
      <c r="AG220" s="21">
        <v>1</v>
      </c>
      <c r="AH220" s="21">
        <v>1</v>
      </c>
      <c r="AI220" s="21">
        <v>1</v>
      </c>
      <c r="AJ220" s="21">
        <v>1</v>
      </c>
      <c r="AK220" s="21">
        <v>1</v>
      </c>
      <c r="AL220" s="21">
        <v>1</v>
      </c>
      <c r="AM220" s="21">
        <v>1</v>
      </c>
      <c r="AN220" s="21">
        <v>1</v>
      </c>
      <c r="AO220" s="21">
        <v>1</v>
      </c>
      <c r="AP220" s="21">
        <v>1</v>
      </c>
      <c r="AQ220" s="21">
        <v>1</v>
      </c>
      <c r="AR220" s="21">
        <v>1</v>
      </c>
      <c r="AS220" s="21">
        <v>1</v>
      </c>
      <c r="AT220" s="21">
        <v>1</v>
      </c>
      <c r="AU220" s="21">
        <v>1</v>
      </c>
      <c r="AV220" s="21">
        <v>1</v>
      </c>
      <c r="AW220" s="21">
        <v>1</v>
      </c>
      <c r="AX220" s="21">
        <v>1</v>
      </c>
      <c r="AY220" s="21">
        <v>1</v>
      </c>
      <c r="AZ220" s="21">
        <v>1</v>
      </c>
      <c r="BA220" s="21">
        <v>1</v>
      </c>
      <c r="BB220" s="21">
        <v>1</v>
      </c>
      <c r="BC220" s="21">
        <v>1</v>
      </c>
      <c r="BD220" s="21">
        <v>1</v>
      </c>
      <c r="BE220" s="21">
        <v>1</v>
      </c>
      <c r="BF220" s="21">
        <v>1</v>
      </c>
      <c r="BG220" s="21">
        <v>1</v>
      </c>
      <c r="BH220" s="21">
        <v>1</v>
      </c>
      <c r="BI220">
        <v>-1</v>
      </c>
      <c r="BJ220">
        <v>-1</v>
      </c>
      <c r="BK220">
        <v>-1</v>
      </c>
    </row>
    <row r="222" spans="1:63" x14ac:dyDescent="0.3">
      <c r="A222" t="s">
        <v>170</v>
      </c>
    </row>
    <row r="224" spans="1:63" x14ac:dyDescent="0.3">
      <c r="B224" s="21" t="s">
        <v>15</v>
      </c>
      <c r="D224" t="s">
        <v>16</v>
      </c>
      <c r="E224" t="s">
        <v>557</v>
      </c>
      <c r="F224" t="s">
        <v>19</v>
      </c>
      <c r="G224" t="s">
        <v>20</v>
      </c>
      <c r="H224" t="s">
        <v>22</v>
      </c>
      <c r="I224" t="s">
        <v>24</v>
      </c>
      <c r="J224" t="s">
        <v>53</v>
      </c>
      <c r="K224" t="s">
        <v>27</v>
      </c>
      <c r="L224" t="s">
        <v>28</v>
      </c>
      <c r="M224" s="12" t="s">
        <v>123</v>
      </c>
      <c r="N224" t="s">
        <v>108</v>
      </c>
      <c r="O224" t="s">
        <v>117</v>
      </c>
      <c r="P224" t="s">
        <v>150</v>
      </c>
      <c r="Q224" t="s">
        <v>151</v>
      </c>
      <c r="R224" t="s">
        <v>152</v>
      </c>
      <c r="S224" t="s">
        <v>67</v>
      </c>
      <c r="T224" t="s">
        <v>68</v>
      </c>
      <c r="U224" t="s">
        <v>56</v>
      </c>
      <c r="V224" t="s">
        <v>57</v>
      </c>
      <c r="W224" t="s">
        <v>58</v>
      </c>
      <c r="X224" t="s">
        <v>59</v>
      </c>
      <c r="Y224" t="s">
        <v>60</v>
      </c>
      <c r="Z224" t="s">
        <v>62</v>
      </c>
      <c r="AA224" t="s">
        <v>61</v>
      </c>
      <c r="AB224" t="s">
        <v>63</v>
      </c>
      <c r="AC224" s="21" t="s">
        <v>659</v>
      </c>
      <c r="AD224" s="21" t="s">
        <v>603</v>
      </c>
      <c r="AE224" s="21" t="s">
        <v>604</v>
      </c>
      <c r="AF224" s="21" t="s">
        <v>605</v>
      </c>
      <c r="AG224" s="21" t="s">
        <v>606</v>
      </c>
      <c r="AH224" s="21" t="s">
        <v>607</v>
      </c>
      <c r="AI224" s="21" t="s">
        <v>608</v>
      </c>
      <c r="AJ224" s="21" t="s">
        <v>609</v>
      </c>
      <c r="AK224" s="21" t="s">
        <v>610</v>
      </c>
      <c r="AL224" s="21" t="s">
        <v>611</v>
      </c>
      <c r="AM224" s="21" t="s">
        <v>612</v>
      </c>
      <c r="AN224" s="21" t="s">
        <v>56</v>
      </c>
      <c r="AO224" s="21" t="s">
        <v>613</v>
      </c>
      <c r="AP224" s="21" t="s">
        <v>614</v>
      </c>
      <c r="AQ224" s="21" t="s">
        <v>615</v>
      </c>
      <c r="AR224" s="21" t="s">
        <v>616</v>
      </c>
      <c r="AS224" s="21" t="s">
        <v>617</v>
      </c>
      <c r="AT224" s="21" t="s">
        <v>618</v>
      </c>
      <c r="AU224" s="21" t="s">
        <v>619</v>
      </c>
      <c r="AV224" s="21" t="s">
        <v>622</v>
      </c>
      <c r="AW224" s="21" t="s">
        <v>620</v>
      </c>
      <c r="AX224" s="21" t="s">
        <v>621</v>
      </c>
      <c r="AY224" s="21" t="s">
        <v>623</v>
      </c>
      <c r="AZ224" s="21" t="s">
        <v>624</v>
      </c>
      <c r="BA224" s="21" t="s">
        <v>625</v>
      </c>
      <c r="BB224" s="21" t="s">
        <v>626</v>
      </c>
      <c r="BC224" s="21" t="s">
        <v>581</v>
      </c>
      <c r="BD224" s="21" t="s">
        <v>583</v>
      </c>
      <c r="BE224" s="21" t="s">
        <v>582</v>
      </c>
      <c r="BF224" s="21" t="s">
        <v>629</v>
      </c>
      <c r="BG224" s="21" t="s">
        <v>627</v>
      </c>
      <c r="BH224" s="21" t="s">
        <v>628</v>
      </c>
      <c r="BI224" t="s">
        <v>29</v>
      </c>
      <c r="BJ224" t="s">
        <v>30</v>
      </c>
      <c r="BK224" t="s">
        <v>31</v>
      </c>
    </row>
    <row r="225" spans="1:60" x14ac:dyDescent="0.3">
      <c r="A225" t="s">
        <v>688</v>
      </c>
      <c r="S225" t="s">
        <v>171</v>
      </c>
      <c r="T225" t="s">
        <v>171</v>
      </c>
      <c r="U225" t="s">
        <v>171</v>
      </c>
      <c r="V225" t="s">
        <v>171</v>
      </c>
      <c r="W225" t="s">
        <v>171</v>
      </c>
      <c r="X225" t="s">
        <v>171</v>
      </c>
      <c r="Y225" t="s">
        <v>171</v>
      </c>
      <c r="Z225" t="s">
        <v>171</v>
      </c>
      <c r="AA225" t="s">
        <v>171</v>
      </c>
      <c r="AB225" t="s">
        <v>171</v>
      </c>
      <c r="AC225" s="21" t="s">
        <v>171</v>
      </c>
      <c r="AD225" s="21" t="s">
        <v>171</v>
      </c>
      <c r="AE225" s="21" t="s">
        <v>171</v>
      </c>
      <c r="AF225" s="21" t="s">
        <v>171</v>
      </c>
      <c r="AG225" s="21" t="s">
        <v>171</v>
      </c>
      <c r="AH225" s="21" t="s">
        <v>171</v>
      </c>
      <c r="AI225" s="21" t="s">
        <v>171</v>
      </c>
      <c r="AJ225" s="21" t="s">
        <v>171</v>
      </c>
      <c r="AK225" s="21" t="s">
        <v>171</v>
      </c>
      <c r="AL225" s="21" t="s">
        <v>171</v>
      </c>
      <c r="AM225" s="21" t="s">
        <v>171</v>
      </c>
      <c r="AN225" s="21" t="s">
        <v>171</v>
      </c>
      <c r="AO225" s="21" t="s">
        <v>171</v>
      </c>
      <c r="AP225" s="21" t="s">
        <v>171</v>
      </c>
      <c r="AQ225" s="21" t="s">
        <v>171</v>
      </c>
      <c r="AR225" s="21" t="s">
        <v>171</v>
      </c>
      <c r="AS225" s="21" t="s">
        <v>171</v>
      </c>
      <c r="AT225" s="21" t="s">
        <v>171</v>
      </c>
      <c r="AU225" s="21" t="s">
        <v>171</v>
      </c>
      <c r="AV225" s="21" t="s">
        <v>171</v>
      </c>
      <c r="AW225" s="21" t="s">
        <v>171</v>
      </c>
      <c r="AX225" s="21" t="s">
        <v>171</v>
      </c>
      <c r="AY225" s="21" t="s">
        <v>171</v>
      </c>
      <c r="AZ225" s="21" t="s">
        <v>171</v>
      </c>
      <c r="BA225" s="21" t="s">
        <v>171</v>
      </c>
      <c r="BB225" s="21" t="s">
        <v>171</v>
      </c>
      <c r="BC225" s="21" t="s">
        <v>171</v>
      </c>
      <c r="BD225" s="21" t="s">
        <v>171</v>
      </c>
      <c r="BE225" s="21" t="s">
        <v>171</v>
      </c>
      <c r="BF225" s="21" t="s">
        <v>171</v>
      </c>
      <c r="BG225" s="21" t="s">
        <v>171</v>
      </c>
      <c r="BH225" s="21" t="s">
        <v>171</v>
      </c>
    </row>
    <row r="226" spans="1:60" x14ac:dyDescent="0.3">
      <c r="A226" t="s">
        <v>33</v>
      </c>
      <c r="S226" t="s">
        <v>171</v>
      </c>
      <c r="T226" t="s">
        <v>171</v>
      </c>
      <c r="U226" t="s">
        <v>171</v>
      </c>
      <c r="V226" t="s">
        <v>171</v>
      </c>
      <c r="W226" t="s">
        <v>171</v>
      </c>
      <c r="X226" t="s">
        <v>171</v>
      </c>
      <c r="Y226" t="s">
        <v>171</v>
      </c>
      <c r="Z226" t="s">
        <v>171</v>
      </c>
      <c r="AA226" t="s">
        <v>171</v>
      </c>
      <c r="AB226" t="s">
        <v>171</v>
      </c>
      <c r="AC226" s="21" t="s">
        <v>171</v>
      </c>
      <c r="AD226" s="21" t="s">
        <v>171</v>
      </c>
      <c r="AE226" s="21" t="s">
        <v>171</v>
      </c>
      <c r="AF226" s="21" t="s">
        <v>171</v>
      </c>
      <c r="AG226" s="21" t="s">
        <v>171</v>
      </c>
      <c r="AH226" s="21" t="s">
        <v>171</v>
      </c>
      <c r="AI226" s="21" t="s">
        <v>171</v>
      </c>
      <c r="AJ226" s="21" t="s">
        <v>171</v>
      </c>
      <c r="AK226" s="21" t="s">
        <v>171</v>
      </c>
      <c r="AL226" s="21" t="s">
        <v>171</v>
      </c>
      <c r="AM226" s="21" t="s">
        <v>171</v>
      </c>
      <c r="AN226" s="21" t="s">
        <v>171</v>
      </c>
      <c r="AO226" s="21" t="s">
        <v>171</v>
      </c>
      <c r="AP226" s="21" t="s">
        <v>171</v>
      </c>
      <c r="AQ226" s="21" t="s">
        <v>171</v>
      </c>
      <c r="AR226" s="21" t="s">
        <v>171</v>
      </c>
      <c r="AS226" s="21" t="s">
        <v>171</v>
      </c>
      <c r="AT226" s="21" t="s">
        <v>171</v>
      </c>
      <c r="AU226" s="21" t="s">
        <v>171</v>
      </c>
      <c r="AV226" s="21" t="s">
        <v>171</v>
      </c>
      <c r="AW226" s="21" t="s">
        <v>171</v>
      </c>
      <c r="AX226" s="21" t="s">
        <v>171</v>
      </c>
      <c r="AY226" s="21" t="s">
        <v>171</v>
      </c>
      <c r="AZ226" s="21" t="s">
        <v>171</v>
      </c>
      <c r="BA226" s="21" t="s">
        <v>171</v>
      </c>
      <c r="BB226" s="21" t="s">
        <v>171</v>
      </c>
      <c r="BC226" s="21" t="s">
        <v>171</v>
      </c>
      <c r="BD226" s="21" t="s">
        <v>171</v>
      </c>
      <c r="BE226" s="21" t="s">
        <v>171</v>
      </c>
      <c r="BF226" s="21" t="s">
        <v>171</v>
      </c>
      <c r="BG226" s="21" t="s">
        <v>171</v>
      </c>
      <c r="BH226" s="21" t="s">
        <v>171</v>
      </c>
    </row>
    <row r="227" spans="1:60" x14ac:dyDescent="0.3">
      <c r="A227" t="s">
        <v>517</v>
      </c>
      <c r="S227" t="s">
        <v>171</v>
      </c>
      <c r="T227" t="s">
        <v>171</v>
      </c>
      <c r="U227" t="s">
        <v>171</v>
      </c>
      <c r="V227" t="s">
        <v>171</v>
      </c>
      <c r="W227" t="s">
        <v>171</v>
      </c>
      <c r="X227" t="s">
        <v>171</v>
      </c>
      <c r="Y227" t="s">
        <v>171</v>
      </c>
      <c r="Z227" t="s">
        <v>171</v>
      </c>
      <c r="AA227" t="s">
        <v>171</v>
      </c>
      <c r="AB227" t="s">
        <v>171</v>
      </c>
      <c r="AC227" s="21" t="s">
        <v>171</v>
      </c>
      <c r="AD227" s="21" t="s">
        <v>171</v>
      </c>
      <c r="AE227" s="21" t="s">
        <v>171</v>
      </c>
      <c r="AF227" s="21" t="s">
        <v>171</v>
      </c>
      <c r="AG227" s="21" t="s">
        <v>171</v>
      </c>
      <c r="AH227" s="21" t="s">
        <v>171</v>
      </c>
      <c r="AI227" s="21" t="s">
        <v>171</v>
      </c>
      <c r="AJ227" s="21" t="s">
        <v>171</v>
      </c>
      <c r="AK227" s="21" t="s">
        <v>171</v>
      </c>
      <c r="AL227" s="21" t="s">
        <v>171</v>
      </c>
      <c r="AM227" s="21" t="s">
        <v>171</v>
      </c>
      <c r="AN227" s="21" t="s">
        <v>171</v>
      </c>
      <c r="AO227" s="21" t="s">
        <v>171</v>
      </c>
      <c r="AP227" s="21" t="s">
        <v>171</v>
      </c>
      <c r="AQ227" s="21" t="s">
        <v>171</v>
      </c>
      <c r="AR227" s="21" t="s">
        <v>171</v>
      </c>
      <c r="AS227" s="21" t="s">
        <v>171</v>
      </c>
      <c r="AT227" s="21" t="s">
        <v>171</v>
      </c>
      <c r="AU227" s="21" t="s">
        <v>171</v>
      </c>
      <c r="AV227" s="21" t="s">
        <v>171</v>
      </c>
      <c r="AW227" s="21" t="s">
        <v>171</v>
      </c>
      <c r="AX227" s="21" t="s">
        <v>171</v>
      </c>
      <c r="AY227" s="21" t="s">
        <v>171</v>
      </c>
      <c r="AZ227" s="21" t="s">
        <v>171</v>
      </c>
      <c r="BA227" s="21" t="s">
        <v>171</v>
      </c>
      <c r="BB227" s="21" t="s">
        <v>171</v>
      </c>
      <c r="BC227" s="21" t="s">
        <v>171</v>
      </c>
      <c r="BD227" s="21" t="s">
        <v>171</v>
      </c>
      <c r="BE227" s="21" t="s">
        <v>171</v>
      </c>
      <c r="BF227" s="21" t="s">
        <v>171</v>
      </c>
      <c r="BG227" s="21" t="s">
        <v>171</v>
      </c>
      <c r="BH227" s="21" t="s">
        <v>171</v>
      </c>
    </row>
    <row r="228" spans="1:60" x14ac:dyDescent="0.3">
      <c r="A228" t="s">
        <v>518</v>
      </c>
      <c r="S228" t="s">
        <v>171</v>
      </c>
      <c r="T228" t="s">
        <v>171</v>
      </c>
      <c r="U228" t="s">
        <v>171</v>
      </c>
      <c r="V228" t="s">
        <v>171</v>
      </c>
      <c r="W228" t="s">
        <v>171</v>
      </c>
      <c r="X228" t="s">
        <v>171</v>
      </c>
      <c r="Y228" t="s">
        <v>171</v>
      </c>
      <c r="Z228" t="s">
        <v>171</v>
      </c>
      <c r="AA228" t="s">
        <v>171</v>
      </c>
      <c r="AB228" t="s">
        <v>171</v>
      </c>
      <c r="AC228" s="21" t="s">
        <v>171</v>
      </c>
      <c r="AD228" s="21" t="s">
        <v>171</v>
      </c>
      <c r="AE228" s="21" t="s">
        <v>171</v>
      </c>
      <c r="AF228" s="21" t="s">
        <v>171</v>
      </c>
      <c r="AG228" s="21" t="s">
        <v>171</v>
      </c>
      <c r="AH228" s="21" t="s">
        <v>171</v>
      </c>
      <c r="AI228" s="21" t="s">
        <v>171</v>
      </c>
      <c r="AJ228" s="21" t="s">
        <v>171</v>
      </c>
      <c r="AK228" s="21" t="s">
        <v>171</v>
      </c>
      <c r="AL228" s="21" t="s">
        <v>171</v>
      </c>
      <c r="AM228" s="21" t="s">
        <v>171</v>
      </c>
      <c r="AN228" s="21" t="s">
        <v>171</v>
      </c>
      <c r="AO228" s="21" t="s">
        <v>171</v>
      </c>
      <c r="AP228" s="21" t="s">
        <v>171</v>
      </c>
      <c r="AQ228" s="21" t="s">
        <v>171</v>
      </c>
      <c r="AR228" s="21" t="s">
        <v>171</v>
      </c>
      <c r="AS228" s="21" t="s">
        <v>171</v>
      </c>
      <c r="AT228" s="21" t="s">
        <v>171</v>
      </c>
      <c r="AU228" s="21" t="s">
        <v>171</v>
      </c>
      <c r="AV228" s="21" t="s">
        <v>171</v>
      </c>
      <c r="AW228" s="21" t="s">
        <v>171</v>
      </c>
      <c r="AX228" s="21" t="s">
        <v>171</v>
      </c>
      <c r="AY228" s="21" t="s">
        <v>171</v>
      </c>
      <c r="AZ228" s="21" t="s">
        <v>171</v>
      </c>
      <c r="BA228" s="21" t="s">
        <v>171</v>
      </c>
      <c r="BB228" s="21" t="s">
        <v>171</v>
      </c>
      <c r="BC228" s="21" t="s">
        <v>171</v>
      </c>
      <c r="BD228" s="21" t="s">
        <v>171</v>
      </c>
      <c r="BE228" s="21" t="s">
        <v>171</v>
      </c>
      <c r="BF228" s="21" t="s">
        <v>171</v>
      </c>
      <c r="BG228" s="21" t="s">
        <v>171</v>
      </c>
      <c r="BH228" s="21" t="s">
        <v>171</v>
      </c>
    </row>
    <row r="229" spans="1:60" x14ac:dyDescent="0.3">
      <c r="A229" t="s">
        <v>524</v>
      </c>
      <c r="S229" t="s">
        <v>171</v>
      </c>
      <c r="T229" t="s">
        <v>171</v>
      </c>
      <c r="U229" t="s">
        <v>171</v>
      </c>
      <c r="V229" t="s">
        <v>171</v>
      </c>
      <c r="W229" t="s">
        <v>171</v>
      </c>
      <c r="X229" t="s">
        <v>171</v>
      </c>
      <c r="Y229" t="s">
        <v>171</v>
      </c>
      <c r="Z229" t="s">
        <v>171</v>
      </c>
      <c r="AA229" t="s">
        <v>171</v>
      </c>
      <c r="AB229" t="s">
        <v>171</v>
      </c>
      <c r="AC229" s="21" t="s">
        <v>171</v>
      </c>
      <c r="AD229" s="21" t="s">
        <v>171</v>
      </c>
      <c r="AE229" s="21" t="s">
        <v>171</v>
      </c>
      <c r="AF229" s="21" t="s">
        <v>171</v>
      </c>
      <c r="AG229" s="21" t="s">
        <v>171</v>
      </c>
      <c r="AH229" s="21" t="s">
        <v>171</v>
      </c>
      <c r="AI229" s="21" t="s">
        <v>171</v>
      </c>
      <c r="AJ229" s="21" t="s">
        <v>171</v>
      </c>
      <c r="AK229" s="21" t="s">
        <v>171</v>
      </c>
      <c r="AL229" s="21" t="s">
        <v>171</v>
      </c>
      <c r="AM229" s="21" t="s">
        <v>171</v>
      </c>
      <c r="AN229" s="21" t="s">
        <v>171</v>
      </c>
      <c r="AO229" s="21" t="s">
        <v>171</v>
      </c>
      <c r="AP229" s="21" t="s">
        <v>171</v>
      </c>
      <c r="AQ229" s="21" t="s">
        <v>171</v>
      </c>
      <c r="AR229" s="21" t="s">
        <v>171</v>
      </c>
      <c r="AS229" s="21" t="s">
        <v>171</v>
      </c>
      <c r="AT229" s="21" t="s">
        <v>171</v>
      </c>
      <c r="AU229" s="21" t="s">
        <v>171</v>
      </c>
      <c r="AV229" s="21" t="s">
        <v>171</v>
      </c>
      <c r="AW229" s="21" t="s">
        <v>171</v>
      </c>
      <c r="AX229" s="21" t="s">
        <v>171</v>
      </c>
      <c r="AY229" s="21" t="s">
        <v>171</v>
      </c>
      <c r="AZ229" s="21" t="s">
        <v>171</v>
      </c>
      <c r="BA229" s="21" t="s">
        <v>171</v>
      </c>
      <c r="BB229" s="21" t="s">
        <v>171</v>
      </c>
      <c r="BC229" s="21" t="s">
        <v>171</v>
      </c>
      <c r="BD229" s="21" t="s">
        <v>171</v>
      </c>
      <c r="BE229" s="21" t="s">
        <v>171</v>
      </c>
      <c r="BF229" s="21" t="s">
        <v>171</v>
      </c>
      <c r="BG229" s="21" t="s">
        <v>171</v>
      </c>
      <c r="BH229" s="21" t="s">
        <v>171</v>
      </c>
    </row>
    <row r="230" spans="1:60" x14ac:dyDescent="0.3">
      <c r="A230" t="s">
        <v>41</v>
      </c>
      <c r="S230" t="s">
        <v>171</v>
      </c>
      <c r="T230" t="s">
        <v>171</v>
      </c>
      <c r="U230" t="s">
        <v>171</v>
      </c>
      <c r="V230" t="s">
        <v>171</v>
      </c>
      <c r="W230" t="s">
        <v>171</v>
      </c>
      <c r="X230" t="s">
        <v>171</v>
      </c>
      <c r="Y230" t="s">
        <v>171</v>
      </c>
      <c r="Z230" t="s">
        <v>171</v>
      </c>
      <c r="AA230" t="s">
        <v>171</v>
      </c>
      <c r="AB230" t="s">
        <v>171</v>
      </c>
      <c r="AC230" s="21" t="s">
        <v>171</v>
      </c>
      <c r="AD230" s="21" t="s">
        <v>171</v>
      </c>
      <c r="AE230" s="21" t="s">
        <v>171</v>
      </c>
      <c r="AF230" s="21" t="s">
        <v>171</v>
      </c>
      <c r="AG230" s="21" t="s">
        <v>171</v>
      </c>
      <c r="AH230" s="21" t="s">
        <v>171</v>
      </c>
      <c r="AI230" s="21" t="s">
        <v>171</v>
      </c>
      <c r="AJ230" s="21" t="s">
        <v>171</v>
      </c>
      <c r="AK230" s="21" t="s">
        <v>171</v>
      </c>
      <c r="AL230" s="21" t="s">
        <v>171</v>
      </c>
      <c r="AM230" s="21" t="s">
        <v>171</v>
      </c>
      <c r="AN230" s="21" t="s">
        <v>171</v>
      </c>
      <c r="AO230" s="21" t="s">
        <v>171</v>
      </c>
      <c r="AP230" s="21" t="s">
        <v>171</v>
      </c>
      <c r="AQ230" s="21" t="s">
        <v>171</v>
      </c>
      <c r="AR230" s="21" t="s">
        <v>171</v>
      </c>
      <c r="AS230" s="21" t="s">
        <v>171</v>
      </c>
      <c r="AT230" s="21" t="s">
        <v>171</v>
      </c>
      <c r="AU230" s="21" t="s">
        <v>171</v>
      </c>
      <c r="AV230" s="21" t="s">
        <v>171</v>
      </c>
      <c r="AW230" s="21" t="s">
        <v>171</v>
      </c>
      <c r="AX230" s="21" t="s">
        <v>171</v>
      </c>
      <c r="AY230" s="21" t="s">
        <v>171</v>
      </c>
      <c r="AZ230" s="21" t="s">
        <v>171</v>
      </c>
      <c r="BA230" s="21" t="s">
        <v>171</v>
      </c>
      <c r="BB230" s="21" t="s">
        <v>171</v>
      </c>
      <c r="BC230" s="21" t="s">
        <v>171</v>
      </c>
      <c r="BD230" s="21" t="s">
        <v>171</v>
      </c>
      <c r="BE230" s="21" t="s">
        <v>171</v>
      </c>
      <c r="BF230" s="21" t="s">
        <v>171</v>
      </c>
      <c r="BG230" s="21" t="s">
        <v>171</v>
      </c>
      <c r="BH230" s="21" t="s">
        <v>171</v>
      </c>
    </row>
    <row r="231" spans="1:60" x14ac:dyDescent="0.3">
      <c r="A231" t="s">
        <v>519</v>
      </c>
      <c r="S231" t="s">
        <v>171</v>
      </c>
      <c r="T231" t="s">
        <v>171</v>
      </c>
      <c r="U231" t="s">
        <v>171</v>
      </c>
      <c r="V231" t="s">
        <v>171</v>
      </c>
      <c r="W231" t="s">
        <v>171</v>
      </c>
      <c r="X231" t="s">
        <v>171</v>
      </c>
      <c r="Y231" t="s">
        <v>171</v>
      </c>
      <c r="Z231" t="s">
        <v>171</v>
      </c>
      <c r="AA231" t="s">
        <v>171</v>
      </c>
      <c r="AB231" t="s">
        <v>171</v>
      </c>
      <c r="AC231" s="21" t="s">
        <v>171</v>
      </c>
      <c r="AD231" s="21" t="s">
        <v>171</v>
      </c>
      <c r="AE231" s="21" t="s">
        <v>171</v>
      </c>
      <c r="AF231" s="21" t="s">
        <v>171</v>
      </c>
      <c r="AG231" s="21" t="s">
        <v>171</v>
      </c>
      <c r="AH231" s="21" t="s">
        <v>171</v>
      </c>
      <c r="AI231" s="21" t="s">
        <v>171</v>
      </c>
      <c r="AJ231" s="21" t="s">
        <v>171</v>
      </c>
      <c r="AK231" s="21" t="s">
        <v>171</v>
      </c>
      <c r="AL231" s="21" t="s">
        <v>171</v>
      </c>
      <c r="AM231" s="21" t="s">
        <v>171</v>
      </c>
      <c r="AN231" s="21" t="s">
        <v>171</v>
      </c>
      <c r="AO231" s="21" t="s">
        <v>171</v>
      </c>
      <c r="AP231" s="21" t="s">
        <v>171</v>
      </c>
      <c r="AQ231" s="21" t="s">
        <v>171</v>
      </c>
      <c r="AR231" s="21" t="s">
        <v>171</v>
      </c>
      <c r="AS231" s="21" t="s">
        <v>171</v>
      </c>
      <c r="AT231" s="21" t="s">
        <v>171</v>
      </c>
      <c r="AU231" s="21" t="s">
        <v>171</v>
      </c>
      <c r="AV231" s="21" t="s">
        <v>171</v>
      </c>
      <c r="AW231" s="21" t="s">
        <v>171</v>
      </c>
      <c r="AX231" s="21" t="s">
        <v>171</v>
      </c>
      <c r="AY231" s="21" t="s">
        <v>171</v>
      </c>
      <c r="AZ231" s="21" t="s">
        <v>171</v>
      </c>
      <c r="BA231" s="21" t="s">
        <v>171</v>
      </c>
      <c r="BB231" s="21" t="s">
        <v>171</v>
      </c>
      <c r="BC231" s="21" t="s">
        <v>171</v>
      </c>
      <c r="BD231" s="21" t="s">
        <v>171</v>
      </c>
      <c r="BE231" s="21" t="s">
        <v>171</v>
      </c>
      <c r="BF231" s="21" t="s">
        <v>171</v>
      </c>
      <c r="BG231" s="21" t="s">
        <v>171</v>
      </c>
      <c r="BH231" s="21" t="s">
        <v>171</v>
      </c>
    </row>
    <row r="232" spans="1:60" x14ac:dyDescent="0.3">
      <c r="A232" t="s">
        <v>645</v>
      </c>
      <c r="S232" t="s">
        <v>171</v>
      </c>
      <c r="T232" t="s">
        <v>171</v>
      </c>
      <c r="U232" t="s">
        <v>171</v>
      </c>
      <c r="V232" t="s">
        <v>171</v>
      </c>
      <c r="W232" t="s">
        <v>171</v>
      </c>
      <c r="X232" t="s">
        <v>171</v>
      </c>
      <c r="Y232" t="s">
        <v>171</v>
      </c>
      <c r="Z232" t="s">
        <v>171</v>
      </c>
      <c r="AA232" t="s">
        <v>171</v>
      </c>
      <c r="AB232" t="s">
        <v>171</v>
      </c>
      <c r="AC232" s="21" t="s">
        <v>171</v>
      </c>
      <c r="AD232" s="21" t="s">
        <v>171</v>
      </c>
      <c r="AE232" s="21" t="s">
        <v>171</v>
      </c>
      <c r="AF232" s="21" t="s">
        <v>171</v>
      </c>
      <c r="AG232" s="21" t="s">
        <v>171</v>
      </c>
      <c r="AH232" s="21" t="s">
        <v>171</v>
      </c>
      <c r="AI232" s="21" t="s">
        <v>171</v>
      </c>
      <c r="AJ232" s="21" t="s">
        <v>171</v>
      </c>
      <c r="AK232" s="21" t="s">
        <v>171</v>
      </c>
      <c r="AL232" s="21" t="s">
        <v>171</v>
      </c>
      <c r="AM232" s="21" t="s">
        <v>171</v>
      </c>
      <c r="AN232" s="21" t="s">
        <v>171</v>
      </c>
      <c r="AO232" s="21" t="s">
        <v>171</v>
      </c>
      <c r="AP232" s="21" t="s">
        <v>171</v>
      </c>
      <c r="AQ232" s="21" t="s">
        <v>171</v>
      </c>
      <c r="AR232" s="21" t="s">
        <v>171</v>
      </c>
      <c r="AS232" s="21" t="s">
        <v>171</v>
      </c>
      <c r="AT232" s="21" t="s">
        <v>171</v>
      </c>
      <c r="AU232" s="21" t="s">
        <v>171</v>
      </c>
      <c r="AV232" s="21" t="s">
        <v>171</v>
      </c>
      <c r="AW232" s="21" t="s">
        <v>171</v>
      </c>
      <c r="AX232" s="21" t="s">
        <v>171</v>
      </c>
      <c r="AY232" s="21" t="s">
        <v>171</v>
      </c>
      <c r="AZ232" s="21" t="s">
        <v>171</v>
      </c>
      <c r="BA232" s="21" t="s">
        <v>171</v>
      </c>
      <c r="BB232" s="21" t="s">
        <v>171</v>
      </c>
      <c r="BC232" s="21" t="s">
        <v>171</v>
      </c>
      <c r="BD232" s="21" t="s">
        <v>171</v>
      </c>
      <c r="BE232" s="21" t="s">
        <v>171</v>
      </c>
      <c r="BF232" s="21" t="s">
        <v>171</v>
      </c>
      <c r="BG232" s="21" t="s">
        <v>171</v>
      </c>
      <c r="BH232" s="21" t="s">
        <v>171</v>
      </c>
    </row>
    <row r="233" spans="1:60" x14ac:dyDescent="0.3">
      <c r="A233" t="s">
        <v>646</v>
      </c>
      <c r="S233" t="s">
        <v>171</v>
      </c>
      <c r="T233" t="s">
        <v>171</v>
      </c>
      <c r="U233" t="s">
        <v>171</v>
      </c>
      <c r="V233" t="s">
        <v>171</v>
      </c>
      <c r="W233" t="s">
        <v>171</v>
      </c>
      <c r="X233" t="s">
        <v>171</v>
      </c>
      <c r="Y233" t="s">
        <v>171</v>
      </c>
      <c r="Z233" t="s">
        <v>171</v>
      </c>
      <c r="AA233" t="s">
        <v>171</v>
      </c>
      <c r="AB233" t="s">
        <v>171</v>
      </c>
      <c r="AC233" s="21" t="s">
        <v>171</v>
      </c>
      <c r="AD233" s="21" t="s">
        <v>171</v>
      </c>
      <c r="AE233" s="21" t="s">
        <v>171</v>
      </c>
      <c r="AF233" s="21" t="s">
        <v>171</v>
      </c>
      <c r="AG233" s="21" t="s">
        <v>171</v>
      </c>
      <c r="AH233" s="21" t="s">
        <v>171</v>
      </c>
      <c r="AI233" s="21" t="s">
        <v>171</v>
      </c>
      <c r="AJ233" s="21" t="s">
        <v>171</v>
      </c>
      <c r="AK233" s="21" t="s">
        <v>171</v>
      </c>
      <c r="AL233" s="21" t="s">
        <v>171</v>
      </c>
      <c r="AM233" s="21" t="s">
        <v>171</v>
      </c>
      <c r="AN233" s="21" t="s">
        <v>171</v>
      </c>
      <c r="AO233" s="21" t="s">
        <v>171</v>
      </c>
      <c r="AP233" s="21" t="s">
        <v>171</v>
      </c>
      <c r="AQ233" s="21" t="s">
        <v>171</v>
      </c>
      <c r="AR233" s="21" t="s">
        <v>171</v>
      </c>
      <c r="AS233" s="21" t="s">
        <v>171</v>
      </c>
      <c r="AT233" s="21" t="s">
        <v>171</v>
      </c>
      <c r="AU233" s="21" t="s">
        <v>171</v>
      </c>
      <c r="AV233" s="21" t="s">
        <v>171</v>
      </c>
      <c r="AW233" s="21" t="s">
        <v>171</v>
      </c>
      <c r="AX233" s="21" t="s">
        <v>171</v>
      </c>
      <c r="AY233" s="21" t="s">
        <v>171</v>
      </c>
      <c r="AZ233" s="21" t="s">
        <v>171</v>
      </c>
      <c r="BA233" s="21" t="s">
        <v>171</v>
      </c>
      <c r="BB233" s="21" t="s">
        <v>171</v>
      </c>
      <c r="BC233" s="21" t="s">
        <v>171</v>
      </c>
      <c r="BD233" s="21" t="s">
        <v>171</v>
      </c>
      <c r="BE233" s="21" t="s">
        <v>171</v>
      </c>
      <c r="BF233" s="21" t="s">
        <v>171</v>
      </c>
      <c r="BG233" s="21" t="s">
        <v>171</v>
      </c>
      <c r="BH233" s="21" t="s">
        <v>171</v>
      </c>
    </row>
    <row r="234" spans="1:60" x14ac:dyDescent="0.3">
      <c r="A234" t="s">
        <v>647</v>
      </c>
      <c r="S234" t="s">
        <v>171</v>
      </c>
      <c r="T234" t="s">
        <v>171</v>
      </c>
      <c r="U234" t="s">
        <v>171</v>
      </c>
      <c r="V234" t="s">
        <v>171</v>
      </c>
      <c r="W234" t="s">
        <v>171</v>
      </c>
      <c r="X234" t="s">
        <v>171</v>
      </c>
      <c r="Y234" t="s">
        <v>171</v>
      </c>
      <c r="Z234" t="s">
        <v>171</v>
      </c>
      <c r="AA234" t="s">
        <v>171</v>
      </c>
      <c r="AB234" t="s">
        <v>171</v>
      </c>
      <c r="AC234" s="21" t="s">
        <v>171</v>
      </c>
      <c r="AD234" s="21" t="s">
        <v>171</v>
      </c>
      <c r="AE234" s="21" t="s">
        <v>171</v>
      </c>
      <c r="AF234" s="21" t="s">
        <v>171</v>
      </c>
      <c r="AG234" s="21" t="s">
        <v>171</v>
      </c>
      <c r="AH234" s="21" t="s">
        <v>171</v>
      </c>
      <c r="AI234" s="21" t="s">
        <v>171</v>
      </c>
      <c r="AJ234" s="21" t="s">
        <v>171</v>
      </c>
      <c r="AK234" s="21" t="s">
        <v>171</v>
      </c>
      <c r="AL234" s="21" t="s">
        <v>171</v>
      </c>
      <c r="AM234" s="21" t="s">
        <v>171</v>
      </c>
      <c r="AN234" s="21" t="s">
        <v>171</v>
      </c>
      <c r="AO234" s="21" t="s">
        <v>171</v>
      </c>
      <c r="AP234" s="21" t="s">
        <v>171</v>
      </c>
      <c r="AQ234" s="21" t="s">
        <v>171</v>
      </c>
      <c r="AR234" s="21" t="s">
        <v>171</v>
      </c>
      <c r="AS234" s="21" t="s">
        <v>171</v>
      </c>
      <c r="AT234" s="21" t="s">
        <v>171</v>
      </c>
      <c r="AU234" s="21" t="s">
        <v>171</v>
      </c>
      <c r="AV234" s="21" t="s">
        <v>171</v>
      </c>
      <c r="AW234" s="21" t="s">
        <v>171</v>
      </c>
      <c r="AX234" s="21" t="s">
        <v>171</v>
      </c>
      <c r="AY234" s="21" t="s">
        <v>171</v>
      </c>
      <c r="AZ234" s="21" t="s">
        <v>171</v>
      </c>
      <c r="BA234" s="21" t="s">
        <v>171</v>
      </c>
      <c r="BB234" s="21" t="s">
        <v>171</v>
      </c>
      <c r="BC234" s="21" t="s">
        <v>171</v>
      </c>
      <c r="BD234" s="21" t="s">
        <v>171</v>
      </c>
      <c r="BE234" s="21" t="s">
        <v>171</v>
      </c>
      <c r="BF234" s="21" t="s">
        <v>171</v>
      </c>
      <c r="BG234" s="21" t="s">
        <v>171</v>
      </c>
      <c r="BH234" s="21" t="s">
        <v>171</v>
      </c>
    </row>
    <row r="235" spans="1:60" s="21" customFormat="1" x14ac:dyDescent="0.3">
      <c r="A235" s="21" t="s">
        <v>675</v>
      </c>
      <c r="S235" s="21" t="s">
        <v>171</v>
      </c>
      <c r="T235" s="21" t="s">
        <v>171</v>
      </c>
      <c r="U235" s="21" t="s">
        <v>171</v>
      </c>
      <c r="V235" s="21" t="s">
        <v>171</v>
      </c>
      <c r="W235" s="21" t="s">
        <v>171</v>
      </c>
      <c r="X235" s="21" t="s">
        <v>171</v>
      </c>
      <c r="Y235" s="21" t="s">
        <v>171</v>
      </c>
      <c r="Z235" s="21" t="s">
        <v>171</v>
      </c>
      <c r="AA235" s="21" t="s">
        <v>171</v>
      </c>
      <c r="AB235" s="21" t="s">
        <v>171</v>
      </c>
      <c r="AC235" s="21" t="s">
        <v>171</v>
      </c>
      <c r="AD235" s="21" t="s">
        <v>171</v>
      </c>
      <c r="AE235" s="21" t="s">
        <v>171</v>
      </c>
      <c r="AF235" s="21" t="s">
        <v>171</v>
      </c>
      <c r="AG235" s="21" t="s">
        <v>171</v>
      </c>
      <c r="AH235" s="21" t="s">
        <v>171</v>
      </c>
      <c r="AI235" s="21" t="s">
        <v>171</v>
      </c>
      <c r="AJ235" s="21" t="s">
        <v>171</v>
      </c>
      <c r="AK235" s="21" t="s">
        <v>171</v>
      </c>
      <c r="AL235" s="21" t="s">
        <v>171</v>
      </c>
      <c r="AM235" s="21" t="s">
        <v>171</v>
      </c>
      <c r="AN235" s="21" t="s">
        <v>171</v>
      </c>
      <c r="AO235" s="21" t="s">
        <v>171</v>
      </c>
      <c r="AP235" s="21" t="s">
        <v>171</v>
      </c>
      <c r="AQ235" s="21" t="s">
        <v>171</v>
      </c>
      <c r="AR235" s="21" t="s">
        <v>171</v>
      </c>
      <c r="AS235" s="21" t="s">
        <v>171</v>
      </c>
      <c r="AT235" s="21" t="s">
        <v>171</v>
      </c>
      <c r="AU235" s="21" t="s">
        <v>171</v>
      </c>
      <c r="AV235" s="21" t="s">
        <v>171</v>
      </c>
      <c r="AW235" s="21" t="s">
        <v>171</v>
      </c>
      <c r="AX235" s="21" t="s">
        <v>171</v>
      </c>
      <c r="AY235" s="21" t="s">
        <v>171</v>
      </c>
      <c r="AZ235" s="21" t="s">
        <v>171</v>
      </c>
      <c r="BA235" s="21" t="s">
        <v>171</v>
      </c>
      <c r="BB235" s="21" t="s">
        <v>171</v>
      </c>
      <c r="BC235" s="21" t="s">
        <v>171</v>
      </c>
      <c r="BD235" s="21" t="s">
        <v>171</v>
      </c>
      <c r="BE235" s="21" t="s">
        <v>171</v>
      </c>
      <c r="BF235" s="21" t="s">
        <v>171</v>
      </c>
      <c r="BG235" s="21" t="s">
        <v>171</v>
      </c>
      <c r="BH235" s="21" t="s">
        <v>171</v>
      </c>
    </row>
    <row r="236" spans="1:60" s="21" customFormat="1" x14ac:dyDescent="0.3">
      <c r="A236" s="21" t="s">
        <v>676</v>
      </c>
      <c r="S236" s="21" t="s">
        <v>171</v>
      </c>
      <c r="T236" s="21" t="s">
        <v>171</v>
      </c>
      <c r="U236" s="21" t="s">
        <v>171</v>
      </c>
      <c r="V236" s="21" t="s">
        <v>171</v>
      </c>
      <c r="W236" s="21" t="s">
        <v>171</v>
      </c>
      <c r="X236" s="21" t="s">
        <v>171</v>
      </c>
      <c r="Y236" s="21" t="s">
        <v>171</v>
      </c>
      <c r="Z236" s="21" t="s">
        <v>171</v>
      </c>
      <c r="AA236" s="21" t="s">
        <v>171</v>
      </c>
      <c r="AB236" s="21" t="s">
        <v>171</v>
      </c>
      <c r="AC236" s="21" t="s">
        <v>171</v>
      </c>
      <c r="AD236" s="21" t="s">
        <v>171</v>
      </c>
      <c r="AE236" s="21" t="s">
        <v>171</v>
      </c>
      <c r="AF236" s="21" t="s">
        <v>171</v>
      </c>
      <c r="AG236" s="21" t="s">
        <v>171</v>
      </c>
      <c r="AH236" s="21" t="s">
        <v>171</v>
      </c>
      <c r="AI236" s="21" t="s">
        <v>171</v>
      </c>
      <c r="AJ236" s="21" t="s">
        <v>171</v>
      </c>
      <c r="AK236" s="21" t="s">
        <v>171</v>
      </c>
      <c r="AL236" s="21" t="s">
        <v>171</v>
      </c>
      <c r="AM236" s="21" t="s">
        <v>171</v>
      </c>
      <c r="AN236" s="21" t="s">
        <v>171</v>
      </c>
      <c r="AO236" s="21" t="s">
        <v>171</v>
      </c>
      <c r="AP236" s="21" t="s">
        <v>171</v>
      </c>
      <c r="AQ236" s="21" t="s">
        <v>171</v>
      </c>
      <c r="AR236" s="21" t="s">
        <v>171</v>
      </c>
      <c r="AS236" s="21" t="s">
        <v>171</v>
      </c>
      <c r="AT236" s="21" t="s">
        <v>171</v>
      </c>
      <c r="AU236" s="21" t="s">
        <v>171</v>
      </c>
      <c r="AV236" s="21" t="s">
        <v>171</v>
      </c>
      <c r="AW236" s="21" t="s">
        <v>171</v>
      </c>
      <c r="AX236" s="21" t="s">
        <v>171</v>
      </c>
      <c r="AY236" s="21" t="s">
        <v>171</v>
      </c>
      <c r="AZ236" s="21" t="s">
        <v>171</v>
      </c>
      <c r="BA236" s="21" t="s">
        <v>171</v>
      </c>
      <c r="BB236" s="21" t="s">
        <v>171</v>
      </c>
      <c r="BC236" s="21" t="s">
        <v>171</v>
      </c>
      <c r="BD236" s="21" t="s">
        <v>171</v>
      </c>
      <c r="BE236" s="21" t="s">
        <v>171</v>
      </c>
      <c r="BF236" s="21" t="s">
        <v>171</v>
      </c>
      <c r="BG236" s="21" t="s">
        <v>171</v>
      </c>
      <c r="BH236" s="21" t="s">
        <v>171</v>
      </c>
    </row>
    <row r="237" spans="1:60" s="21" customFormat="1" x14ac:dyDescent="0.3">
      <c r="A237" s="21" t="s">
        <v>677</v>
      </c>
      <c r="S237" s="21" t="s">
        <v>171</v>
      </c>
      <c r="T237" s="21" t="s">
        <v>171</v>
      </c>
      <c r="U237" s="21" t="s">
        <v>171</v>
      </c>
      <c r="V237" s="21" t="s">
        <v>171</v>
      </c>
      <c r="W237" s="21" t="s">
        <v>171</v>
      </c>
      <c r="X237" s="21" t="s">
        <v>171</v>
      </c>
      <c r="Y237" s="21" t="s">
        <v>171</v>
      </c>
      <c r="Z237" s="21" t="s">
        <v>171</v>
      </c>
      <c r="AA237" s="21" t="s">
        <v>171</v>
      </c>
      <c r="AB237" s="21" t="s">
        <v>171</v>
      </c>
      <c r="AC237" s="21" t="s">
        <v>171</v>
      </c>
      <c r="AD237" s="21" t="s">
        <v>171</v>
      </c>
      <c r="AE237" s="21" t="s">
        <v>171</v>
      </c>
      <c r="AF237" s="21" t="s">
        <v>171</v>
      </c>
      <c r="AG237" s="21" t="s">
        <v>171</v>
      </c>
      <c r="AH237" s="21" t="s">
        <v>171</v>
      </c>
      <c r="AI237" s="21" t="s">
        <v>171</v>
      </c>
      <c r="AJ237" s="21" t="s">
        <v>171</v>
      </c>
      <c r="AK237" s="21" t="s">
        <v>171</v>
      </c>
      <c r="AL237" s="21" t="s">
        <v>171</v>
      </c>
      <c r="AM237" s="21" t="s">
        <v>171</v>
      </c>
      <c r="AN237" s="21" t="s">
        <v>171</v>
      </c>
      <c r="AO237" s="21" t="s">
        <v>171</v>
      </c>
      <c r="AP237" s="21" t="s">
        <v>171</v>
      </c>
      <c r="AQ237" s="21" t="s">
        <v>171</v>
      </c>
      <c r="AR237" s="21" t="s">
        <v>171</v>
      </c>
      <c r="AS237" s="21" t="s">
        <v>171</v>
      </c>
      <c r="AT237" s="21" t="s">
        <v>171</v>
      </c>
      <c r="AU237" s="21" t="s">
        <v>171</v>
      </c>
      <c r="AV237" s="21" t="s">
        <v>171</v>
      </c>
      <c r="AW237" s="21" t="s">
        <v>171</v>
      </c>
      <c r="AX237" s="21" t="s">
        <v>171</v>
      </c>
      <c r="AY237" s="21" t="s">
        <v>171</v>
      </c>
      <c r="AZ237" s="21" t="s">
        <v>171</v>
      </c>
      <c r="BA237" s="21" t="s">
        <v>171</v>
      </c>
      <c r="BB237" s="21" t="s">
        <v>171</v>
      </c>
      <c r="BC237" s="21" t="s">
        <v>171</v>
      </c>
      <c r="BD237" s="21" t="s">
        <v>171</v>
      </c>
      <c r="BE237" s="21" t="s">
        <v>171</v>
      </c>
      <c r="BF237" s="21" t="s">
        <v>171</v>
      </c>
      <c r="BG237" s="21" t="s">
        <v>171</v>
      </c>
      <c r="BH237" s="21" t="s">
        <v>171</v>
      </c>
    </row>
    <row r="238" spans="1:60" x14ac:dyDescent="0.3">
      <c r="A238" t="s">
        <v>636</v>
      </c>
      <c r="S238" t="s">
        <v>171</v>
      </c>
      <c r="T238" t="s">
        <v>171</v>
      </c>
      <c r="U238" t="s">
        <v>171</v>
      </c>
      <c r="V238" t="s">
        <v>171</v>
      </c>
      <c r="W238" t="s">
        <v>171</v>
      </c>
      <c r="X238" t="s">
        <v>171</v>
      </c>
      <c r="Y238" t="s">
        <v>171</v>
      </c>
      <c r="Z238" t="s">
        <v>171</v>
      </c>
      <c r="AA238" t="s">
        <v>171</v>
      </c>
      <c r="AB238" t="s">
        <v>171</v>
      </c>
      <c r="AC238" s="21" t="s">
        <v>171</v>
      </c>
      <c r="AD238" s="21" t="s">
        <v>171</v>
      </c>
      <c r="AE238" s="21" t="s">
        <v>171</v>
      </c>
      <c r="AF238" s="21" t="s">
        <v>171</v>
      </c>
      <c r="AG238" s="21" t="s">
        <v>171</v>
      </c>
      <c r="AH238" s="21" t="s">
        <v>171</v>
      </c>
      <c r="AI238" s="21" t="s">
        <v>171</v>
      </c>
      <c r="AJ238" s="21" t="s">
        <v>171</v>
      </c>
      <c r="AK238" s="21" t="s">
        <v>171</v>
      </c>
      <c r="AL238" s="21" t="s">
        <v>171</v>
      </c>
      <c r="AM238" s="21" t="s">
        <v>171</v>
      </c>
      <c r="AN238" s="21" t="s">
        <v>171</v>
      </c>
      <c r="AO238" s="21" t="s">
        <v>171</v>
      </c>
      <c r="AP238" s="21" t="s">
        <v>171</v>
      </c>
      <c r="AQ238" s="21" t="s">
        <v>171</v>
      </c>
      <c r="AR238" s="21" t="s">
        <v>171</v>
      </c>
      <c r="AS238" s="21" t="s">
        <v>171</v>
      </c>
      <c r="AT238" s="21" t="s">
        <v>171</v>
      </c>
      <c r="AU238" s="21" t="s">
        <v>171</v>
      </c>
      <c r="AV238" s="21" t="s">
        <v>171</v>
      </c>
      <c r="AW238" s="21" t="s">
        <v>171</v>
      </c>
      <c r="AX238" s="21" t="s">
        <v>171</v>
      </c>
      <c r="AY238" s="21" t="s">
        <v>171</v>
      </c>
      <c r="AZ238" s="21" t="s">
        <v>171</v>
      </c>
      <c r="BA238" s="21" t="s">
        <v>171</v>
      </c>
      <c r="BB238" s="21" t="s">
        <v>171</v>
      </c>
      <c r="BC238" s="21" t="s">
        <v>171</v>
      </c>
      <c r="BD238" s="21" t="s">
        <v>171</v>
      </c>
      <c r="BE238" s="21" t="s">
        <v>171</v>
      </c>
      <c r="BF238" s="21" t="s">
        <v>171</v>
      </c>
      <c r="BG238" s="21" t="s">
        <v>171</v>
      </c>
      <c r="BH238" s="21" t="s">
        <v>171</v>
      </c>
    </row>
    <row r="239" spans="1:60" x14ac:dyDescent="0.3">
      <c r="A239" t="s">
        <v>637</v>
      </c>
      <c r="S239" t="s">
        <v>171</v>
      </c>
      <c r="T239" t="s">
        <v>171</v>
      </c>
      <c r="U239" t="s">
        <v>171</v>
      </c>
      <c r="V239" t="s">
        <v>171</v>
      </c>
      <c r="W239" t="s">
        <v>171</v>
      </c>
      <c r="X239" t="s">
        <v>171</v>
      </c>
      <c r="Y239" t="s">
        <v>171</v>
      </c>
      <c r="Z239" t="s">
        <v>171</v>
      </c>
      <c r="AA239" t="s">
        <v>171</v>
      </c>
      <c r="AB239" t="s">
        <v>171</v>
      </c>
      <c r="AC239" s="21" t="s">
        <v>171</v>
      </c>
      <c r="AD239" s="21" t="s">
        <v>171</v>
      </c>
      <c r="AE239" s="21" t="s">
        <v>171</v>
      </c>
      <c r="AF239" s="21" t="s">
        <v>171</v>
      </c>
      <c r="AG239" s="21" t="s">
        <v>171</v>
      </c>
      <c r="AH239" s="21" t="s">
        <v>171</v>
      </c>
      <c r="AI239" s="21" t="s">
        <v>171</v>
      </c>
      <c r="AJ239" s="21" t="s">
        <v>171</v>
      </c>
      <c r="AK239" s="21" t="s">
        <v>171</v>
      </c>
      <c r="AL239" s="21" t="s">
        <v>171</v>
      </c>
      <c r="AM239" s="21" t="s">
        <v>171</v>
      </c>
      <c r="AN239" s="21" t="s">
        <v>171</v>
      </c>
      <c r="AO239" s="21" t="s">
        <v>171</v>
      </c>
      <c r="AP239" s="21" t="s">
        <v>171</v>
      </c>
      <c r="AQ239" s="21" t="s">
        <v>171</v>
      </c>
      <c r="AR239" s="21" t="s">
        <v>171</v>
      </c>
      <c r="AS239" s="21" t="s">
        <v>171</v>
      </c>
      <c r="AT239" s="21" t="s">
        <v>171</v>
      </c>
      <c r="AU239" s="21" t="s">
        <v>171</v>
      </c>
      <c r="AV239" s="21" t="s">
        <v>171</v>
      </c>
      <c r="AW239" s="21" t="s">
        <v>171</v>
      </c>
      <c r="AX239" s="21" t="s">
        <v>171</v>
      </c>
      <c r="AY239" s="21" t="s">
        <v>171</v>
      </c>
      <c r="AZ239" s="21" t="s">
        <v>171</v>
      </c>
      <c r="BA239" s="21" t="s">
        <v>171</v>
      </c>
      <c r="BB239" s="21" t="s">
        <v>171</v>
      </c>
      <c r="BC239" s="21" t="s">
        <v>171</v>
      </c>
      <c r="BD239" s="21" t="s">
        <v>171</v>
      </c>
      <c r="BE239" s="21" t="s">
        <v>171</v>
      </c>
      <c r="BF239" s="21" t="s">
        <v>171</v>
      </c>
      <c r="BG239" s="21" t="s">
        <v>171</v>
      </c>
      <c r="BH239" s="21" t="s">
        <v>171</v>
      </c>
    </row>
    <row r="240" spans="1:60" x14ac:dyDescent="0.3">
      <c r="A240" t="s">
        <v>638</v>
      </c>
      <c r="S240" t="s">
        <v>171</v>
      </c>
      <c r="T240" t="s">
        <v>171</v>
      </c>
      <c r="U240" t="s">
        <v>171</v>
      </c>
      <c r="V240" t="s">
        <v>171</v>
      </c>
      <c r="W240" t="s">
        <v>171</v>
      </c>
      <c r="X240" t="s">
        <v>171</v>
      </c>
      <c r="Y240" t="s">
        <v>171</v>
      </c>
      <c r="Z240" t="s">
        <v>171</v>
      </c>
      <c r="AA240" t="s">
        <v>171</v>
      </c>
      <c r="AB240" t="s">
        <v>171</v>
      </c>
      <c r="AC240" s="21" t="s">
        <v>171</v>
      </c>
      <c r="AD240" s="21" t="s">
        <v>171</v>
      </c>
      <c r="AE240" s="21" t="s">
        <v>171</v>
      </c>
      <c r="AF240" s="21" t="s">
        <v>171</v>
      </c>
      <c r="AG240" s="21" t="s">
        <v>171</v>
      </c>
      <c r="AH240" s="21" t="s">
        <v>171</v>
      </c>
      <c r="AI240" s="21" t="s">
        <v>171</v>
      </c>
      <c r="AJ240" s="21" t="s">
        <v>171</v>
      </c>
      <c r="AK240" s="21" t="s">
        <v>171</v>
      </c>
      <c r="AL240" s="21" t="s">
        <v>171</v>
      </c>
      <c r="AM240" s="21" t="s">
        <v>171</v>
      </c>
      <c r="AN240" s="21" t="s">
        <v>171</v>
      </c>
      <c r="AO240" s="21" t="s">
        <v>171</v>
      </c>
      <c r="AP240" s="21" t="s">
        <v>171</v>
      </c>
      <c r="AQ240" s="21" t="s">
        <v>171</v>
      </c>
      <c r="AR240" s="21" t="s">
        <v>171</v>
      </c>
      <c r="AS240" s="21" t="s">
        <v>171</v>
      </c>
      <c r="AT240" s="21" t="s">
        <v>171</v>
      </c>
      <c r="AU240" s="21" t="s">
        <v>171</v>
      </c>
      <c r="AV240" s="21" t="s">
        <v>171</v>
      </c>
      <c r="AW240" s="21" t="s">
        <v>171</v>
      </c>
      <c r="AX240" s="21" t="s">
        <v>171</v>
      </c>
      <c r="AY240" s="21" t="s">
        <v>171</v>
      </c>
      <c r="AZ240" s="21" t="s">
        <v>171</v>
      </c>
      <c r="BA240" s="21" t="s">
        <v>171</v>
      </c>
      <c r="BB240" s="21" t="s">
        <v>171</v>
      </c>
      <c r="BC240" s="21" t="s">
        <v>171</v>
      </c>
      <c r="BD240" s="21" t="s">
        <v>171</v>
      </c>
      <c r="BE240" s="21" t="s">
        <v>171</v>
      </c>
      <c r="BF240" s="21" t="s">
        <v>171</v>
      </c>
      <c r="BG240" s="21" t="s">
        <v>171</v>
      </c>
      <c r="BH240" s="21" t="s">
        <v>171</v>
      </c>
    </row>
    <row r="241" spans="1:60" s="21" customFormat="1" x14ac:dyDescent="0.3">
      <c r="A241" s="21" t="s">
        <v>674</v>
      </c>
      <c r="S241" s="21" t="s">
        <v>171</v>
      </c>
      <c r="T241" s="21" t="s">
        <v>171</v>
      </c>
      <c r="U241" s="21" t="s">
        <v>171</v>
      </c>
      <c r="V241" s="21" t="s">
        <v>171</v>
      </c>
      <c r="W241" s="21" t="s">
        <v>171</v>
      </c>
      <c r="X241" s="21" t="s">
        <v>171</v>
      </c>
      <c r="Y241" s="21" t="s">
        <v>171</v>
      </c>
      <c r="Z241" s="21" t="s">
        <v>171</v>
      </c>
      <c r="AA241" s="21" t="s">
        <v>171</v>
      </c>
      <c r="AB241" s="21" t="s">
        <v>171</v>
      </c>
      <c r="AC241" s="21" t="s">
        <v>171</v>
      </c>
      <c r="AD241" s="21" t="s">
        <v>171</v>
      </c>
      <c r="AE241" s="21" t="s">
        <v>171</v>
      </c>
      <c r="AF241" s="21" t="s">
        <v>171</v>
      </c>
      <c r="AG241" s="21" t="s">
        <v>171</v>
      </c>
      <c r="AH241" s="21" t="s">
        <v>171</v>
      </c>
      <c r="AI241" s="21" t="s">
        <v>171</v>
      </c>
      <c r="AJ241" s="21" t="s">
        <v>171</v>
      </c>
      <c r="AK241" s="21" t="s">
        <v>171</v>
      </c>
      <c r="AL241" s="21" t="s">
        <v>171</v>
      </c>
      <c r="AM241" s="21" t="s">
        <v>171</v>
      </c>
      <c r="AN241" s="21" t="s">
        <v>171</v>
      </c>
      <c r="AO241" s="21" t="s">
        <v>171</v>
      </c>
      <c r="AP241" s="21" t="s">
        <v>171</v>
      </c>
      <c r="AQ241" s="21" t="s">
        <v>171</v>
      </c>
      <c r="AR241" s="21" t="s">
        <v>171</v>
      </c>
      <c r="AS241" s="21" t="s">
        <v>171</v>
      </c>
      <c r="AT241" s="21" t="s">
        <v>171</v>
      </c>
      <c r="AU241" s="21" t="s">
        <v>171</v>
      </c>
      <c r="AV241" s="21" t="s">
        <v>171</v>
      </c>
      <c r="AW241" s="21" t="s">
        <v>171</v>
      </c>
      <c r="AX241" s="21" t="s">
        <v>171</v>
      </c>
      <c r="AY241" s="21" t="s">
        <v>171</v>
      </c>
      <c r="AZ241" s="21" t="s">
        <v>171</v>
      </c>
      <c r="BA241" s="21" t="s">
        <v>171</v>
      </c>
      <c r="BB241" s="21" t="s">
        <v>171</v>
      </c>
      <c r="BC241" s="21" t="s">
        <v>171</v>
      </c>
      <c r="BD241" s="21" t="s">
        <v>171</v>
      </c>
      <c r="BE241" s="21" t="s">
        <v>171</v>
      </c>
      <c r="BF241" s="21" t="s">
        <v>171</v>
      </c>
      <c r="BG241" s="21" t="s">
        <v>171</v>
      </c>
      <c r="BH241" s="21" t="s">
        <v>171</v>
      </c>
    </row>
    <row r="242" spans="1:60" x14ac:dyDescent="0.3">
      <c r="A242" t="s">
        <v>631</v>
      </c>
      <c r="S242" t="s">
        <v>171</v>
      </c>
      <c r="T242" t="s">
        <v>171</v>
      </c>
      <c r="U242" t="s">
        <v>171</v>
      </c>
      <c r="V242" t="s">
        <v>171</v>
      </c>
      <c r="W242" t="s">
        <v>171</v>
      </c>
      <c r="X242" t="s">
        <v>171</v>
      </c>
      <c r="Y242" t="s">
        <v>171</v>
      </c>
      <c r="Z242" t="s">
        <v>171</v>
      </c>
      <c r="AA242" t="s">
        <v>171</v>
      </c>
      <c r="AB242" t="s">
        <v>171</v>
      </c>
      <c r="AC242" s="21" t="s">
        <v>171</v>
      </c>
      <c r="AD242" s="21" t="s">
        <v>171</v>
      </c>
      <c r="AE242" s="21" t="s">
        <v>171</v>
      </c>
      <c r="AF242" s="21" t="s">
        <v>171</v>
      </c>
      <c r="AG242" s="21" t="s">
        <v>171</v>
      </c>
      <c r="AH242" s="21" t="s">
        <v>171</v>
      </c>
      <c r="AI242" s="21" t="s">
        <v>171</v>
      </c>
      <c r="AJ242" s="21" t="s">
        <v>171</v>
      </c>
      <c r="AK242" s="21" t="s">
        <v>171</v>
      </c>
      <c r="AL242" s="21" t="s">
        <v>171</v>
      </c>
      <c r="AM242" s="21" t="s">
        <v>171</v>
      </c>
      <c r="AN242" s="21" t="s">
        <v>171</v>
      </c>
      <c r="AO242" s="21" t="s">
        <v>171</v>
      </c>
      <c r="AP242" s="21" t="s">
        <v>171</v>
      </c>
      <c r="AQ242" s="21" t="s">
        <v>171</v>
      </c>
      <c r="AR242" s="21" t="s">
        <v>171</v>
      </c>
      <c r="AS242" s="21" t="s">
        <v>171</v>
      </c>
      <c r="AT242" s="21" t="s">
        <v>171</v>
      </c>
      <c r="AU242" s="21" t="s">
        <v>171</v>
      </c>
      <c r="AV242" s="21" t="s">
        <v>171</v>
      </c>
      <c r="AW242" s="21" t="s">
        <v>171</v>
      </c>
      <c r="AX242" s="21" t="s">
        <v>171</v>
      </c>
      <c r="AY242" s="21" t="s">
        <v>171</v>
      </c>
      <c r="AZ242" s="21" t="s">
        <v>171</v>
      </c>
      <c r="BA242" s="21" t="s">
        <v>171</v>
      </c>
      <c r="BB242" s="21" t="s">
        <v>171</v>
      </c>
      <c r="BC242" s="21" t="s">
        <v>171</v>
      </c>
      <c r="BD242" s="21" t="s">
        <v>171</v>
      </c>
      <c r="BE242" s="21" t="s">
        <v>171</v>
      </c>
      <c r="BF242" s="21" t="s">
        <v>171</v>
      </c>
      <c r="BG242" s="21" t="s">
        <v>171</v>
      </c>
      <c r="BH242" s="21" t="s">
        <v>171</v>
      </c>
    </row>
    <row r="243" spans="1:60" x14ac:dyDescent="0.3">
      <c r="A243" t="s">
        <v>712</v>
      </c>
      <c r="S243" t="s">
        <v>171</v>
      </c>
      <c r="T243" t="s">
        <v>171</v>
      </c>
      <c r="U243" t="s">
        <v>171</v>
      </c>
      <c r="V243" t="s">
        <v>171</v>
      </c>
      <c r="W243" t="s">
        <v>171</v>
      </c>
      <c r="X243" t="s">
        <v>171</v>
      </c>
      <c r="Y243" t="s">
        <v>171</v>
      </c>
      <c r="Z243" t="s">
        <v>171</v>
      </c>
      <c r="AA243" t="s">
        <v>171</v>
      </c>
      <c r="AB243" t="s">
        <v>171</v>
      </c>
      <c r="AC243" s="21" t="s">
        <v>171</v>
      </c>
      <c r="AD243" s="21" t="s">
        <v>171</v>
      </c>
      <c r="AE243" s="21" t="s">
        <v>171</v>
      </c>
      <c r="AF243" s="21" t="s">
        <v>171</v>
      </c>
      <c r="AG243" s="21" t="s">
        <v>171</v>
      </c>
      <c r="AH243" s="21" t="s">
        <v>171</v>
      </c>
      <c r="AI243" s="21" t="s">
        <v>171</v>
      </c>
      <c r="AJ243" s="21" t="s">
        <v>171</v>
      </c>
      <c r="AK243" s="21" t="s">
        <v>171</v>
      </c>
      <c r="AL243" s="21" t="s">
        <v>171</v>
      </c>
      <c r="AM243" s="21" t="s">
        <v>171</v>
      </c>
      <c r="AN243" s="21" t="s">
        <v>171</v>
      </c>
      <c r="AO243" s="21" t="s">
        <v>171</v>
      </c>
      <c r="AP243" s="21" t="s">
        <v>171</v>
      </c>
      <c r="AQ243" s="21" t="s">
        <v>171</v>
      </c>
      <c r="AR243" s="21" t="s">
        <v>171</v>
      </c>
      <c r="AS243" s="21" t="s">
        <v>171</v>
      </c>
      <c r="AT243" s="21" t="s">
        <v>171</v>
      </c>
      <c r="AU243" s="21" t="s">
        <v>171</v>
      </c>
      <c r="AV243" s="21" t="s">
        <v>171</v>
      </c>
      <c r="AW243" s="21" t="s">
        <v>171</v>
      </c>
      <c r="AX243" s="21" t="s">
        <v>171</v>
      </c>
      <c r="AY243" s="21" t="s">
        <v>171</v>
      </c>
      <c r="AZ243" s="21" t="s">
        <v>171</v>
      </c>
      <c r="BA243" s="21" t="s">
        <v>171</v>
      </c>
      <c r="BB243" s="21" t="s">
        <v>171</v>
      </c>
      <c r="BC243" s="21" t="s">
        <v>171</v>
      </c>
      <c r="BD243" s="21" t="s">
        <v>171</v>
      </c>
      <c r="BE243" s="21" t="s">
        <v>171</v>
      </c>
      <c r="BF243" s="21" t="s">
        <v>171</v>
      </c>
      <c r="BG243" s="21" t="s">
        <v>171</v>
      </c>
      <c r="BH243" s="21" t="s">
        <v>171</v>
      </c>
    </row>
    <row r="244" spans="1:60" x14ac:dyDescent="0.3">
      <c r="A244" t="s">
        <v>713</v>
      </c>
      <c r="S244" t="s">
        <v>171</v>
      </c>
      <c r="T244" t="s">
        <v>171</v>
      </c>
      <c r="U244" t="s">
        <v>171</v>
      </c>
      <c r="V244" t="s">
        <v>171</v>
      </c>
      <c r="W244" t="s">
        <v>171</v>
      </c>
      <c r="X244" t="s">
        <v>171</v>
      </c>
      <c r="Y244" t="s">
        <v>171</v>
      </c>
      <c r="Z244" t="s">
        <v>171</v>
      </c>
      <c r="AA244" t="s">
        <v>171</v>
      </c>
      <c r="AB244" t="s">
        <v>171</v>
      </c>
      <c r="AC244" s="21" t="s">
        <v>171</v>
      </c>
      <c r="AD244" s="21" t="s">
        <v>171</v>
      </c>
      <c r="AE244" s="21" t="s">
        <v>171</v>
      </c>
      <c r="AF244" s="21" t="s">
        <v>171</v>
      </c>
      <c r="AG244" s="21" t="s">
        <v>171</v>
      </c>
      <c r="AH244" s="21" t="s">
        <v>171</v>
      </c>
      <c r="AI244" s="21" t="s">
        <v>171</v>
      </c>
      <c r="AJ244" s="21" t="s">
        <v>171</v>
      </c>
      <c r="AK244" s="21" t="s">
        <v>171</v>
      </c>
      <c r="AL244" s="21" t="s">
        <v>171</v>
      </c>
      <c r="AM244" s="21" t="s">
        <v>171</v>
      </c>
      <c r="AN244" s="21" t="s">
        <v>171</v>
      </c>
      <c r="AO244" s="21" t="s">
        <v>171</v>
      </c>
      <c r="AP244" s="21" t="s">
        <v>171</v>
      </c>
      <c r="AQ244" s="21" t="s">
        <v>171</v>
      </c>
      <c r="AR244" s="21" t="s">
        <v>171</v>
      </c>
      <c r="AS244" s="21" t="s">
        <v>171</v>
      </c>
      <c r="AT244" s="21" t="s">
        <v>171</v>
      </c>
      <c r="AU244" s="21" t="s">
        <v>171</v>
      </c>
      <c r="AV244" s="21" t="s">
        <v>171</v>
      </c>
      <c r="AW244" s="21" t="s">
        <v>171</v>
      </c>
      <c r="AX244" s="21" t="s">
        <v>171</v>
      </c>
      <c r="AY244" s="21" t="s">
        <v>171</v>
      </c>
      <c r="AZ244" s="21" t="s">
        <v>171</v>
      </c>
      <c r="BA244" s="21" t="s">
        <v>171</v>
      </c>
      <c r="BB244" s="21" t="s">
        <v>171</v>
      </c>
      <c r="BC244" s="21" t="s">
        <v>171</v>
      </c>
      <c r="BD244" s="21" t="s">
        <v>171</v>
      </c>
      <c r="BE244" s="21" t="s">
        <v>171</v>
      </c>
      <c r="BF244" s="21" t="s">
        <v>171</v>
      </c>
      <c r="BG244" s="21" t="s">
        <v>171</v>
      </c>
      <c r="BH244" s="21" t="s">
        <v>171</v>
      </c>
    </row>
    <row r="245" spans="1:60" x14ac:dyDescent="0.3">
      <c r="A245" t="s">
        <v>714</v>
      </c>
      <c r="S245" t="s">
        <v>171</v>
      </c>
      <c r="T245" t="s">
        <v>171</v>
      </c>
      <c r="U245" t="s">
        <v>171</v>
      </c>
      <c r="V245" t="s">
        <v>171</v>
      </c>
      <c r="W245" t="s">
        <v>171</v>
      </c>
      <c r="X245" t="s">
        <v>171</v>
      </c>
      <c r="Y245" t="s">
        <v>171</v>
      </c>
      <c r="Z245" t="s">
        <v>171</v>
      </c>
      <c r="AA245" t="s">
        <v>171</v>
      </c>
      <c r="AB245" t="s">
        <v>171</v>
      </c>
      <c r="AC245" s="21" t="s">
        <v>171</v>
      </c>
      <c r="AD245" s="21" t="s">
        <v>171</v>
      </c>
      <c r="AE245" s="21" t="s">
        <v>171</v>
      </c>
      <c r="AF245" s="21" t="s">
        <v>171</v>
      </c>
      <c r="AG245" s="21" t="s">
        <v>171</v>
      </c>
      <c r="AH245" s="21" t="s">
        <v>171</v>
      </c>
      <c r="AI245" s="21" t="s">
        <v>171</v>
      </c>
      <c r="AJ245" s="21" t="s">
        <v>171</v>
      </c>
      <c r="AK245" s="21" t="s">
        <v>171</v>
      </c>
      <c r="AL245" s="21" t="s">
        <v>171</v>
      </c>
      <c r="AM245" s="21" t="s">
        <v>171</v>
      </c>
      <c r="AN245" s="21" t="s">
        <v>171</v>
      </c>
      <c r="AO245" s="21" t="s">
        <v>171</v>
      </c>
      <c r="AP245" s="21" t="s">
        <v>171</v>
      </c>
      <c r="AQ245" s="21" t="s">
        <v>171</v>
      </c>
      <c r="AR245" s="21" t="s">
        <v>171</v>
      </c>
      <c r="AS245" s="21" t="s">
        <v>171</v>
      </c>
      <c r="AT245" s="21" t="s">
        <v>171</v>
      </c>
      <c r="AU245" s="21" t="s">
        <v>171</v>
      </c>
      <c r="AV245" s="21" t="s">
        <v>171</v>
      </c>
      <c r="AW245" s="21" t="s">
        <v>171</v>
      </c>
      <c r="AX245" s="21" t="s">
        <v>171</v>
      </c>
      <c r="AY245" s="21" t="s">
        <v>171</v>
      </c>
      <c r="AZ245" s="21" t="s">
        <v>171</v>
      </c>
      <c r="BA245" s="21" t="s">
        <v>171</v>
      </c>
      <c r="BB245" s="21" t="s">
        <v>171</v>
      </c>
      <c r="BC245" s="21" t="s">
        <v>171</v>
      </c>
      <c r="BD245" s="21" t="s">
        <v>171</v>
      </c>
      <c r="BE245" s="21" t="s">
        <v>171</v>
      </c>
      <c r="BF245" s="21" t="s">
        <v>171</v>
      </c>
      <c r="BG245" s="21" t="s">
        <v>171</v>
      </c>
      <c r="BH245" s="21" t="s">
        <v>171</v>
      </c>
    </row>
    <row r="246" spans="1:60" x14ac:dyDescent="0.3">
      <c r="A246" t="s">
        <v>694</v>
      </c>
      <c r="S246" t="s">
        <v>171</v>
      </c>
      <c r="T246" t="s">
        <v>171</v>
      </c>
      <c r="U246" t="s">
        <v>171</v>
      </c>
      <c r="V246" t="s">
        <v>171</v>
      </c>
      <c r="W246" t="s">
        <v>171</v>
      </c>
      <c r="X246" t="s">
        <v>171</v>
      </c>
      <c r="Y246" t="s">
        <v>171</v>
      </c>
      <c r="Z246" t="s">
        <v>171</v>
      </c>
      <c r="AA246" t="s">
        <v>171</v>
      </c>
      <c r="AB246" t="s">
        <v>171</v>
      </c>
      <c r="AC246" s="21" t="s">
        <v>171</v>
      </c>
      <c r="AD246" s="21" t="s">
        <v>171</v>
      </c>
      <c r="AE246" s="21" t="s">
        <v>171</v>
      </c>
      <c r="AF246" s="21" t="s">
        <v>171</v>
      </c>
      <c r="AG246" s="21" t="s">
        <v>171</v>
      </c>
      <c r="AH246" s="21" t="s">
        <v>171</v>
      </c>
      <c r="AI246" s="21" t="s">
        <v>171</v>
      </c>
      <c r="AJ246" s="21" t="s">
        <v>171</v>
      </c>
      <c r="AK246" s="21" t="s">
        <v>171</v>
      </c>
      <c r="AL246" s="21" t="s">
        <v>171</v>
      </c>
      <c r="AM246" s="21" t="s">
        <v>171</v>
      </c>
      <c r="AN246" s="21" t="s">
        <v>171</v>
      </c>
      <c r="AO246" s="21" t="s">
        <v>171</v>
      </c>
      <c r="AP246" s="21" t="s">
        <v>171</v>
      </c>
      <c r="AQ246" s="21" t="s">
        <v>171</v>
      </c>
      <c r="AR246" s="21" t="s">
        <v>171</v>
      </c>
      <c r="AS246" s="21" t="s">
        <v>171</v>
      </c>
      <c r="AT246" s="21" t="s">
        <v>171</v>
      </c>
      <c r="AU246" s="21" t="s">
        <v>171</v>
      </c>
      <c r="AV246" s="21" t="s">
        <v>171</v>
      </c>
      <c r="AW246" s="21" t="s">
        <v>171</v>
      </c>
      <c r="AX246" s="21" t="s">
        <v>171</v>
      </c>
      <c r="AY246" s="21" t="s">
        <v>171</v>
      </c>
      <c r="AZ246" s="21" t="s">
        <v>171</v>
      </c>
      <c r="BA246" s="21" t="s">
        <v>171</v>
      </c>
      <c r="BB246" s="21" t="s">
        <v>171</v>
      </c>
      <c r="BC246" s="21" t="s">
        <v>171</v>
      </c>
      <c r="BD246" s="21" t="s">
        <v>171</v>
      </c>
      <c r="BE246" s="21" t="s">
        <v>171</v>
      </c>
      <c r="BF246" s="21" t="s">
        <v>171</v>
      </c>
      <c r="BG246" s="21" t="s">
        <v>171</v>
      </c>
      <c r="BH246" s="21" t="s">
        <v>171</v>
      </c>
    </row>
    <row r="247" spans="1:60" x14ac:dyDescent="0.3">
      <c r="A247" t="s">
        <v>695</v>
      </c>
      <c r="S247" t="s">
        <v>171</v>
      </c>
      <c r="T247" t="s">
        <v>171</v>
      </c>
      <c r="U247" t="s">
        <v>171</v>
      </c>
      <c r="V247" t="s">
        <v>171</v>
      </c>
      <c r="W247" t="s">
        <v>171</v>
      </c>
      <c r="X247" t="s">
        <v>171</v>
      </c>
      <c r="Y247" t="s">
        <v>171</v>
      </c>
      <c r="Z247" t="s">
        <v>171</v>
      </c>
      <c r="AA247" t="s">
        <v>171</v>
      </c>
      <c r="AB247" t="s">
        <v>171</v>
      </c>
      <c r="AC247" s="21" t="s">
        <v>171</v>
      </c>
      <c r="AD247" s="21" t="s">
        <v>171</v>
      </c>
      <c r="AE247" s="21" t="s">
        <v>171</v>
      </c>
      <c r="AF247" s="21" t="s">
        <v>171</v>
      </c>
      <c r="AG247" s="21" t="s">
        <v>171</v>
      </c>
      <c r="AH247" s="21" t="s">
        <v>171</v>
      </c>
      <c r="AI247" s="21" t="s">
        <v>171</v>
      </c>
      <c r="AJ247" s="21" t="s">
        <v>171</v>
      </c>
      <c r="AK247" s="21" t="s">
        <v>171</v>
      </c>
      <c r="AL247" s="21" t="s">
        <v>171</v>
      </c>
      <c r="AM247" s="21" t="s">
        <v>171</v>
      </c>
      <c r="AN247" s="21" t="s">
        <v>171</v>
      </c>
      <c r="AO247" s="21" t="s">
        <v>171</v>
      </c>
      <c r="AP247" s="21" t="s">
        <v>171</v>
      </c>
      <c r="AQ247" s="21" t="s">
        <v>171</v>
      </c>
      <c r="AR247" s="21" t="s">
        <v>171</v>
      </c>
      <c r="AS247" s="21" t="s">
        <v>171</v>
      </c>
      <c r="AT247" s="21" t="s">
        <v>171</v>
      </c>
      <c r="AU247" s="21" t="s">
        <v>171</v>
      </c>
      <c r="AV247" s="21" t="s">
        <v>171</v>
      </c>
      <c r="AW247" s="21" t="s">
        <v>171</v>
      </c>
      <c r="AX247" s="21" t="s">
        <v>171</v>
      </c>
      <c r="AY247" s="21" t="s">
        <v>171</v>
      </c>
      <c r="AZ247" s="21" t="s">
        <v>171</v>
      </c>
      <c r="BA247" s="21" t="s">
        <v>171</v>
      </c>
      <c r="BB247" s="21" t="s">
        <v>171</v>
      </c>
      <c r="BC247" s="21" t="s">
        <v>171</v>
      </c>
      <c r="BD247" s="21" t="s">
        <v>171</v>
      </c>
      <c r="BE247" s="21" t="s">
        <v>171</v>
      </c>
      <c r="BF247" s="21" t="s">
        <v>171</v>
      </c>
      <c r="BG247" s="21" t="s">
        <v>171</v>
      </c>
      <c r="BH247" s="21" t="s">
        <v>171</v>
      </c>
    </row>
    <row r="248" spans="1:60" x14ac:dyDescent="0.3">
      <c r="A248" t="s">
        <v>696</v>
      </c>
      <c r="S248" t="s">
        <v>171</v>
      </c>
      <c r="T248" t="s">
        <v>171</v>
      </c>
      <c r="U248" t="s">
        <v>171</v>
      </c>
      <c r="V248" t="s">
        <v>171</v>
      </c>
      <c r="W248" t="s">
        <v>171</v>
      </c>
      <c r="X248" t="s">
        <v>171</v>
      </c>
      <c r="Y248" t="s">
        <v>171</v>
      </c>
      <c r="Z248" t="s">
        <v>171</v>
      </c>
      <c r="AA248" t="s">
        <v>171</v>
      </c>
      <c r="AB248" t="s">
        <v>171</v>
      </c>
      <c r="AC248" s="21" t="s">
        <v>171</v>
      </c>
      <c r="AD248" s="21" t="s">
        <v>171</v>
      </c>
      <c r="AE248" s="21" t="s">
        <v>171</v>
      </c>
      <c r="AF248" s="21" t="s">
        <v>171</v>
      </c>
      <c r="AG248" s="21" t="s">
        <v>171</v>
      </c>
      <c r="AH248" s="21" t="s">
        <v>171</v>
      </c>
      <c r="AI248" s="21" t="s">
        <v>171</v>
      </c>
      <c r="AJ248" s="21" t="s">
        <v>171</v>
      </c>
      <c r="AK248" s="21" t="s">
        <v>171</v>
      </c>
      <c r="AL248" s="21" t="s">
        <v>171</v>
      </c>
      <c r="AM248" s="21" t="s">
        <v>171</v>
      </c>
      <c r="AN248" s="21" t="s">
        <v>171</v>
      </c>
      <c r="AO248" s="21" t="s">
        <v>171</v>
      </c>
      <c r="AP248" s="21" t="s">
        <v>171</v>
      </c>
      <c r="AQ248" s="21" t="s">
        <v>171</v>
      </c>
      <c r="AR248" s="21" t="s">
        <v>171</v>
      </c>
      <c r="AS248" s="21" t="s">
        <v>171</v>
      </c>
      <c r="AT248" s="21" t="s">
        <v>171</v>
      </c>
      <c r="AU248" s="21" t="s">
        <v>171</v>
      </c>
      <c r="AV248" s="21" t="s">
        <v>171</v>
      </c>
      <c r="AW248" s="21" t="s">
        <v>171</v>
      </c>
      <c r="AX248" s="21" t="s">
        <v>171</v>
      </c>
      <c r="AY248" s="21" t="s">
        <v>171</v>
      </c>
      <c r="AZ248" s="21" t="s">
        <v>171</v>
      </c>
      <c r="BA248" s="21" t="s">
        <v>171</v>
      </c>
      <c r="BB248" s="21" t="s">
        <v>171</v>
      </c>
      <c r="BC248" s="21" t="s">
        <v>171</v>
      </c>
      <c r="BD248" s="21" t="s">
        <v>171</v>
      </c>
      <c r="BE248" s="21" t="s">
        <v>171</v>
      </c>
      <c r="BF248" s="21" t="s">
        <v>171</v>
      </c>
      <c r="BG248" s="21" t="s">
        <v>171</v>
      </c>
      <c r="BH248" s="21" t="s">
        <v>171</v>
      </c>
    </row>
    <row r="249" spans="1:60" x14ac:dyDescent="0.3">
      <c r="A249" t="s">
        <v>703</v>
      </c>
      <c r="S249" t="s">
        <v>171</v>
      </c>
      <c r="T249" t="s">
        <v>171</v>
      </c>
      <c r="U249" t="s">
        <v>171</v>
      </c>
      <c r="V249" t="s">
        <v>171</v>
      </c>
      <c r="W249" t="s">
        <v>171</v>
      </c>
      <c r="X249" t="s">
        <v>171</v>
      </c>
      <c r="Y249" t="s">
        <v>171</v>
      </c>
      <c r="Z249" t="s">
        <v>171</v>
      </c>
      <c r="AA249" t="s">
        <v>171</v>
      </c>
      <c r="AB249" t="s">
        <v>171</v>
      </c>
      <c r="AC249" s="21" t="s">
        <v>171</v>
      </c>
      <c r="AD249" s="21" t="s">
        <v>171</v>
      </c>
      <c r="AE249" s="21" t="s">
        <v>171</v>
      </c>
      <c r="AF249" s="21" t="s">
        <v>171</v>
      </c>
      <c r="AG249" s="21" t="s">
        <v>171</v>
      </c>
      <c r="AH249" s="21" t="s">
        <v>171</v>
      </c>
      <c r="AI249" s="21" t="s">
        <v>171</v>
      </c>
      <c r="AJ249" s="21" t="s">
        <v>171</v>
      </c>
      <c r="AK249" s="21" t="s">
        <v>171</v>
      </c>
      <c r="AL249" s="21" t="s">
        <v>171</v>
      </c>
      <c r="AM249" s="21" t="s">
        <v>171</v>
      </c>
      <c r="AN249" s="21" t="s">
        <v>171</v>
      </c>
      <c r="AO249" s="21" t="s">
        <v>171</v>
      </c>
      <c r="AP249" s="21" t="s">
        <v>171</v>
      </c>
      <c r="AQ249" s="21" t="s">
        <v>171</v>
      </c>
      <c r="AR249" s="21" t="s">
        <v>171</v>
      </c>
      <c r="AS249" s="21" t="s">
        <v>171</v>
      </c>
      <c r="AT249" s="21" t="s">
        <v>171</v>
      </c>
      <c r="AU249" s="21" t="s">
        <v>171</v>
      </c>
      <c r="AV249" s="21" t="s">
        <v>171</v>
      </c>
      <c r="AW249" s="21" t="s">
        <v>171</v>
      </c>
      <c r="AX249" s="21" t="s">
        <v>171</v>
      </c>
      <c r="AY249" s="21" t="s">
        <v>171</v>
      </c>
      <c r="AZ249" s="21" t="s">
        <v>171</v>
      </c>
      <c r="BA249" s="21" t="s">
        <v>171</v>
      </c>
      <c r="BB249" s="21" t="s">
        <v>171</v>
      </c>
      <c r="BC249" s="21" t="s">
        <v>171</v>
      </c>
      <c r="BD249" s="21" t="s">
        <v>171</v>
      </c>
      <c r="BE249" s="21" t="s">
        <v>171</v>
      </c>
      <c r="BF249" s="21" t="s">
        <v>171</v>
      </c>
      <c r="BG249" s="21" t="s">
        <v>171</v>
      </c>
      <c r="BH249" s="21" t="s">
        <v>171</v>
      </c>
    </row>
    <row r="250" spans="1:60" x14ac:dyDescent="0.3">
      <c r="A250" t="s">
        <v>704</v>
      </c>
      <c r="S250" t="s">
        <v>171</v>
      </c>
      <c r="T250" t="s">
        <v>171</v>
      </c>
      <c r="U250" t="s">
        <v>171</v>
      </c>
      <c r="V250" t="s">
        <v>171</v>
      </c>
      <c r="W250" t="s">
        <v>171</v>
      </c>
      <c r="X250" t="s">
        <v>171</v>
      </c>
      <c r="Y250" t="s">
        <v>171</v>
      </c>
      <c r="Z250" t="s">
        <v>171</v>
      </c>
      <c r="AA250" t="s">
        <v>171</v>
      </c>
      <c r="AB250" t="s">
        <v>171</v>
      </c>
      <c r="AC250" s="21" t="s">
        <v>171</v>
      </c>
      <c r="AD250" s="21" t="s">
        <v>171</v>
      </c>
      <c r="AE250" s="21" t="s">
        <v>171</v>
      </c>
      <c r="AF250" s="21" t="s">
        <v>171</v>
      </c>
      <c r="AG250" s="21" t="s">
        <v>171</v>
      </c>
      <c r="AH250" s="21" t="s">
        <v>171</v>
      </c>
      <c r="AI250" s="21" t="s">
        <v>171</v>
      </c>
      <c r="AJ250" s="21" t="s">
        <v>171</v>
      </c>
      <c r="AK250" s="21" t="s">
        <v>171</v>
      </c>
      <c r="AL250" s="21" t="s">
        <v>171</v>
      </c>
      <c r="AM250" s="21" t="s">
        <v>171</v>
      </c>
      <c r="AN250" s="21" t="s">
        <v>171</v>
      </c>
      <c r="AO250" s="21" t="s">
        <v>171</v>
      </c>
      <c r="AP250" s="21" t="s">
        <v>171</v>
      </c>
      <c r="AQ250" s="21" t="s">
        <v>171</v>
      </c>
      <c r="AR250" s="21" t="s">
        <v>171</v>
      </c>
      <c r="AS250" s="21" t="s">
        <v>171</v>
      </c>
      <c r="AT250" s="21" t="s">
        <v>171</v>
      </c>
      <c r="AU250" s="21" t="s">
        <v>171</v>
      </c>
      <c r="AV250" s="21" t="s">
        <v>171</v>
      </c>
      <c r="AW250" s="21" t="s">
        <v>171</v>
      </c>
      <c r="AX250" s="21" t="s">
        <v>171</v>
      </c>
      <c r="AY250" s="21" t="s">
        <v>171</v>
      </c>
      <c r="AZ250" s="21" t="s">
        <v>171</v>
      </c>
      <c r="BA250" s="21" t="s">
        <v>171</v>
      </c>
      <c r="BB250" s="21" t="s">
        <v>171</v>
      </c>
      <c r="BC250" s="21" t="s">
        <v>171</v>
      </c>
      <c r="BD250" s="21" t="s">
        <v>171</v>
      </c>
      <c r="BE250" s="21" t="s">
        <v>171</v>
      </c>
      <c r="BF250" s="21" t="s">
        <v>171</v>
      </c>
      <c r="BG250" s="21" t="s">
        <v>171</v>
      </c>
      <c r="BH250" s="21" t="s">
        <v>171</v>
      </c>
    </row>
    <row r="251" spans="1:60" x14ac:dyDescent="0.3">
      <c r="A251" t="s">
        <v>705</v>
      </c>
      <c r="S251" t="s">
        <v>171</v>
      </c>
      <c r="T251" t="s">
        <v>171</v>
      </c>
      <c r="U251" t="s">
        <v>171</v>
      </c>
      <c r="V251" t="s">
        <v>171</v>
      </c>
      <c r="W251" t="s">
        <v>171</v>
      </c>
      <c r="X251" t="s">
        <v>171</v>
      </c>
      <c r="Y251" t="s">
        <v>171</v>
      </c>
      <c r="Z251" t="s">
        <v>171</v>
      </c>
      <c r="AA251" t="s">
        <v>171</v>
      </c>
      <c r="AB251" t="s">
        <v>171</v>
      </c>
      <c r="AC251" s="21" t="s">
        <v>171</v>
      </c>
      <c r="AD251" s="21" t="s">
        <v>171</v>
      </c>
      <c r="AE251" s="21" t="s">
        <v>171</v>
      </c>
      <c r="AF251" s="21" t="s">
        <v>171</v>
      </c>
      <c r="AG251" s="21" t="s">
        <v>171</v>
      </c>
      <c r="AH251" s="21" t="s">
        <v>171</v>
      </c>
      <c r="AI251" s="21" t="s">
        <v>171</v>
      </c>
      <c r="AJ251" s="21" t="s">
        <v>171</v>
      </c>
      <c r="AK251" s="21" t="s">
        <v>171</v>
      </c>
      <c r="AL251" s="21" t="s">
        <v>171</v>
      </c>
      <c r="AM251" s="21" t="s">
        <v>171</v>
      </c>
      <c r="AN251" s="21" t="s">
        <v>171</v>
      </c>
      <c r="AO251" s="21" t="s">
        <v>171</v>
      </c>
      <c r="AP251" s="21" t="s">
        <v>171</v>
      </c>
      <c r="AQ251" s="21" t="s">
        <v>171</v>
      </c>
      <c r="AR251" s="21" t="s">
        <v>171</v>
      </c>
      <c r="AS251" s="21" t="s">
        <v>171</v>
      </c>
      <c r="AT251" s="21" t="s">
        <v>171</v>
      </c>
      <c r="AU251" s="21" t="s">
        <v>171</v>
      </c>
      <c r="AV251" s="21" t="s">
        <v>171</v>
      </c>
      <c r="AW251" s="21" t="s">
        <v>171</v>
      </c>
      <c r="AX251" s="21" t="s">
        <v>171</v>
      </c>
      <c r="AY251" s="21" t="s">
        <v>171</v>
      </c>
      <c r="AZ251" s="21" t="s">
        <v>171</v>
      </c>
      <c r="BA251" s="21" t="s">
        <v>171</v>
      </c>
      <c r="BB251" s="21" t="s">
        <v>171</v>
      </c>
      <c r="BC251" s="21" t="s">
        <v>171</v>
      </c>
      <c r="BD251" s="21" t="s">
        <v>171</v>
      </c>
      <c r="BE251" s="21" t="s">
        <v>171</v>
      </c>
      <c r="BF251" s="21" t="s">
        <v>171</v>
      </c>
      <c r="BG251" s="21" t="s">
        <v>171</v>
      </c>
      <c r="BH251" s="21" t="s">
        <v>171</v>
      </c>
    </row>
    <row r="252" spans="1:60" x14ac:dyDescent="0.3">
      <c r="A252" t="s">
        <v>520</v>
      </c>
      <c r="S252" t="s">
        <v>171</v>
      </c>
      <c r="T252" t="s">
        <v>171</v>
      </c>
      <c r="U252" t="s">
        <v>171</v>
      </c>
      <c r="V252" t="s">
        <v>171</v>
      </c>
      <c r="W252" t="s">
        <v>171</v>
      </c>
      <c r="X252" t="s">
        <v>171</v>
      </c>
      <c r="Y252" t="s">
        <v>171</v>
      </c>
      <c r="Z252" t="s">
        <v>171</v>
      </c>
      <c r="AA252" t="s">
        <v>171</v>
      </c>
      <c r="AB252" t="s">
        <v>171</v>
      </c>
      <c r="AC252" s="21" t="s">
        <v>171</v>
      </c>
      <c r="AD252" s="21" t="s">
        <v>171</v>
      </c>
      <c r="AE252" s="21" t="s">
        <v>171</v>
      </c>
      <c r="AF252" s="21" t="s">
        <v>171</v>
      </c>
      <c r="AG252" s="21" t="s">
        <v>171</v>
      </c>
      <c r="AH252" s="21" t="s">
        <v>171</v>
      </c>
      <c r="AI252" s="21" t="s">
        <v>171</v>
      </c>
      <c r="AJ252" s="21" t="s">
        <v>171</v>
      </c>
      <c r="AK252" s="21" t="s">
        <v>171</v>
      </c>
      <c r="AL252" s="21" t="s">
        <v>171</v>
      </c>
      <c r="AM252" s="21" t="s">
        <v>171</v>
      </c>
      <c r="AN252" s="21" t="s">
        <v>171</v>
      </c>
      <c r="AO252" s="21" t="s">
        <v>171</v>
      </c>
      <c r="AP252" s="21" t="s">
        <v>171</v>
      </c>
      <c r="AQ252" s="21" t="s">
        <v>171</v>
      </c>
      <c r="AR252" s="21" t="s">
        <v>171</v>
      </c>
      <c r="AS252" s="21" t="s">
        <v>171</v>
      </c>
      <c r="AT252" s="21" t="s">
        <v>171</v>
      </c>
      <c r="AU252" s="21" t="s">
        <v>171</v>
      </c>
      <c r="AV252" s="21" t="s">
        <v>171</v>
      </c>
      <c r="AW252" s="21" t="s">
        <v>171</v>
      </c>
      <c r="AX252" s="21" t="s">
        <v>171</v>
      </c>
      <c r="AY252" s="21" t="s">
        <v>171</v>
      </c>
      <c r="AZ252" s="21" t="s">
        <v>171</v>
      </c>
      <c r="BA252" s="21" t="s">
        <v>171</v>
      </c>
      <c r="BB252" s="21" t="s">
        <v>171</v>
      </c>
      <c r="BC252" s="21" t="s">
        <v>171</v>
      </c>
      <c r="BD252" s="21" t="s">
        <v>171</v>
      </c>
      <c r="BE252" s="21" t="s">
        <v>171</v>
      </c>
      <c r="BF252" s="21" t="s">
        <v>171</v>
      </c>
      <c r="BG252" s="21" t="s">
        <v>171</v>
      </c>
      <c r="BH252" s="21" t="s">
        <v>171</v>
      </c>
    </row>
    <row r="253" spans="1:60" x14ac:dyDescent="0.3">
      <c r="A253" t="s">
        <v>521</v>
      </c>
      <c r="S253" t="s">
        <v>171</v>
      </c>
      <c r="T253" t="s">
        <v>171</v>
      </c>
      <c r="U253" t="s">
        <v>171</v>
      </c>
      <c r="V253" t="s">
        <v>171</v>
      </c>
      <c r="W253" t="s">
        <v>171</v>
      </c>
      <c r="X253" t="s">
        <v>171</v>
      </c>
      <c r="Y253" t="s">
        <v>171</v>
      </c>
      <c r="Z253" t="s">
        <v>171</v>
      </c>
      <c r="AA253" t="s">
        <v>171</v>
      </c>
      <c r="AB253" t="s">
        <v>171</v>
      </c>
      <c r="AC253" s="21" t="s">
        <v>171</v>
      </c>
      <c r="AD253" s="21" t="s">
        <v>171</v>
      </c>
      <c r="AE253" s="21" t="s">
        <v>171</v>
      </c>
      <c r="AF253" s="21" t="s">
        <v>171</v>
      </c>
      <c r="AG253" s="21" t="s">
        <v>171</v>
      </c>
      <c r="AH253" s="21" t="s">
        <v>171</v>
      </c>
      <c r="AI253" s="21" t="s">
        <v>171</v>
      </c>
      <c r="AJ253" s="21" t="s">
        <v>171</v>
      </c>
      <c r="AK253" s="21" t="s">
        <v>171</v>
      </c>
      <c r="AL253" s="21" t="s">
        <v>171</v>
      </c>
      <c r="AM253" s="21" t="s">
        <v>171</v>
      </c>
      <c r="AN253" s="21" t="s">
        <v>171</v>
      </c>
      <c r="AO253" s="21" t="s">
        <v>171</v>
      </c>
      <c r="AP253" s="21" t="s">
        <v>171</v>
      </c>
      <c r="AQ253" s="21" t="s">
        <v>171</v>
      </c>
      <c r="AR253" s="21" t="s">
        <v>171</v>
      </c>
      <c r="AS253" s="21" t="s">
        <v>171</v>
      </c>
      <c r="AT253" s="21" t="s">
        <v>171</v>
      </c>
      <c r="AU253" s="21" t="s">
        <v>171</v>
      </c>
      <c r="AV253" s="21" t="s">
        <v>171</v>
      </c>
      <c r="AW253" s="21" t="s">
        <v>171</v>
      </c>
      <c r="AX253" s="21" t="s">
        <v>171</v>
      </c>
      <c r="AY253" s="21" t="s">
        <v>171</v>
      </c>
      <c r="AZ253" s="21" t="s">
        <v>171</v>
      </c>
      <c r="BA253" s="21" t="s">
        <v>171</v>
      </c>
      <c r="BB253" s="21" t="s">
        <v>171</v>
      </c>
      <c r="BC253" s="21" t="s">
        <v>171</v>
      </c>
      <c r="BD253" s="21" t="s">
        <v>171</v>
      </c>
      <c r="BE253" s="21" t="s">
        <v>171</v>
      </c>
      <c r="BF253" s="21" t="s">
        <v>171</v>
      </c>
      <c r="BG253" s="21" t="s">
        <v>171</v>
      </c>
      <c r="BH253" s="21" t="s">
        <v>171</v>
      </c>
    </row>
    <row r="254" spans="1:60" x14ac:dyDescent="0.3">
      <c r="A254" t="s">
        <v>522</v>
      </c>
      <c r="S254" t="s">
        <v>171</v>
      </c>
      <c r="T254" t="s">
        <v>171</v>
      </c>
      <c r="U254" t="s">
        <v>171</v>
      </c>
      <c r="V254" t="s">
        <v>171</v>
      </c>
      <c r="W254" t="s">
        <v>171</v>
      </c>
      <c r="X254" t="s">
        <v>171</v>
      </c>
      <c r="Y254" t="s">
        <v>171</v>
      </c>
      <c r="Z254" t="s">
        <v>171</v>
      </c>
      <c r="AA254" t="s">
        <v>171</v>
      </c>
      <c r="AB254" t="s">
        <v>171</v>
      </c>
      <c r="AC254" s="21" t="s">
        <v>171</v>
      </c>
      <c r="AD254" s="21" t="s">
        <v>171</v>
      </c>
      <c r="AE254" s="21" t="s">
        <v>171</v>
      </c>
      <c r="AF254" s="21" t="s">
        <v>171</v>
      </c>
      <c r="AG254" s="21" t="s">
        <v>171</v>
      </c>
      <c r="AH254" s="21" t="s">
        <v>171</v>
      </c>
      <c r="AI254" s="21" t="s">
        <v>171</v>
      </c>
      <c r="AJ254" s="21" t="s">
        <v>171</v>
      </c>
      <c r="AK254" s="21" t="s">
        <v>171</v>
      </c>
      <c r="AL254" s="21" t="s">
        <v>171</v>
      </c>
      <c r="AM254" s="21" t="s">
        <v>171</v>
      </c>
      <c r="AN254" s="21" t="s">
        <v>171</v>
      </c>
      <c r="AO254" s="21" t="s">
        <v>171</v>
      </c>
      <c r="AP254" s="21" t="s">
        <v>171</v>
      </c>
      <c r="AQ254" s="21" t="s">
        <v>171</v>
      </c>
      <c r="AR254" s="21" t="s">
        <v>171</v>
      </c>
      <c r="AS254" s="21" t="s">
        <v>171</v>
      </c>
      <c r="AT254" s="21" t="s">
        <v>171</v>
      </c>
      <c r="AU254" s="21" t="s">
        <v>171</v>
      </c>
      <c r="AV254" s="21" t="s">
        <v>171</v>
      </c>
      <c r="AW254" s="21" t="s">
        <v>171</v>
      </c>
      <c r="AX254" s="21" t="s">
        <v>171</v>
      </c>
      <c r="AY254" s="21" t="s">
        <v>171</v>
      </c>
      <c r="AZ254" s="21" t="s">
        <v>171</v>
      </c>
      <c r="BA254" s="21" t="s">
        <v>171</v>
      </c>
      <c r="BB254" s="21" t="s">
        <v>171</v>
      </c>
      <c r="BC254" s="21" t="s">
        <v>171</v>
      </c>
      <c r="BD254" s="21" t="s">
        <v>171</v>
      </c>
      <c r="BE254" s="21" t="s">
        <v>171</v>
      </c>
      <c r="BF254" s="21" t="s">
        <v>171</v>
      </c>
      <c r="BG254" s="21" t="s">
        <v>171</v>
      </c>
      <c r="BH254" s="21" t="s">
        <v>171</v>
      </c>
    </row>
    <row r="255" spans="1:60" x14ac:dyDescent="0.3">
      <c r="A255" t="s">
        <v>523</v>
      </c>
      <c r="S255" t="s">
        <v>171</v>
      </c>
      <c r="T255" t="s">
        <v>171</v>
      </c>
      <c r="U255" t="s">
        <v>171</v>
      </c>
      <c r="V255" t="s">
        <v>171</v>
      </c>
      <c r="W255" t="s">
        <v>171</v>
      </c>
      <c r="X255" t="s">
        <v>171</v>
      </c>
      <c r="Y255" t="s">
        <v>171</v>
      </c>
      <c r="Z255" t="s">
        <v>171</v>
      </c>
      <c r="AA255" t="s">
        <v>171</v>
      </c>
      <c r="AB255" t="s">
        <v>171</v>
      </c>
      <c r="AC255" s="21" t="s">
        <v>171</v>
      </c>
      <c r="AD255" s="21" t="s">
        <v>171</v>
      </c>
      <c r="AE255" s="21" t="s">
        <v>171</v>
      </c>
      <c r="AF255" s="21" t="s">
        <v>171</v>
      </c>
      <c r="AG255" s="21" t="s">
        <v>171</v>
      </c>
      <c r="AH255" s="21" t="s">
        <v>171</v>
      </c>
      <c r="AI255" s="21" t="s">
        <v>171</v>
      </c>
      <c r="AJ255" s="21" t="s">
        <v>171</v>
      </c>
      <c r="AK255" s="21" t="s">
        <v>171</v>
      </c>
      <c r="AL255" s="21" t="s">
        <v>171</v>
      </c>
      <c r="AM255" s="21" t="s">
        <v>171</v>
      </c>
      <c r="AN255" s="21" t="s">
        <v>171</v>
      </c>
      <c r="AO255" s="21" t="s">
        <v>171</v>
      </c>
      <c r="AP255" s="21" t="s">
        <v>171</v>
      </c>
      <c r="AQ255" s="21" t="s">
        <v>171</v>
      </c>
      <c r="AR255" s="21" t="s">
        <v>171</v>
      </c>
      <c r="AS255" s="21" t="s">
        <v>171</v>
      </c>
      <c r="AT255" s="21" t="s">
        <v>171</v>
      </c>
      <c r="AU255" s="21" t="s">
        <v>171</v>
      </c>
      <c r="AV255" s="21" t="s">
        <v>171</v>
      </c>
      <c r="AW255" s="21" t="s">
        <v>171</v>
      </c>
      <c r="AX255" s="21" t="s">
        <v>171</v>
      </c>
      <c r="AY255" s="21" t="s">
        <v>171</v>
      </c>
      <c r="AZ255" s="21" t="s">
        <v>171</v>
      </c>
      <c r="BA255" s="21" t="s">
        <v>171</v>
      </c>
      <c r="BB255" s="21" t="s">
        <v>171</v>
      </c>
      <c r="BC255" s="21" t="s">
        <v>171</v>
      </c>
      <c r="BD255" s="21" t="s">
        <v>171</v>
      </c>
      <c r="BE255" s="21" t="s">
        <v>171</v>
      </c>
      <c r="BF255" s="21" t="s">
        <v>171</v>
      </c>
      <c r="BG255" s="21" t="s">
        <v>171</v>
      </c>
      <c r="BH255" s="21" t="s">
        <v>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0" sqref="E10"/>
    </sheetView>
  </sheetViews>
  <sheetFormatPr defaultRowHeight="14.4" x14ac:dyDescent="0.3"/>
  <cols>
    <col min="2" max="2" width="23.33203125" bestFit="1" customWidth="1"/>
    <col min="3" max="3" width="24.5546875" bestFit="1" customWidth="1"/>
    <col min="4" max="4" width="27.109375" bestFit="1" customWidth="1"/>
    <col min="5" max="5" width="24.5546875" bestFit="1" customWidth="1"/>
    <col min="6" max="6" width="27.109375" bestFit="1" customWidth="1"/>
  </cols>
  <sheetData>
    <row r="1" spans="1:6" x14ac:dyDescent="0.3">
      <c r="A1" t="s">
        <v>69</v>
      </c>
    </row>
    <row r="2" spans="1:6" x14ac:dyDescent="0.3">
      <c r="C2" s="34" t="s">
        <v>587</v>
      </c>
      <c r="D2" s="34"/>
      <c r="E2" s="34" t="s">
        <v>592</v>
      </c>
      <c r="F2" s="34"/>
    </row>
    <row r="3" spans="1:6" x14ac:dyDescent="0.3">
      <c r="C3" t="s">
        <v>588</v>
      </c>
      <c r="D3" t="s">
        <v>589</v>
      </c>
      <c r="E3" s="21" t="s">
        <v>588</v>
      </c>
      <c r="F3" s="21" t="s">
        <v>589</v>
      </c>
    </row>
    <row r="4" spans="1:6" x14ac:dyDescent="0.3">
      <c r="B4" t="s">
        <v>93</v>
      </c>
      <c r="C4" t="b">
        <v>0</v>
      </c>
      <c r="D4" s="21" t="b">
        <v>1</v>
      </c>
      <c r="E4" t="b">
        <v>1</v>
      </c>
      <c r="F4" t="b">
        <v>0</v>
      </c>
    </row>
    <row r="5" spans="1:6" x14ac:dyDescent="0.3">
      <c r="B5" t="s">
        <v>590</v>
      </c>
      <c r="C5" t="b">
        <v>0</v>
      </c>
      <c r="D5" s="21" t="b">
        <v>0</v>
      </c>
      <c r="E5" s="21" t="b">
        <v>1</v>
      </c>
      <c r="F5" s="21" t="b">
        <v>0</v>
      </c>
    </row>
    <row r="6" spans="1:6" x14ac:dyDescent="0.3">
      <c r="B6" t="s">
        <v>119</v>
      </c>
      <c r="C6" s="21" t="b">
        <v>0</v>
      </c>
      <c r="D6" s="21" t="b">
        <v>1</v>
      </c>
      <c r="E6" s="21" t="b">
        <v>1</v>
      </c>
      <c r="F6" s="21" t="b">
        <v>0</v>
      </c>
    </row>
    <row r="7" spans="1:6" x14ac:dyDescent="0.3">
      <c r="B7" t="s">
        <v>591</v>
      </c>
      <c r="C7" s="21" t="b">
        <v>0</v>
      </c>
      <c r="D7" s="21" t="b">
        <v>0</v>
      </c>
      <c r="E7" s="21" t="b">
        <v>0</v>
      </c>
      <c r="F7" s="21" t="b">
        <v>0</v>
      </c>
    </row>
    <row r="8" spans="1:6" s="21" customFormat="1" x14ac:dyDescent="0.3">
      <c r="B8" s="21" t="s">
        <v>593</v>
      </c>
      <c r="C8" s="21" t="b">
        <v>0</v>
      </c>
      <c r="D8" s="21" t="b">
        <v>1</v>
      </c>
      <c r="E8" s="21" t="b">
        <v>1</v>
      </c>
      <c r="F8" s="21" t="b">
        <v>0</v>
      </c>
    </row>
    <row r="9" spans="1:6" s="21" customFormat="1" x14ac:dyDescent="0.3">
      <c r="B9" s="21" t="s">
        <v>594</v>
      </c>
      <c r="C9" s="21" t="b">
        <v>0</v>
      </c>
      <c r="D9" s="21" t="b">
        <v>0</v>
      </c>
      <c r="E9" s="21" t="b">
        <v>0</v>
      </c>
      <c r="F9" s="21" t="b">
        <v>0</v>
      </c>
    </row>
    <row r="10" spans="1:6" x14ac:dyDescent="0.3">
      <c r="B10" t="s">
        <v>107</v>
      </c>
      <c r="C10" s="21" t="b">
        <v>0</v>
      </c>
      <c r="D10" s="21" t="b">
        <v>1</v>
      </c>
      <c r="E10" t="b">
        <v>1</v>
      </c>
      <c r="F10" s="21" t="b">
        <v>0</v>
      </c>
    </row>
  </sheetData>
  <mergeCells count="2">
    <mergeCell ref="C2:D2"/>
    <mergeCell ref="E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10" workbookViewId="0">
      <selection activeCell="A32" sqref="A32"/>
    </sheetView>
  </sheetViews>
  <sheetFormatPr defaultRowHeight="14.4" x14ac:dyDescent="0.3"/>
  <cols>
    <col min="1" max="1" width="51.88671875" bestFit="1" customWidth="1"/>
    <col min="2" max="2" width="15.109375" customWidth="1"/>
    <col min="3" max="3" width="17.88671875" customWidth="1"/>
    <col min="4" max="4" width="21.21875" customWidth="1"/>
  </cols>
  <sheetData>
    <row r="1" spans="1:4" x14ac:dyDescent="0.3">
      <c r="A1" t="s">
        <v>69</v>
      </c>
    </row>
    <row r="2" spans="1:4" x14ac:dyDescent="0.3">
      <c r="B2" s="13" t="s">
        <v>595</v>
      </c>
      <c r="C2" s="13" t="s">
        <v>596</v>
      </c>
      <c r="D2" s="13" t="s">
        <v>597</v>
      </c>
    </row>
    <row r="3" spans="1:4" x14ac:dyDescent="0.3">
      <c r="B3" t="s">
        <v>693</v>
      </c>
      <c r="C3" s="21" t="s">
        <v>693</v>
      </c>
      <c r="D3" s="21" t="s">
        <v>693</v>
      </c>
    </row>
    <row r="4" spans="1:4" x14ac:dyDescent="0.3">
      <c r="A4" t="s">
        <v>688</v>
      </c>
      <c r="B4">
        <v>2.9189999999999999E-6</v>
      </c>
      <c r="C4">
        <v>1.8370000000000002E-6</v>
      </c>
      <c r="D4">
        <v>3.0000000000000001E-6</v>
      </c>
    </row>
    <row r="5" spans="1:4" x14ac:dyDescent="0.3">
      <c r="A5" t="s">
        <v>33</v>
      </c>
      <c r="B5">
        <v>2.9189999999999999E-6</v>
      </c>
      <c r="C5">
        <v>1.8370000000000002E-6</v>
      </c>
      <c r="D5">
        <v>3.0000000000000001E-6</v>
      </c>
    </row>
    <row r="6" spans="1:4" x14ac:dyDescent="0.3">
      <c r="A6" t="s">
        <v>517</v>
      </c>
      <c r="B6">
        <v>2.9189999999999999E-6</v>
      </c>
      <c r="C6">
        <v>1.8370000000000002E-6</v>
      </c>
      <c r="D6">
        <v>3.0000000000000001E-6</v>
      </c>
    </row>
    <row r="7" spans="1:4" x14ac:dyDescent="0.3">
      <c r="A7" t="s">
        <v>518</v>
      </c>
      <c r="B7">
        <v>2.9189999999999999E-6</v>
      </c>
      <c r="C7">
        <v>1.8370000000000002E-6</v>
      </c>
      <c r="D7">
        <v>3.0000000000000001E-6</v>
      </c>
    </row>
    <row r="8" spans="1:4" x14ac:dyDescent="0.3">
      <c r="A8" t="s">
        <v>524</v>
      </c>
      <c r="B8">
        <v>2.9189999999999999E-6</v>
      </c>
      <c r="C8">
        <v>1.8370000000000002E-6</v>
      </c>
      <c r="D8">
        <v>3.0000000000000001E-6</v>
      </c>
    </row>
    <row r="9" spans="1:4" x14ac:dyDescent="0.3">
      <c r="A9" t="s">
        <v>645</v>
      </c>
      <c r="B9">
        <v>5.8379999999999998E-6</v>
      </c>
      <c r="C9">
        <v>3.6740000000000003E-6</v>
      </c>
      <c r="D9">
        <v>6.0000000000000002E-6</v>
      </c>
    </row>
    <row r="10" spans="1:4" x14ac:dyDescent="0.3">
      <c r="A10" t="s">
        <v>646</v>
      </c>
      <c r="B10">
        <v>5.8379999999999998E-6</v>
      </c>
      <c r="C10">
        <v>3.6740000000000003E-6</v>
      </c>
      <c r="D10">
        <v>6.0000000000000002E-6</v>
      </c>
    </row>
    <row r="11" spans="1:4" x14ac:dyDescent="0.3">
      <c r="A11" t="s">
        <v>647</v>
      </c>
      <c r="B11">
        <v>5.8379999999999998E-6</v>
      </c>
      <c r="C11">
        <v>3.6740000000000003E-6</v>
      </c>
      <c r="D11">
        <v>6.0000000000000002E-6</v>
      </c>
    </row>
    <row r="12" spans="1:4" s="21" customFormat="1" x14ac:dyDescent="0.3">
      <c r="A12" s="21" t="s">
        <v>675</v>
      </c>
      <c r="B12" s="21">
        <v>6.3939999999999993E-6</v>
      </c>
      <c r="C12" s="21">
        <v>6.1789999999999996E-6</v>
      </c>
      <c r="D12" s="21">
        <v>6.0000000000000002E-6</v>
      </c>
    </row>
    <row r="13" spans="1:4" s="21" customFormat="1" x14ac:dyDescent="0.3">
      <c r="A13" s="21" t="s">
        <v>676</v>
      </c>
      <c r="B13" s="21">
        <v>6.3939999999999993E-6</v>
      </c>
      <c r="C13" s="21">
        <v>6.1789999999999996E-6</v>
      </c>
      <c r="D13" s="21">
        <v>6.0000000000000002E-6</v>
      </c>
    </row>
    <row r="14" spans="1:4" s="21" customFormat="1" x14ac:dyDescent="0.3">
      <c r="A14" s="21" t="s">
        <v>677</v>
      </c>
      <c r="B14" s="21">
        <v>6.3939999999999993E-6</v>
      </c>
      <c r="C14" s="21">
        <v>6.1789999999999996E-6</v>
      </c>
      <c r="D14" s="21">
        <v>6.0000000000000002E-6</v>
      </c>
    </row>
    <row r="15" spans="1:4" x14ac:dyDescent="0.3">
      <c r="A15" t="s">
        <v>636</v>
      </c>
      <c r="B15">
        <v>6.3939999999999993E-6</v>
      </c>
      <c r="C15">
        <v>6.1789999999999996E-6</v>
      </c>
      <c r="D15">
        <v>6.0000000000000002E-6</v>
      </c>
    </row>
    <row r="16" spans="1:4" x14ac:dyDescent="0.3">
      <c r="A16" t="s">
        <v>637</v>
      </c>
      <c r="B16">
        <v>6.3939999999999993E-6</v>
      </c>
      <c r="C16">
        <v>6.1789999999999996E-6</v>
      </c>
      <c r="D16">
        <v>6.0000000000000002E-6</v>
      </c>
    </row>
    <row r="17" spans="1:4" x14ac:dyDescent="0.3">
      <c r="A17" t="s">
        <v>638</v>
      </c>
      <c r="B17">
        <v>6.3939999999999993E-6</v>
      </c>
      <c r="C17">
        <v>6.1789999999999996E-6</v>
      </c>
      <c r="D17">
        <v>6.0000000000000002E-6</v>
      </c>
    </row>
    <row r="18" spans="1:4" s="21" customFormat="1" x14ac:dyDescent="0.3">
      <c r="A18" s="21" t="s">
        <v>674</v>
      </c>
      <c r="B18" s="21">
        <v>6.3939999999999993E-6</v>
      </c>
      <c r="C18" s="21">
        <v>3.0894999999999998E-6</v>
      </c>
      <c r="D18" s="21">
        <v>6.0000000000000002E-6</v>
      </c>
    </row>
    <row r="19" spans="1:4" x14ac:dyDescent="0.3">
      <c r="A19" t="s">
        <v>631</v>
      </c>
      <c r="B19">
        <v>6.3939999999999993E-6</v>
      </c>
      <c r="C19">
        <v>3.0894999999999998E-6</v>
      </c>
      <c r="D19">
        <v>6.0000000000000002E-6</v>
      </c>
    </row>
    <row r="20" spans="1:4" x14ac:dyDescent="0.3">
      <c r="A20" t="s">
        <v>712</v>
      </c>
      <c r="B20">
        <v>7.3669999999999991E-6</v>
      </c>
      <c r="C20">
        <v>8.3499999999999997E-6</v>
      </c>
      <c r="D20">
        <v>6.0000000000000002E-6</v>
      </c>
    </row>
    <row r="21" spans="1:4" x14ac:dyDescent="0.3">
      <c r="A21" t="s">
        <v>713</v>
      </c>
      <c r="B21">
        <v>7.3669999999999991E-6</v>
      </c>
      <c r="C21">
        <v>8.3499999999999997E-6</v>
      </c>
      <c r="D21">
        <v>6.0000000000000002E-6</v>
      </c>
    </row>
    <row r="22" spans="1:4" x14ac:dyDescent="0.3">
      <c r="A22" t="s">
        <v>714</v>
      </c>
      <c r="B22">
        <v>7.3669999999999991E-6</v>
      </c>
      <c r="C22">
        <v>8.3499999999999997E-6</v>
      </c>
      <c r="D22">
        <v>6.0000000000000002E-6</v>
      </c>
    </row>
    <row r="23" spans="1:4" x14ac:dyDescent="0.3">
      <c r="A23" t="s">
        <v>694</v>
      </c>
      <c r="B23">
        <v>7.3669999999999991E-6</v>
      </c>
      <c r="C23">
        <v>8.3499999999999997E-6</v>
      </c>
      <c r="D23">
        <v>6.0000000000000002E-6</v>
      </c>
    </row>
    <row r="24" spans="1:4" x14ac:dyDescent="0.3">
      <c r="A24" t="s">
        <v>695</v>
      </c>
      <c r="B24">
        <v>7.3669999999999991E-6</v>
      </c>
      <c r="C24">
        <v>8.3499999999999997E-6</v>
      </c>
      <c r="D24">
        <v>6.0000000000000002E-6</v>
      </c>
    </row>
    <row r="25" spans="1:4" x14ac:dyDescent="0.3">
      <c r="A25" t="s">
        <v>696</v>
      </c>
      <c r="B25">
        <v>7.3669999999999991E-6</v>
      </c>
      <c r="C25">
        <v>8.3499999999999997E-6</v>
      </c>
      <c r="D25">
        <v>6.0000000000000002E-6</v>
      </c>
    </row>
    <row r="26" spans="1:4" x14ac:dyDescent="0.3">
      <c r="A26" t="s">
        <v>703</v>
      </c>
      <c r="B26">
        <v>7.3669999999999991E-6</v>
      </c>
      <c r="C26">
        <v>8.3499999999999997E-6</v>
      </c>
      <c r="D26">
        <v>6.0000000000000002E-6</v>
      </c>
    </row>
    <row r="27" spans="1:4" x14ac:dyDescent="0.3">
      <c r="A27" t="s">
        <v>704</v>
      </c>
      <c r="B27">
        <v>7.3669999999999991E-6</v>
      </c>
      <c r="C27">
        <v>8.3499999999999997E-6</v>
      </c>
      <c r="D27">
        <v>6.0000000000000002E-6</v>
      </c>
    </row>
    <row r="28" spans="1:4" x14ac:dyDescent="0.3">
      <c r="A28" t="s">
        <v>705</v>
      </c>
      <c r="B28">
        <v>7.3669999999999991E-6</v>
      </c>
      <c r="C28">
        <v>8.3499999999999997E-6</v>
      </c>
      <c r="D28">
        <v>6.0000000000000002E-6</v>
      </c>
    </row>
    <row r="29" spans="1:4" x14ac:dyDescent="0.3">
      <c r="A29" t="s">
        <v>520</v>
      </c>
      <c r="B29">
        <v>7.3669999999999991E-6</v>
      </c>
      <c r="C29">
        <v>4.1749999999999998E-6</v>
      </c>
      <c r="D29">
        <v>6.0000000000000002E-6</v>
      </c>
    </row>
    <row r="30" spans="1:4" x14ac:dyDescent="0.3">
      <c r="A30" t="s">
        <v>521</v>
      </c>
      <c r="B30">
        <v>7.3669999999999991E-6</v>
      </c>
      <c r="C30">
        <v>4.1749999999999998E-6</v>
      </c>
      <c r="D30">
        <v>6.0000000000000002E-6</v>
      </c>
    </row>
    <row r="31" spans="1:4" x14ac:dyDescent="0.3">
      <c r="A31" t="s">
        <v>522</v>
      </c>
      <c r="B31">
        <v>7.3669999999999991E-6</v>
      </c>
      <c r="C31">
        <v>4.1749999999999998E-6</v>
      </c>
      <c r="D31">
        <v>6.0000000000000002E-6</v>
      </c>
    </row>
    <row r="32" spans="1:4" x14ac:dyDescent="0.3">
      <c r="A32" t="s">
        <v>523</v>
      </c>
      <c r="B32">
        <v>7.3669999999999991E-6</v>
      </c>
      <c r="C32">
        <v>4.1749999999999998E-6</v>
      </c>
      <c r="D32">
        <v>6.0000000000000002E-6</v>
      </c>
    </row>
    <row r="36" spans="2:4" x14ac:dyDescent="0.3">
      <c r="C36" s="21"/>
      <c r="D36" s="21"/>
    </row>
    <row r="37" spans="2:4" x14ac:dyDescent="0.3">
      <c r="B37" s="21"/>
      <c r="C37" s="21"/>
      <c r="D37" s="21"/>
    </row>
    <row r="38" spans="2:4" x14ac:dyDescent="0.3">
      <c r="B38" s="21"/>
      <c r="C38" s="21"/>
      <c r="D38" s="21"/>
    </row>
    <row r="39" spans="2:4" x14ac:dyDescent="0.3">
      <c r="B39" s="21"/>
      <c r="C39" s="21"/>
      <c r="D39" s="21"/>
    </row>
    <row r="40" spans="2:4" x14ac:dyDescent="0.3">
      <c r="B40" s="21"/>
      <c r="C40" s="21"/>
      <c r="D40" s="21"/>
    </row>
    <row r="41" spans="2:4" x14ac:dyDescent="0.3">
      <c r="B41" s="21"/>
      <c r="C41" s="21"/>
      <c r="D41" s="21"/>
    </row>
    <row r="42" spans="2:4" x14ac:dyDescent="0.3">
      <c r="B42" s="21"/>
      <c r="C42" s="21"/>
      <c r="D42" s="21"/>
    </row>
    <row r="43" spans="2:4" x14ac:dyDescent="0.3">
      <c r="B43" s="21"/>
      <c r="C43" s="21"/>
      <c r="D43" s="21"/>
    </row>
    <row r="44" spans="2:4" x14ac:dyDescent="0.3">
      <c r="B44" s="21"/>
      <c r="C44" s="21"/>
      <c r="D44" s="21"/>
    </row>
    <row r="45" spans="2:4" x14ac:dyDescent="0.3">
      <c r="B45" s="21"/>
      <c r="C45" s="21"/>
      <c r="D45" s="21"/>
    </row>
    <row r="46" spans="2:4" x14ac:dyDescent="0.3">
      <c r="B46" s="21"/>
      <c r="C46" s="21"/>
      <c r="D46" s="21"/>
    </row>
    <row r="47" spans="2:4" x14ac:dyDescent="0.3">
      <c r="B47" s="21"/>
      <c r="C47" s="21"/>
      <c r="D47" s="21"/>
    </row>
    <row r="48" spans="2:4" x14ac:dyDescent="0.3">
      <c r="B48" s="21"/>
      <c r="C48" s="21"/>
      <c r="D48" s="21"/>
    </row>
    <row r="49" spans="2:4" x14ac:dyDescent="0.3">
      <c r="B49" s="21"/>
      <c r="C49" s="21"/>
      <c r="D49" s="21"/>
    </row>
    <row r="50" spans="2:4" x14ac:dyDescent="0.3">
      <c r="B50" s="21"/>
      <c r="C50" s="21"/>
      <c r="D50" s="21"/>
    </row>
    <row r="51" spans="2:4" x14ac:dyDescent="0.3">
      <c r="B51" s="21"/>
      <c r="C51" s="21"/>
      <c r="D51" s="21"/>
    </row>
    <row r="52" spans="2:4" x14ac:dyDescent="0.3">
      <c r="B52" s="21"/>
      <c r="C52" s="21"/>
      <c r="D52" s="21"/>
    </row>
    <row r="53" spans="2:4" x14ac:dyDescent="0.3">
      <c r="B53" s="21"/>
      <c r="C53" s="21"/>
      <c r="D53" s="21"/>
    </row>
    <row r="54" spans="2:4" x14ac:dyDescent="0.3">
      <c r="B54" s="21"/>
      <c r="C54" s="21"/>
      <c r="D54" s="21"/>
    </row>
    <row r="55" spans="2:4" x14ac:dyDescent="0.3">
      <c r="B55" s="21"/>
      <c r="C55" s="21"/>
      <c r="D55" s="21"/>
    </row>
    <row r="56" spans="2:4" x14ac:dyDescent="0.3">
      <c r="B56" s="21"/>
      <c r="C56" s="21"/>
      <c r="D56" s="21"/>
    </row>
    <row r="57" spans="2:4" x14ac:dyDescent="0.3">
      <c r="B57" s="21"/>
      <c r="C57" s="21"/>
      <c r="D57" s="21"/>
    </row>
    <row r="58" spans="2:4" x14ac:dyDescent="0.3">
      <c r="B58" s="21"/>
      <c r="C58" s="21"/>
      <c r="D58" s="21"/>
    </row>
    <row r="59" spans="2:4" x14ac:dyDescent="0.3">
      <c r="B59" s="21"/>
      <c r="C59" s="21"/>
      <c r="D59" s="21"/>
    </row>
    <row r="60" spans="2:4" x14ac:dyDescent="0.3">
      <c r="B60" s="21"/>
      <c r="C60" s="21"/>
      <c r="D60" s="21"/>
    </row>
    <row r="61" spans="2:4" x14ac:dyDescent="0.3">
      <c r="B61" s="21"/>
    </row>
    <row r="62" spans="2:4" x14ac:dyDescent="0.3">
      <c r="B62" s="21"/>
    </row>
    <row r="63" spans="2:4" x14ac:dyDescent="0.3">
      <c r="B63" s="21"/>
    </row>
    <row r="64" spans="2:4" x14ac:dyDescent="0.3">
      <c r="B64" s="21"/>
    </row>
    <row r="65" spans="2:2" x14ac:dyDescent="0.3">
      <c r="B65" s="21"/>
    </row>
    <row r="66" spans="2:2" x14ac:dyDescent="0.3">
      <c r="B66" s="21"/>
    </row>
    <row r="67" spans="2:2" x14ac:dyDescent="0.3">
      <c r="B67"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2" sqref="A2"/>
    </sheetView>
  </sheetViews>
  <sheetFormatPr defaultRowHeight="14.4" x14ac:dyDescent="0.3"/>
  <cols>
    <col min="1" max="1" width="31" bestFit="1" customWidth="1"/>
  </cols>
  <sheetData>
    <row r="1" spans="1:4" x14ac:dyDescent="0.3">
      <c r="A1" t="s">
        <v>69</v>
      </c>
    </row>
    <row r="2" spans="1:4" x14ac:dyDescent="0.3">
      <c r="A2" t="s">
        <v>44</v>
      </c>
      <c r="B2" t="s">
        <v>43</v>
      </c>
      <c r="C2" t="s">
        <v>45</v>
      </c>
      <c r="D2" t="s">
        <v>46</v>
      </c>
    </row>
    <row r="3" spans="1:4" x14ac:dyDescent="0.3">
      <c r="A3">
        <v>2020</v>
      </c>
      <c r="B3">
        <v>0.2</v>
      </c>
      <c r="C3">
        <v>0.2</v>
      </c>
      <c r="D3">
        <v>0.2</v>
      </c>
    </row>
    <row r="4" spans="1:4" x14ac:dyDescent="0.3">
      <c r="A4">
        <v>2030</v>
      </c>
      <c r="B4">
        <v>0.3</v>
      </c>
      <c r="C4">
        <v>0.3</v>
      </c>
      <c r="D4">
        <v>0.3</v>
      </c>
    </row>
    <row r="5" spans="1:4" x14ac:dyDescent="0.3">
      <c r="A5">
        <v>2040</v>
      </c>
      <c r="B5">
        <v>0.4</v>
      </c>
      <c r="C5">
        <v>0.4</v>
      </c>
      <c r="D5">
        <v>0.4</v>
      </c>
    </row>
    <row r="6" spans="1:4" x14ac:dyDescent="0.3">
      <c r="A6">
        <v>2050</v>
      </c>
      <c r="B6">
        <v>0.5</v>
      </c>
      <c r="C6">
        <v>0.5</v>
      </c>
      <c r="D6">
        <v>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6"/>
  <sheetViews>
    <sheetView zoomScale="70" zoomScaleNormal="70" workbookViewId="0">
      <selection activeCell="B9" sqref="B9"/>
    </sheetView>
  </sheetViews>
  <sheetFormatPr defaultRowHeight="14.4" x14ac:dyDescent="0.3"/>
  <cols>
    <col min="1" max="1" width="8.88671875" bestFit="1" customWidth="1"/>
    <col min="2" max="2" width="15.44140625" bestFit="1" customWidth="1"/>
    <col min="3" max="4" width="23.33203125" bestFit="1" customWidth="1"/>
    <col min="5" max="5" width="27.21875" bestFit="1" customWidth="1"/>
    <col min="6" max="6" width="28.5546875" bestFit="1" customWidth="1"/>
    <col min="7" max="7" width="32.44140625" bestFit="1" customWidth="1"/>
    <col min="8" max="8" width="28.5546875" bestFit="1" customWidth="1"/>
    <col min="19" max="19" width="32.44140625" bestFit="1" customWidth="1"/>
    <col min="20" max="20" width="20" bestFit="1" customWidth="1"/>
    <col min="21" max="22" width="11.109375" bestFit="1" customWidth="1"/>
    <col min="23" max="23" width="11.21875" bestFit="1" customWidth="1"/>
    <col min="24" max="29" width="11.109375" bestFit="1" customWidth="1"/>
    <col min="30" max="30" width="11.21875" bestFit="1" customWidth="1"/>
    <col min="31" max="36" width="11.109375" bestFit="1" customWidth="1"/>
    <col min="37" max="37" width="11.21875" bestFit="1" customWidth="1"/>
    <col min="38" max="40" width="11.109375" bestFit="1" customWidth="1"/>
  </cols>
  <sheetData>
    <row r="1" spans="1:40" x14ac:dyDescent="0.3">
      <c r="A1" t="s">
        <v>69</v>
      </c>
    </row>
    <row r="2" spans="1:40" x14ac:dyDescent="0.3">
      <c r="B2" t="s">
        <v>50</v>
      </c>
      <c r="C2" t="s">
        <v>52</v>
      </c>
      <c r="D2" t="s">
        <v>54</v>
      </c>
      <c r="E2" t="s">
        <v>55</v>
      </c>
    </row>
    <row r="3" spans="1:40" x14ac:dyDescent="0.3">
      <c r="A3" t="s">
        <v>47</v>
      </c>
      <c r="B3">
        <v>0.75</v>
      </c>
      <c r="C3" s="3">
        <f>42.4/3.6</f>
        <v>11.777777777777777</v>
      </c>
      <c r="D3">
        <v>3.18</v>
      </c>
      <c r="E3">
        <v>1.5999999999999999E-5</v>
      </c>
    </row>
    <row r="4" spans="1:40" x14ac:dyDescent="0.3">
      <c r="A4" t="s">
        <v>48</v>
      </c>
      <c r="B4">
        <v>0.85</v>
      </c>
      <c r="C4" s="3">
        <f>42.8/3.6</f>
        <v>11.888888888888888</v>
      </c>
      <c r="D4">
        <v>3.14</v>
      </c>
      <c r="E4">
        <v>8.8500000000000004E-4</v>
      </c>
    </row>
    <row r="5" spans="1:40" x14ac:dyDescent="0.3">
      <c r="A5" t="s">
        <v>49</v>
      </c>
      <c r="C5" s="3">
        <f>55.5/3.6</f>
        <v>15.416666666666666</v>
      </c>
      <c r="D5">
        <v>2.65</v>
      </c>
      <c r="E5">
        <v>0</v>
      </c>
    </row>
    <row r="7" spans="1:40" x14ac:dyDescent="0.3">
      <c r="U7" s="21"/>
      <c r="V7" s="21"/>
      <c r="W7" s="21"/>
      <c r="X7" s="21"/>
      <c r="Y7" s="21"/>
      <c r="Z7" s="21"/>
      <c r="AA7" s="21"/>
      <c r="AB7" s="21"/>
      <c r="AC7" s="21"/>
      <c r="AD7" s="21"/>
      <c r="AE7" s="21"/>
      <c r="AF7" s="21"/>
      <c r="AG7" s="21"/>
      <c r="AH7" s="21"/>
      <c r="AI7" s="21"/>
      <c r="AJ7" s="21"/>
      <c r="AK7" s="21"/>
      <c r="AL7" s="21"/>
      <c r="AM7" s="21"/>
      <c r="AN7" s="21"/>
    </row>
    <row r="8" spans="1:40" x14ac:dyDescent="0.3">
      <c r="A8" s="8" t="s">
        <v>670</v>
      </c>
      <c r="B8" s="8" t="s">
        <v>671</v>
      </c>
      <c r="C8" s="8"/>
      <c r="D8" s="8"/>
      <c r="E8" s="8"/>
      <c r="F8" s="8"/>
      <c r="G8" s="8"/>
      <c r="H8" s="8"/>
      <c r="I8" s="8"/>
      <c r="J8" s="8"/>
      <c r="K8" s="8"/>
      <c r="L8" s="8"/>
      <c r="M8" s="8"/>
      <c r="N8" s="8"/>
      <c r="O8" s="8"/>
      <c r="P8" s="8"/>
      <c r="U8" s="21"/>
      <c r="V8" s="21"/>
      <c r="W8" s="21"/>
      <c r="X8" s="21"/>
      <c r="Y8" s="21"/>
      <c r="Z8" s="21"/>
      <c r="AA8" s="21"/>
      <c r="AB8" s="21"/>
      <c r="AC8" s="21"/>
      <c r="AD8" s="21"/>
      <c r="AE8" s="21"/>
      <c r="AF8" s="21"/>
      <c r="AG8" s="21"/>
      <c r="AH8" s="21"/>
      <c r="AI8" s="21"/>
      <c r="AJ8" s="21"/>
      <c r="AK8" s="21"/>
      <c r="AL8" s="21"/>
      <c r="AM8" s="21"/>
      <c r="AN8" s="21"/>
    </row>
    <row r="9" spans="1:40" x14ac:dyDescent="0.3">
      <c r="A9" t="s">
        <v>668</v>
      </c>
      <c r="C9" t="s">
        <v>661</v>
      </c>
      <c r="D9" t="s">
        <v>662</v>
      </c>
      <c r="E9" t="s">
        <v>663</v>
      </c>
      <c r="F9" t="s">
        <v>664</v>
      </c>
      <c r="G9" t="s">
        <v>665</v>
      </c>
      <c r="H9" t="s">
        <v>666</v>
      </c>
      <c r="I9" s="8"/>
      <c r="J9" s="8"/>
      <c r="K9" s="8"/>
      <c r="L9" s="8"/>
      <c r="M9" s="8"/>
      <c r="N9" s="8"/>
      <c r="O9" s="8"/>
      <c r="P9" s="8"/>
      <c r="AA9" s="21"/>
      <c r="AB9" s="21"/>
      <c r="AC9" s="21"/>
      <c r="AD9" s="21"/>
      <c r="AE9" s="21"/>
      <c r="AF9" s="21"/>
      <c r="AG9" s="21"/>
      <c r="AH9" s="21"/>
      <c r="AI9" s="21"/>
      <c r="AJ9" s="21"/>
      <c r="AK9" s="21"/>
      <c r="AL9" s="21"/>
      <c r="AM9" s="21"/>
      <c r="AN9" s="21"/>
    </row>
    <row r="10" spans="1:40" x14ac:dyDescent="0.3">
      <c r="A10" t="s">
        <v>147</v>
      </c>
      <c r="B10" t="s">
        <v>58</v>
      </c>
      <c r="C10" s="7">
        <v>3.9046610243035027</v>
      </c>
      <c r="D10" s="7">
        <v>4.2084239598411006</v>
      </c>
      <c r="E10" s="7">
        <v>2.9087081117400646</v>
      </c>
      <c r="F10" s="7">
        <v>0.68464461685761435</v>
      </c>
      <c r="G10" s="7">
        <v>0.14864762347812063</v>
      </c>
      <c r="H10" s="7">
        <v>0.14884277886536898</v>
      </c>
      <c r="I10" s="29"/>
      <c r="J10" s="8"/>
      <c r="K10" s="8"/>
      <c r="L10" s="8"/>
      <c r="M10" s="8"/>
      <c r="N10" s="8"/>
      <c r="O10" s="8"/>
      <c r="P10" s="8"/>
      <c r="T10" s="7"/>
      <c r="U10" s="7"/>
      <c r="V10" s="7"/>
      <c r="W10" s="7"/>
      <c r="X10" s="7"/>
      <c r="Y10" s="7"/>
      <c r="Z10" s="7"/>
      <c r="AA10" s="7"/>
      <c r="AB10" s="7"/>
      <c r="AC10" s="7"/>
      <c r="AD10" s="7"/>
      <c r="AE10" s="7"/>
      <c r="AF10" s="7"/>
      <c r="AG10" s="7"/>
      <c r="AH10" s="7"/>
      <c r="AI10" s="7"/>
      <c r="AJ10" s="7"/>
      <c r="AK10" s="7"/>
      <c r="AL10" s="7"/>
      <c r="AM10" s="7"/>
      <c r="AN10" s="7"/>
    </row>
    <row r="11" spans="1:40" x14ac:dyDescent="0.3">
      <c r="A11" s="21" t="s">
        <v>147</v>
      </c>
      <c r="B11" t="s">
        <v>61</v>
      </c>
      <c r="C11" s="7">
        <v>0.44542695334279203</v>
      </c>
      <c r="D11" s="7">
        <v>0.44542695334279203</v>
      </c>
      <c r="E11" s="7">
        <v>6.984516274842606E-2</v>
      </c>
      <c r="F11" s="7">
        <v>9.3107814878702483E-2</v>
      </c>
      <c r="G11" s="7">
        <v>1.761857873999224E-2</v>
      </c>
      <c r="H11" s="7">
        <v>1.577375406699133E-2</v>
      </c>
      <c r="I11" s="29"/>
      <c r="J11" s="8"/>
      <c r="K11" s="8"/>
      <c r="L11" s="8"/>
      <c r="M11" s="8"/>
      <c r="N11" s="8"/>
      <c r="O11" s="8"/>
      <c r="P11" s="8"/>
      <c r="T11" s="7"/>
      <c r="U11" s="7"/>
      <c r="V11" s="7"/>
      <c r="W11" s="7"/>
      <c r="X11" s="7"/>
      <c r="Y11" s="7"/>
      <c r="Z11" s="7"/>
      <c r="AA11" s="7"/>
      <c r="AB11" s="7"/>
      <c r="AC11" s="7"/>
      <c r="AD11" s="7"/>
      <c r="AE11" s="7"/>
      <c r="AF11" s="7"/>
      <c r="AG11" s="7"/>
      <c r="AH11" s="7"/>
      <c r="AI11" s="7"/>
      <c r="AJ11" s="7"/>
      <c r="AK11" s="7"/>
      <c r="AL11" s="7"/>
      <c r="AM11" s="7"/>
      <c r="AN11" s="7"/>
    </row>
    <row r="12" spans="1:40" x14ac:dyDescent="0.3">
      <c r="A12" s="21" t="s">
        <v>147</v>
      </c>
      <c r="B12" t="s">
        <v>667</v>
      </c>
      <c r="C12" s="7">
        <v>2.1891509709100943</v>
      </c>
      <c r="D12" s="7">
        <v>1.7638828611574571</v>
      </c>
      <c r="E12" s="7">
        <v>0.86889040162410291</v>
      </c>
      <c r="F12" s="7">
        <v>6.3460278570138265E-2</v>
      </c>
      <c r="G12" s="7">
        <v>6.5178455729151596E-2</v>
      </c>
      <c r="H12" s="7">
        <v>6.5377641840979273E-2</v>
      </c>
      <c r="I12" s="29"/>
      <c r="J12" s="8"/>
      <c r="K12" s="8"/>
      <c r="L12" s="8"/>
      <c r="M12" s="8"/>
      <c r="N12" s="8"/>
      <c r="O12" s="8"/>
      <c r="P12" s="8"/>
      <c r="T12" s="7"/>
      <c r="U12" s="7"/>
      <c r="V12" s="7"/>
      <c r="W12" s="7"/>
      <c r="X12" s="7"/>
      <c r="Y12" s="7"/>
      <c r="Z12" s="7"/>
      <c r="AA12" s="7"/>
      <c r="AB12" s="7"/>
      <c r="AC12" s="7"/>
      <c r="AD12" s="7"/>
      <c r="AE12" s="7"/>
      <c r="AF12" s="7"/>
      <c r="AG12" s="7"/>
      <c r="AH12" s="7"/>
      <c r="AI12" s="7"/>
      <c r="AJ12" s="7"/>
      <c r="AK12" s="7"/>
      <c r="AL12" s="7"/>
      <c r="AM12" s="7"/>
      <c r="AN12" s="7"/>
    </row>
    <row r="13" spans="1:40" x14ac:dyDescent="0.3">
      <c r="A13" s="21" t="s">
        <v>147</v>
      </c>
      <c r="B13" t="s">
        <v>63</v>
      </c>
      <c r="C13" s="7">
        <v>1.3953205227272419E-2</v>
      </c>
      <c r="D13" s="7">
        <v>9.2280040077986746E-3</v>
      </c>
      <c r="E13" s="7">
        <v>1.0464632968199748E-2</v>
      </c>
      <c r="F13" s="7">
        <v>4.3633358248302487E-3</v>
      </c>
      <c r="G13" s="7">
        <v>1.1133692009041535E-3</v>
      </c>
      <c r="H13" s="7">
        <v>1.1148309127867171E-3</v>
      </c>
      <c r="I13" s="30"/>
      <c r="J13" s="8"/>
      <c r="K13" s="8"/>
      <c r="L13" s="8"/>
      <c r="M13" s="8"/>
      <c r="N13" s="8"/>
      <c r="O13" s="8"/>
      <c r="P13" s="8"/>
      <c r="T13" s="7"/>
      <c r="U13" s="7"/>
      <c r="V13" s="7"/>
      <c r="W13" s="7"/>
      <c r="X13" s="7"/>
      <c r="Y13" s="7"/>
      <c r="Z13" s="7"/>
      <c r="AA13" s="7"/>
      <c r="AB13" s="7"/>
      <c r="AC13" s="7"/>
      <c r="AD13" s="7"/>
      <c r="AE13" s="7"/>
      <c r="AF13" s="7"/>
      <c r="AG13" s="7"/>
      <c r="AH13" s="7"/>
      <c r="AI13" s="7"/>
      <c r="AJ13" s="7"/>
      <c r="AK13" s="7"/>
      <c r="AL13" s="7"/>
      <c r="AM13" s="7"/>
      <c r="AN13" s="7"/>
    </row>
    <row r="14" spans="1:40" x14ac:dyDescent="0.3">
      <c r="A14" s="21" t="s">
        <v>147</v>
      </c>
      <c r="B14" t="s">
        <v>57</v>
      </c>
      <c r="C14" s="7">
        <v>2.660963315309357E-2</v>
      </c>
      <c r="D14" s="7">
        <v>2.660963315309357E-2</v>
      </c>
      <c r="E14" s="7">
        <v>1.0791652748455985E-2</v>
      </c>
      <c r="F14" s="7">
        <v>4.8869361238098791E-2</v>
      </c>
      <c r="G14" s="7">
        <v>1.480781037202524E-2</v>
      </c>
      <c r="H14" s="7">
        <v>8.4727149371790506E-3</v>
      </c>
      <c r="I14" s="28"/>
      <c r="J14" s="8"/>
      <c r="K14" s="8"/>
      <c r="L14" s="8"/>
      <c r="M14" s="8"/>
      <c r="N14" s="8"/>
      <c r="O14" s="8"/>
      <c r="P14" s="8"/>
      <c r="T14" s="7"/>
      <c r="U14" s="7"/>
      <c r="V14" s="7"/>
      <c r="W14" s="7"/>
      <c r="X14" s="7"/>
      <c r="Y14" s="7"/>
      <c r="Z14" s="7"/>
      <c r="AA14" s="7"/>
      <c r="AB14" s="7"/>
      <c r="AC14" s="7"/>
      <c r="AD14" s="7"/>
      <c r="AE14" s="7"/>
      <c r="AF14" s="7"/>
      <c r="AG14" s="7"/>
      <c r="AH14" s="7"/>
      <c r="AI14" s="7"/>
      <c r="AJ14" s="7"/>
      <c r="AK14" s="7"/>
      <c r="AL14" s="7"/>
      <c r="AM14" s="7"/>
      <c r="AN14" s="7"/>
    </row>
    <row r="15" spans="1:40" x14ac:dyDescent="0.3">
      <c r="A15" s="21" t="s">
        <v>147</v>
      </c>
      <c r="B15" t="s">
        <v>60</v>
      </c>
      <c r="C15" s="7">
        <v>1.350057491278213E-3</v>
      </c>
      <c r="D15" s="7">
        <v>1.350057491278213E-3</v>
      </c>
      <c r="E15" s="7">
        <v>1.744105494699958E-3</v>
      </c>
      <c r="F15" s="7">
        <v>1.7453343299320993E-3</v>
      </c>
      <c r="G15" s="7">
        <v>4.4534768036166134E-4</v>
      </c>
      <c r="H15" s="7">
        <v>4.4593236511468687E-4</v>
      </c>
      <c r="I15" s="28"/>
      <c r="J15" s="8"/>
      <c r="K15" s="8"/>
      <c r="L15" s="8"/>
      <c r="M15" s="8"/>
      <c r="N15" s="8"/>
      <c r="O15" s="8"/>
      <c r="P15" s="8"/>
      <c r="T15" s="7"/>
      <c r="U15" s="7"/>
      <c r="V15" s="7"/>
      <c r="W15" s="7"/>
      <c r="X15" s="7"/>
      <c r="Y15" s="7"/>
      <c r="Z15" s="7"/>
      <c r="AA15" s="7"/>
      <c r="AB15" s="7"/>
      <c r="AC15" s="7"/>
      <c r="AD15" s="7"/>
      <c r="AE15" s="7"/>
      <c r="AF15" s="7"/>
      <c r="AG15" s="7"/>
      <c r="AH15" s="7"/>
      <c r="AI15" s="7"/>
      <c r="AJ15" s="7"/>
      <c r="AK15" s="7"/>
      <c r="AL15" s="7"/>
      <c r="AM15" s="7"/>
      <c r="AN15" s="7"/>
    </row>
    <row r="16" spans="1:40" x14ac:dyDescent="0.3">
      <c r="A16" s="21" t="s">
        <v>147</v>
      </c>
      <c r="B16" t="s">
        <v>59</v>
      </c>
      <c r="C16" s="7">
        <v>1.350057491278213E-3</v>
      </c>
      <c r="D16" s="7">
        <v>1.350057491278213E-3</v>
      </c>
      <c r="E16" s="7">
        <v>1.744105494699958E-3</v>
      </c>
      <c r="F16" s="7">
        <v>1.7453343299320993E-3</v>
      </c>
      <c r="G16" s="7">
        <v>4.4534768036166134E-4</v>
      </c>
      <c r="H16" s="7">
        <v>4.4593236511468687E-4</v>
      </c>
      <c r="I16" s="28"/>
      <c r="J16" s="8"/>
      <c r="K16" s="8"/>
      <c r="L16" s="8"/>
      <c r="M16" s="8"/>
      <c r="N16" s="8"/>
      <c r="O16" s="8"/>
      <c r="P16" s="8"/>
    </row>
    <row r="17" spans="1:16" x14ac:dyDescent="0.3">
      <c r="A17" s="21" t="s">
        <v>147</v>
      </c>
      <c r="B17" s="21" t="s">
        <v>659</v>
      </c>
      <c r="C17" s="7">
        <v>0.99037189923972668</v>
      </c>
      <c r="D17" s="7">
        <v>0.79798060638763357</v>
      </c>
      <c r="E17" s="7">
        <v>0.39308601769474416</v>
      </c>
      <c r="F17" s="7">
        <v>2.8709430025130551E-2</v>
      </c>
      <c r="G17" s="7">
        <v>2.9486733371868183E-2</v>
      </c>
      <c r="H17" s="7">
        <v>2.9576845168859025E-2</v>
      </c>
      <c r="I17" s="28"/>
      <c r="J17" s="8"/>
      <c r="K17" s="8"/>
      <c r="L17" s="8"/>
      <c r="M17" s="8"/>
      <c r="N17" s="8"/>
      <c r="O17" s="8"/>
      <c r="P17" s="8"/>
    </row>
    <row r="18" spans="1:16" x14ac:dyDescent="0.3">
      <c r="A18" s="21" t="s">
        <v>147</v>
      </c>
      <c r="B18" s="21" t="s">
        <v>603</v>
      </c>
      <c r="C18" s="7">
        <v>6.9833915972032007E-2</v>
      </c>
      <c r="D18" s="7">
        <v>5.6267863270922876E-2</v>
      </c>
      <c r="E18" s="7">
        <v>2.7717603811808881E-2</v>
      </c>
      <c r="F18" s="7">
        <v>2.0243828863874104E-3</v>
      </c>
      <c r="G18" s="7">
        <v>2.0791927377599357E-3</v>
      </c>
      <c r="H18" s="7">
        <v>2.0855467747272387E-3</v>
      </c>
      <c r="I18" s="28"/>
      <c r="J18" s="8"/>
      <c r="K18" s="8"/>
      <c r="L18" s="8"/>
      <c r="M18" s="8"/>
      <c r="N18" s="8"/>
      <c r="O18" s="8"/>
      <c r="P18" s="8"/>
    </row>
    <row r="19" spans="1:16" x14ac:dyDescent="0.3">
      <c r="A19" s="21" t="s">
        <v>147</v>
      </c>
      <c r="B19" s="21" t="s">
        <v>604</v>
      </c>
      <c r="C19" s="7">
        <v>1.4229481310915611E-2</v>
      </c>
      <c r="D19" s="7">
        <v>1.1465238597523471E-2</v>
      </c>
      <c r="E19" s="7">
        <v>5.6477876105566691E-3</v>
      </c>
      <c r="F19" s="7">
        <v>4.124918107058987E-4</v>
      </c>
      <c r="G19" s="7">
        <v>4.2365996223948536E-4</v>
      </c>
      <c r="H19" s="7">
        <v>4.2495467196636527E-4</v>
      </c>
      <c r="I19" s="28"/>
      <c r="J19" s="8"/>
      <c r="K19" s="8"/>
      <c r="L19" s="8"/>
      <c r="M19" s="8"/>
      <c r="N19" s="8"/>
      <c r="O19" s="8"/>
      <c r="P19" s="8"/>
    </row>
    <row r="20" spans="1:16" x14ac:dyDescent="0.3">
      <c r="A20" s="21" t="s">
        <v>147</v>
      </c>
      <c r="B20" s="21" t="s">
        <v>605</v>
      </c>
      <c r="C20" s="7">
        <v>0.11471151087568894</v>
      </c>
      <c r="D20" s="7">
        <v>9.2427461924650761E-2</v>
      </c>
      <c r="E20" s="7">
        <v>4.5529857045102998E-2</v>
      </c>
      <c r="F20" s="7">
        <v>3.3253185970752454E-3</v>
      </c>
      <c r="G20" s="7">
        <v>3.4153510802075438E-3</v>
      </c>
      <c r="H20" s="7">
        <v>3.4257884324673141E-3</v>
      </c>
      <c r="I20" s="28"/>
      <c r="J20" s="8"/>
      <c r="K20" s="8"/>
      <c r="L20" s="8"/>
      <c r="M20" s="8"/>
      <c r="N20" s="8"/>
      <c r="O20" s="8"/>
      <c r="P20" s="8"/>
    </row>
    <row r="21" spans="1:16" x14ac:dyDescent="0.3">
      <c r="A21" s="21" t="s">
        <v>147</v>
      </c>
      <c r="B21" s="21" t="s">
        <v>606</v>
      </c>
      <c r="C21" s="7">
        <v>4.7066745874567023E-2</v>
      </c>
      <c r="D21" s="7">
        <v>3.7923481514885324E-2</v>
      </c>
      <c r="E21" s="7">
        <v>1.8681143634918213E-2</v>
      </c>
      <c r="F21" s="7">
        <v>1.3643959892579726E-3</v>
      </c>
      <c r="G21" s="7">
        <v>1.4013367981767593E-3</v>
      </c>
      <c r="H21" s="7">
        <v>1.4056192995810543E-3</v>
      </c>
      <c r="I21" s="28"/>
      <c r="J21" s="8"/>
      <c r="K21" s="8"/>
      <c r="L21" s="8"/>
      <c r="M21" s="8"/>
      <c r="N21" s="8"/>
      <c r="O21" s="8"/>
      <c r="P21" s="8"/>
    </row>
    <row r="22" spans="1:16" x14ac:dyDescent="0.3">
      <c r="A22" s="21" t="s">
        <v>147</v>
      </c>
      <c r="B22" s="21" t="s">
        <v>607</v>
      </c>
      <c r="C22" s="7">
        <v>3.524533063165252E-2</v>
      </c>
      <c r="D22" s="7">
        <v>2.8398514064635057E-2</v>
      </c>
      <c r="E22" s="7">
        <v>1.3989135466148057E-2</v>
      </c>
      <c r="F22" s="7">
        <v>1.0217104849792259E-3</v>
      </c>
      <c r="G22" s="7">
        <v>1.0493731372393407E-3</v>
      </c>
      <c r="H22" s="7">
        <v>1.0525800336397663E-3</v>
      </c>
      <c r="I22" s="8"/>
      <c r="J22" s="8"/>
      <c r="K22" s="8"/>
      <c r="L22" s="8"/>
      <c r="M22" s="8"/>
      <c r="N22" s="8"/>
      <c r="O22" s="8"/>
      <c r="P22" s="8"/>
    </row>
    <row r="23" spans="1:16" s="21" customFormat="1" x14ac:dyDescent="0.3">
      <c r="A23" s="21" t="s">
        <v>147</v>
      </c>
      <c r="B23" s="21" t="s">
        <v>608</v>
      </c>
      <c r="C23" s="7">
        <v>2.4956321068375076E-2</v>
      </c>
      <c r="D23" s="7">
        <v>2.0108264617195011E-2</v>
      </c>
      <c r="E23" s="7">
        <v>9.9053505785147728E-3</v>
      </c>
      <c r="F23" s="7">
        <v>7.234471756995762E-4</v>
      </c>
      <c r="G23" s="7">
        <v>7.4303439531232817E-4</v>
      </c>
      <c r="H23" s="7">
        <v>7.453051169871637E-4</v>
      </c>
      <c r="I23" s="32"/>
      <c r="J23" s="33"/>
      <c r="K23" s="8"/>
      <c r="L23" s="8"/>
      <c r="M23" s="8"/>
      <c r="N23" s="8"/>
      <c r="O23" s="8"/>
      <c r="P23" s="8"/>
    </row>
    <row r="24" spans="1:16" s="21" customFormat="1" x14ac:dyDescent="0.3">
      <c r="A24" s="21" t="s">
        <v>147</v>
      </c>
      <c r="B24" s="21" t="s">
        <v>609</v>
      </c>
      <c r="C24" s="7">
        <v>1.6199717184734699E-2</v>
      </c>
      <c r="D24" s="7">
        <v>1.3052733172565183E-2</v>
      </c>
      <c r="E24" s="7">
        <v>6.4297889720183622E-3</v>
      </c>
      <c r="F24" s="7">
        <v>4.696060614190232E-4</v>
      </c>
      <c r="G24" s="7">
        <v>4.8232057239572186E-4</v>
      </c>
      <c r="H24" s="7">
        <v>4.8379454962324666E-4</v>
      </c>
      <c r="I24" s="32"/>
      <c r="J24" s="33"/>
      <c r="K24" s="8"/>
      <c r="L24" s="8"/>
      <c r="M24" s="8"/>
      <c r="N24" s="8"/>
      <c r="O24" s="8"/>
      <c r="P24" s="8"/>
    </row>
    <row r="25" spans="1:16" s="21" customFormat="1" x14ac:dyDescent="0.3">
      <c r="A25" s="21" t="s">
        <v>147</v>
      </c>
      <c r="B25" s="21" t="s">
        <v>610</v>
      </c>
      <c r="C25" s="7">
        <v>0.15980802087643686</v>
      </c>
      <c r="D25" s="7">
        <v>0.12876344886449437</v>
      </c>
      <c r="E25" s="7">
        <v>6.3428999318559512E-2</v>
      </c>
      <c r="F25" s="7">
        <v>4.6326003356200931E-3</v>
      </c>
      <c r="G25" s="7">
        <v>4.7580272682280662E-3</v>
      </c>
      <c r="H25" s="7">
        <v>4.7725678543914865E-3</v>
      </c>
      <c r="I25" s="32"/>
      <c r="J25" s="33"/>
      <c r="K25" s="8"/>
      <c r="L25" s="8"/>
      <c r="M25" s="8"/>
      <c r="N25" s="8"/>
      <c r="O25" s="8"/>
      <c r="P25" s="8"/>
    </row>
    <row r="26" spans="1:16" s="21" customFormat="1" x14ac:dyDescent="0.3">
      <c r="A26" s="21" t="s">
        <v>147</v>
      </c>
      <c r="B26" s="21" t="s">
        <v>611</v>
      </c>
      <c r="C26" s="7">
        <v>8.362556708876559E-2</v>
      </c>
      <c r="D26" s="7">
        <v>6.7380325296214863E-2</v>
      </c>
      <c r="E26" s="7">
        <v>3.3191613342040731E-2</v>
      </c>
      <c r="F26" s="7">
        <v>2.4241826413792817E-3</v>
      </c>
      <c r="G26" s="7">
        <v>2.4898170088535907E-3</v>
      </c>
      <c r="H26" s="7">
        <v>2.4974259183254081E-3</v>
      </c>
      <c r="I26" s="32"/>
      <c r="J26" s="33"/>
      <c r="K26" s="8"/>
      <c r="L26" s="8"/>
      <c r="M26" s="8"/>
      <c r="N26" s="8"/>
      <c r="O26" s="8"/>
      <c r="P26" s="8"/>
    </row>
    <row r="27" spans="1:16" s="21" customFormat="1" x14ac:dyDescent="0.3">
      <c r="A27" s="21" t="s">
        <v>147</v>
      </c>
      <c r="B27" s="21" t="s">
        <v>612</v>
      </c>
      <c r="C27" s="7">
        <v>2.4080660680011038E-3</v>
      </c>
      <c r="D27" s="7">
        <v>1.9402711472732029E-3</v>
      </c>
      <c r="E27" s="7">
        <v>9.5577944178651321E-4</v>
      </c>
      <c r="F27" s="7">
        <v>6.9806306427152101E-5</v>
      </c>
      <c r="G27" s="7">
        <v>7.1696301302066765E-5</v>
      </c>
      <c r="H27" s="7">
        <v>7.1915406025077199E-5</v>
      </c>
      <c r="I27" s="32"/>
      <c r="J27" s="33"/>
      <c r="K27" s="8"/>
      <c r="L27" s="8"/>
      <c r="M27" s="8"/>
      <c r="N27" s="8"/>
      <c r="O27" s="8"/>
      <c r="P27" s="8"/>
    </row>
    <row r="28" spans="1:16" s="21" customFormat="1" x14ac:dyDescent="0.3">
      <c r="A28" s="21" t="s">
        <v>147</v>
      </c>
      <c r="B28" s="21" t="s">
        <v>56</v>
      </c>
      <c r="C28" s="7">
        <v>0.12281136946805628</v>
      </c>
      <c r="D28" s="7">
        <v>9.8953828510933331E-2</v>
      </c>
      <c r="E28" s="7">
        <v>4.8744751531112171E-2</v>
      </c>
      <c r="F28" s="7">
        <v>3.5601216277847563E-3</v>
      </c>
      <c r="G28" s="7">
        <v>3.6565113664054042E-3</v>
      </c>
      <c r="H28" s="7">
        <v>3.6676857072789372E-3</v>
      </c>
      <c r="I28" s="32"/>
      <c r="J28" s="33"/>
      <c r="K28" s="8"/>
      <c r="L28" s="8"/>
      <c r="M28" s="8"/>
      <c r="N28" s="8"/>
      <c r="O28" s="8"/>
      <c r="P28" s="8"/>
    </row>
    <row r="29" spans="1:16" s="21" customFormat="1" x14ac:dyDescent="0.3">
      <c r="A29" s="21" t="s">
        <v>147</v>
      </c>
      <c r="B29" s="21" t="s">
        <v>613</v>
      </c>
      <c r="C29" s="7">
        <v>0.24036877660592834</v>
      </c>
      <c r="D29" s="7">
        <v>0.19367433815508878</v>
      </c>
      <c r="E29" s="7">
        <v>9.5404166098326498E-2</v>
      </c>
      <c r="F29" s="7">
        <v>6.9679385870011811E-3</v>
      </c>
      <c r="G29" s="7">
        <v>7.1565944390608446E-3</v>
      </c>
      <c r="H29" s="7">
        <v>7.1784650741395237E-3</v>
      </c>
      <c r="I29" s="32"/>
      <c r="J29" s="33"/>
      <c r="K29" s="8"/>
      <c r="L29" s="8"/>
      <c r="M29" s="8"/>
      <c r="N29" s="8"/>
      <c r="O29" s="8"/>
      <c r="P29" s="8"/>
    </row>
    <row r="30" spans="1:16" s="21" customFormat="1" x14ac:dyDescent="0.3">
      <c r="A30" s="21" t="s">
        <v>147</v>
      </c>
      <c r="B30" s="21" t="s">
        <v>614</v>
      </c>
      <c r="C30" s="7">
        <v>0.11887089772041812</v>
      </c>
      <c r="D30" s="7">
        <v>9.5778839360849924E-2</v>
      </c>
      <c r="E30" s="7">
        <v>4.7180748808188788E-2</v>
      </c>
      <c r="F30" s="7">
        <v>3.4458931263585076E-3</v>
      </c>
      <c r="G30" s="7">
        <v>3.5391901460929318E-3</v>
      </c>
      <c r="H30" s="7">
        <v>3.5500059519651744E-3</v>
      </c>
      <c r="I30" s="32"/>
      <c r="J30" s="33"/>
      <c r="K30" s="8"/>
      <c r="L30" s="8"/>
      <c r="M30" s="8"/>
      <c r="N30" s="8"/>
      <c r="O30" s="8"/>
      <c r="P30" s="8"/>
    </row>
    <row r="31" spans="1:16" s="21" customFormat="1" x14ac:dyDescent="0.3">
      <c r="A31" s="21" t="s">
        <v>147</v>
      </c>
      <c r="B31" s="21" t="s">
        <v>615</v>
      </c>
      <c r="C31" s="7">
        <v>4.9474811942568128E-2</v>
      </c>
      <c r="D31" s="7">
        <v>3.9863752662158525E-2</v>
      </c>
      <c r="E31" s="7">
        <v>1.9636923076704723E-2</v>
      </c>
      <c r="F31" s="7">
        <v>1.4342022956851247E-3</v>
      </c>
      <c r="G31" s="7">
        <v>1.4730330994788259E-3</v>
      </c>
      <c r="H31" s="7">
        <v>1.4775347056061314E-3</v>
      </c>
      <c r="I31" s="32"/>
      <c r="J31" s="33"/>
      <c r="K31" s="8"/>
      <c r="L31" s="8"/>
      <c r="M31" s="8"/>
      <c r="N31" s="8"/>
      <c r="O31" s="8"/>
      <c r="P31" s="8"/>
    </row>
    <row r="32" spans="1:16" s="21" customFormat="1" x14ac:dyDescent="0.3">
      <c r="A32" s="21" t="s">
        <v>147</v>
      </c>
      <c r="B32" s="21" t="s">
        <v>616</v>
      </c>
      <c r="C32" s="7">
        <v>3.7215566505471608E-2</v>
      </c>
      <c r="D32" s="7">
        <v>2.9986008639676771E-2</v>
      </c>
      <c r="E32" s="7">
        <v>1.4771136827609751E-2</v>
      </c>
      <c r="F32" s="7">
        <v>1.0788247356923505E-3</v>
      </c>
      <c r="G32" s="7">
        <v>1.1080337473955773E-3</v>
      </c>
      <c r="H32" s="7">
        <v>1.1114199112966477E-3</v>
      </c>
      <c r="I32" s="32"/>
      <c r="J32" s="33"/>
      <c r="K32" s="8"/>
      <c r="L32" s="8"/>
      <c r="M32" s="8"/>
      <c r="N32" s="8"/>
      <c r="O32" s="8"/>
      <c r="P32" s="8"/>
    </row>
    <row r="33" spans="1:32" s="21" customFormat="1" x14ac:dyDescent="0.3">
      <c r="A33" s="21" t="s">
        <v>147</v>
      </c>
      <c r="B33" s="21" t="s">
        <v>617</v>
      </c>
      <c r="C33" s="7">
        <v>1.6418632281825708E-2</v>
      </c>
      <c r="D33" s="7">
        <v>1.3229121458680928E-2</v>
      </c>
      <c r="E33" s="7">
        <v>6.5166780121807717E-3</v>
      </c>
      <c r="F33" s="7">
        <v>4.7595208927603695E-4</v>
      </c>
      <c r="G33" s="7">
        <v>4.8883841796863693E-4</v>
      </c>
      <c r="H33" s="7">
        <v>4.9033231380734448E-4</v>
      </c>
      <c r="I33" s="32"/>
      <c r="J33" s="33"/>
      <c r="K33" s="8"/>
      <c r="L33" s="8"/>
      <c r="M33" s="8"/>
      <c r="N33" s="8"/>
      <c r="O33" s="8"/>
      <c r="P33" s="8"/>
    </row>
    <row r="34" spans="1:32" s="21" customFormat="1" x14ac:dyDescent="0.3">
      <c r="A34" s="21" t="s">
        <v>147</v>
      </c>
      <c r="B34" s="21" t="s">
        <v>618</v>
      </c>
      <c r="C34" s="7">
        <v>4.8161321360022076E-3</v>
      </c>
      <c r="D34" s="7">
        <v>3.8805422945464058E-3</v>
      </c>
      <c r="E34" s="7">
        <v>1.9115588835730264E-3</v>
      </c>
      <c r="F34" s="7">
        <v>1.396126128543042E-4</v>
      </c>
      <c r="G34" s="7">
        <v>1.4339260260413353E-4</v>
      </c>
      <c r="H34" s="7">
        <v>1.438308120501544E-4</v>
      </c>
      <c r="I34" s="32"/>
      <c r="J34" s="33"/>
      <c r="K34" s="8"/>
      <c r="L34" s="8"/>
      <c r="M34" s="8"/>
      <c r="N34" s="8"/>
      <c r="O34" s="8"/>
      <c r="P34" s="8"/>
    </row>
    <row r="35" spans="1:32" s="21" customFormat="1" x14ac:dyDescent="0.3">
      <c r="A35" s="21" t="s">
        <v>147</v>
      </c>
      <c r="B35" s="21" t="s">
        <v>619</v>
      </c>
      <c r="C35" s="7">
        <v>1.3353820922551576E-2</v>
      </c>
      <c r="D35" s="7">
        <v>1.0759685453060488E-2</v>
      </c>
      <c r="E35" s="7">
        <v>5.3002314499070282E-3</v>
      </c>
      <c r="F35" s="7">
        <v>3.8710769927784345E-4</v>
      </c>
      <c r="G35" s="7">
        <v>3.9758857994782478E-4</v>
      </c>
      <c r="H35" s="7">
        <v>3.9880361522997361E-4</v>
      </c>
      <c r="I35" s="32"/>
      <c r="J35" s="33"/>
      <c r="K35" s="8"/>
      <c r="L35" s="8"/>
      <c r="M35" s="8"/>
      <c r="N35" s="8"/>
      <c r="O35" s="8"/>
      <c r="P35" s="8"/>
      <c r="AC35"/>
      <c r="AF35"/>
    </row>
    <row r="36" spans="1:32" s="21" customFormat="1" x14ac:dyDescent="0.3">
      <c r="A36" s="21" t="s">
        <v>147</v>
      </c>
      <c r="B36" s="21" t="s">
        <v>622</v>
      </c>
      <c r="C36" s="7">
        <v>1.0945754854550472E-3</v>
      </c>
      <c r="D36" s="7">
        <v>8.8194143057872851E-4</v>
      </c>
      <c r="E36" s="7">
        <v>4.3444520081205144E-4</v>
      </c>
      <c r="F36" s="7">
        <v>3.1730139285069131E-5</v>
      </c>
      <c r="G36" s="7">
        <v>3.2589227864575796E-5</v>
      </c>
      <c r="H36" s="7">
        <v>3.2688820920489636E-5</v>
      </c>
      <c r="I36" s="32"/>
      <c r="J36" s="33"/>
      <c r="K36" s="8"/>
      <c r="L36" s="8"/>
      <c r="M36" s="8"/>
      <c r="N36" s="8"/>
      <c r="O36" s="8"/>
      <c r="P36" s="8"/>
      <c r="AC36"/>
      <c r="AF36"/>
    </row>
    <row r="37" spans="1:32" s="21" customFormat="1" x14ac:dyDescent="0.3">
      <c r="A37" s="21" t="s">
        <v>147</v>
      </c>
      <c r="B37" s="21" t="s">
        <v>620</v>
      </c>
      <c r="C37" s="7">
        <v>4.1593868447291791E-3</v>
      </c>
      <c r="D37" s="7">
        <v>3.3513774361991684E-3</v>
      </c>
      <c r="E37" s="7">
        <v>1.6508917630857955E-3</v>
      </c>
      <c r="F37" s="7">
        <v>1.205745292832627E-4</v>
      </c>
      <c r="G37" s="7">
        <v>1.2383906588538804E-4</v>
      </c>
      <c r="H37" s="7">
        <v>1.2421751949786062E-4</v>
      </c>
      <c r="I37" s="32"/>
      <c r="J37" s="33"/>
      <c r="K37" s="8"/>
      <c r="L37" s="8"/>
      <c r="M37" s="8"/>
      <c r="N37" s="8"/>
      <c r="O37" s="8"/>
      <c r="P37" s="8"/>
      <c r="AC37"/>
      <c r="AF37"/>
    </row>
    <row r="38" spans="1:32" s="21" customFormat="1" x14ac:dyDescent="0.3">
      <c r="A38" s="21" t="s">
        <v>147</v>
      </c>
      <c r="B38" s="21" t="s">
        <v>621</v>
      </c>
      <c r="C38" s="7">
        <v>2.211042480619195E-2</v>
      </c>
      <c r="D38" s="7">
        <v>1.7815216897690316E-2</v>
      </c>
      <c r="E38" s="7">
        <v>8.7757930564034397E-3</v>
      </c>
      <c r="F38" s="7">
        <v>6.4094881355839645E-4</v>
      </c>
      <c r="G38" s="7">
        <v>6.5830240286443109E-4</v>
      </c>
      <c r="H38" s="7">
        <v>6.6031418259389059E-4</v>
      </c>
      <c r="I38" s="32"/>
      <c r="J38" s="33"/>
      <c r="K38" s="8"/>
      <c r="L38" s="8"/>
      <c r="M38" s="8"/>
      <c r="N38" s="8"/>
      <c r="O38" s="8"/>
      <c r="P38" s="8"/>
      <c r="AC38"/>
      <c r="AF38"/>
    </row>
    <row r="39" spans="1:32" s="21" customFormat="1" x14ac:dyDescent="0.3">
      <c r="A39" s="21" t="s">
        <v>147</v>
      </c>
      <c r="B39" s="21" t="s">
        <v>623</v>
      </c>
      <c r="C39" s="27">
        <v>3.4799999999999999E-5</v>
      </c>
      <c r="D39" s="27">
        <v>3.4799999999999999E-5</v>
      </c>
      <c r="E39" s="27">
        <v>3.4799999999999999E-5</v>
      </c>
      <c r="F39" s="27">
        <v>3.4799999999999999E-5</v>
      </c>
      <c r="G39" s="27">
        <v>3.4799999999999999E-5</v>
      </c>
      <c r="H39" s="27">
        <v>3.4799999999999999E-5</v>
      </c>
      <c r="I39" s="32"/>
      <c r="J39" s="33"/>
      <c r="K39" s="8"/>
      <c r="L39" s="8"/>
      <c r="M39" s="8"/>
      <c r="N39" s="8"/>
      <c r="O39" s="8"/>
      <c r="P39" s="8"/>
      <c r="AC39"/>
      <c r="AF39"/>
    </row>
    <row r="40" spans="1:32" s="21" customFormat="1" x14ac:dyDescent="0.3">
      <c r="A40" s="21" t="s">
        <v>147</v>
      </c>
      <c r="B40" s="21" t="s">
        <v>624</v>
      </c>
      <c r="C40" s="27">
        <v>2.9999999999999999E-7</v>
      </c>
      <c r="D40" s="27">
        <v>2.9999999999999999E-7</v>
      </c>
      <c r="E40" s="27">
        <v>2.9999999999999999E-7</v>
      </c>
      <c r="F40" s="27">
        <v>2.9999999999999999E-7</v>
      </c>
      <c r="G40" s="27">
        <v>2.9999999999999999E-7</v>
      </c>
      <c r="H40" s="27">
        <v>2.9999999999999999E-7</v>
      </c>
      <c r="I40" s="32"/>
      <c r="J40" s="33"/>
      <c r="K40" s="8"/>
      <c r="L40" s="8"/>
      <c r="M40" s="8"/>
      <c r="N40" s="8"/>
      <c r="O40" s="8"/>
      <c r="P40" s="8"/>
      <c r="AC40"/>
      <c r="AF40"/>
    </row>
    <row r="41" spans="1:32" s="21" customFormat="1" x14ac:dyDescent="0.3">
      <c r="A41" s="21" t="s">
        <v>147</v>
      </c>
      <c r="B41" s="21" t="s">
        <v>625</v>
      </c>
      <c r="C41" s="27">
        <v>2.0000000000000002E-7</v>
      </c>
      <c r="D41" s="27">
        <v>2.0000000000000002E-7</v>
      </c>
      <c r="E41" s="27">
        <v>2.0000000000000002E-7</v>
      </c>
      <c r="F41" s="27">
        <v>2.0000000000000002E-7</v>
      </c>
      <c r="G41" s="27">
        <v>2.0000000000000002E-7</v>
      </c>
      <c r="H41" s="27">
        <v>2.0000000000000002E-7</v>
      </c>
      <c r="I41" s="32"/>
      <c r="J41" s="33"/>
      <c r="K41" s="8"/>
      <c r="L41" s="8"/>
      <c r="M41" s="8"/>
      <c r="N41" s="8"/>
      <c r="O41" s="8"/>
      <c r="P41" s="8"/>
      <c r="AC41"/>
      <c r="AF41"/>
    </row>
    <row r="42" spans="1:32" s="21" customFormat="1" x14ac:dyDescent="0.3">
      <c r="A42" s="21" t="s">
        <v>147</v>
      </c>
      <c r="B42" s="21" t="s">
        <v>626</v>
      </c>
      <c r="C42" s="27">
        <v>2.16E-3</v>
      </c>
      <c r="D42" s="27">
        <v>2.16E-3</v>
      </c>
      <c r="E42" s="27">
        <v>2.16E-3</v>
      </c>
      <c r="F42" s="27">
        <v>2.16E-3</v>
      </c>
      <c r="G42" s="27">
        <v>2.16E-3</v>
      </c>
      <c r="H42" s="27">
        <v>2.16E-3</v>
      </c>
      <c r="I42" s="32"/>
      <c r="J42" s="33"/>
      <c r="K42" s="8"/>
      <c r="L42" s="8"/>
      <c r="M42" s="8"/>
      <c r="N42" s="8"/>
      <c r="O42" s="8"/>
      <c r="P42" s="8"/>
    </row>
    <row r="43" spans="1:32" s="21" customFormat="1" x14ac:dyDescent="0.3">
      <c r="A43" s="21" t="s">
        <v>147</v>
      </c>
      <c r="B43" s="21" t="s">
        <v>581</v>
      </c>
      <c r="C43" s="27">
        <v>4.1999999999999998E-5</v>
      </c>
      <c r="D43" s="27">
        <v>4.1999999999999998E-5</v>
      </c>
      <c r="E43" s="27">
        <v>4.1999999999999998E-5</v>
      </c>
      <c r="F43" s="27">
        <v>4.1999999999999998E-5</v>
      </c>
      <c r="G43" s="27">
        <v>4.1999999999999998E-5</v>
      </c>
      <c r="H43" s="27">
        <v>4.1999999999999998E-5</v>
      </c>
      <c r="I43" s="32"/>
      <c r="J43" s="33"/>
      <c r="K43" s="8"/>
      <c r="L43" s="8"/>
      <c r="M43" s="8"/>
      <c r="N43" s="8"/>
      <c r="O43" s="8"/>
      <c r="P43" s="8"/>
    </row>
    <row r="44" spans="1:32" s="21" customFormat="1" x14ac:dyDescent="0.3">
      <c r="A44" s="21" t="s">
        <v>147</v>
      </c>
      <c r="B44" s="21" t="s">
        <v>583</v>
      </c>
      <c r="C44" s="27">
        <v>1.3000000000000001E-5</v>
      </c>
      <c r="D44" s="27">
        <v>1.3000000000000001E-5</v>
      </c>
      <c r="E44" s="27">
        <v>1.3000000000000001E-5</v>
      </c>
      <c r="F44" s="27">
        <v>1.3000000000000001E-5</v>
      </c>
      <c r="G44" s="27">
        <v>1.3000000000000001E-5</v>
      </c>
      <c r="H44" s="27">
        <v>1.3000000000000001E-5</v>
      </c>
      <c r="I44" s="32"/>
      <c r="J44" s="8"/>
      <c r="K44" s="8"/>
      <c r="L44" s="8"/>
      <c r="M44" s="8"/>
      <c r="N44" s="8"/>
      <c r="O44" s="8"/>
      <c r="P44" s="8"/>
    </row>
    <row r="45" spans="1:32" s="21" customFormat="1" x14ac:dyDescent="0.3">
      <c r="A45" s="21" t="s">
        <v>147</v>
      </c>
      <c r="B45" s="21" t="s">
        <v>582</v>
      </c>
      <c r="C45" s="27">
        <v>1.6000000000000003E-5</v>
      </c>
      <c r="D45" s="27">
        <v>1.6000000000000003E-5</v>
      </c>
      <c r="E45" s="27">
        <v>1.6000000000000003E-5</v>
      </c>
      <c r="F45" s="27">
        <v>1.6000000000000003E-5</v>
      </c>
      <c r="G45" s="27">
        <v>1.6000000000000003E-5</v>
      </c>
      <c r="H45" s="27">
        <v>1.6000000000000003E-5</v>
      </c>
      <c r="I45" s="8"/>
      <c r="J45" s="8"/>
      <c r="K45" s="8"/>
      <c r="L45" s="8"/>
      <c r="M45" s="8"/>
      <c r="N45" s="8"/>
      <c r="O45" s="8"/>
      <c r="P45" s="8"/>
    </row>
    <row r="46" spans="1:32" s="21" customFormat="1" x14ac:dyDescent="0.3">
      <c r="A46" s="21" t="s">
        <v>147</v>
      </c>
      <c r="B46" s="21" t="s">
        <v>629</v>
      </c>
      <c r="C46" s="27">
        <v>3.2000000000000002E-8</v>
      </c>
      <c r="D46" s="27">
        <v>3.2000000000000002E-8</v>
      </c>
      <c r="E46" s="27">
        <v>3.2000000000000002E-8</v>
      </c>
      <c r="F46" s="27">
        <v>3.2000000000000002E-8</v>
      </c>
      <c r="G46" s="27">
        <v>3.2000000000000002E-8</v>
      </c>
      <c r="H46" s="27">
        <v>3.2000000000000002E-8</v>
      </c>
      <c r="I46" s="31"/>
      <c r="J46" s="8"/>
      <c r="K46" s="8"/>
      <c r="L46" s="8"/>
      <c r="M46" s="8"/>
      <c r="N46" s="8"/>
      <c r="O46" s="8"/>
      <c r="P46" s="8"/>
    </row>
    <row r="47" spans="1:32" s="21" customFormat="1" x14ac:dyDescent="0.3">
      <c r="A47" s="21" t="s">
        <v>147</v>
      </c>
      <c r="B47" s="21" t="s">
        <v>627</v>
      </c>
      <c r="C47" s="27">
        <v>8.6999999999999997E-6</v>
      </c>
      <c r="D47" s="27">
        <v>8.6999999999999997E-6</v>
      </c>
      <c r="E47" s="27">
        <v>8.6999999999999997E-6</v>
      </c>
      <c r="F47" s="27">
        <v>8.6999999999999997E-6</v>
      </c>
      <c r="G47" s="27">
        <v>8.6999999999999997E-6</v>
      </c>
      <c r="H47" s="27">
        <v>8.6999999999999997E-6</v>
      </c>
      <c r="I47" s="31"/>
      <c r="J47" s="8"/>
      <c r="K47" s="8"/>
      <c r="L47" s="8"/>
      <c r="M47" s="8"/>
      <c r="N47" s="8"/>
      <c r="O47" s="8"/>
      <c r="P47" s="8"/>
    </row>
    <row r="48" spans="1:32" s="21" customFormat="1" x14ac:dyDescent="0.3">
      <c r="A48" s="21" t="s">
        <v>147</v>
      </c>
      <c r="B48" s="21" t="s">
        <v>628</v>
      </c>
      <c r="C48" s="27">
        <v>1.08E-5</v>
      </c>
      <c r="D48" s="27">
        <v>1.08E-5</v>
      </c>
      <c r="E48" s="27">
        <v>1.08E-5</v>
      </c>
      <c r="F48" s="27">
        <v>1.08E-5</v>
      </c>
      <c r="G48" s="27">
        <v>1.08E-5</v>
      </c>
      <c r="H48" s="27">
        <v>1.08E-5</v>
      </c>
      <c r="I48" s="31"/>
      <c r="J48" s="8"/>
      <c r="K48" s="8"/>
      <c r="L48" s="8"/>
      <c r="M48" s="8"/>
      <c r="N48" s="8"/>
      <c r="O48" s="8"/>
      <c r="P48" s="8"/>
    </row>
    <row r="49" spans="1:35" s="21" customFormat="1" x14ac:dyDescent="0.3">
      <c r="A49" t="s">
        <v>148</v>
      </c>
      <c r="B49" t="s">
        <v>58</v>
      </c>
      <c r="C49" s="7">
        <v>2.915195448533793</v>
      </c>
      <c r="D49" s="7">
        <v>3.2299158780310151</v>
      </c>
      <c r="E49" s="7">
        <v>3.5224878702476778</v>
      </c>
      <c r="F49" s="7">
        <v>0.80889745917939671</v>
      </c>
      <c r="G49" s="7">
        <v>9.5150832475643779E-2</v>
      </c>
      <c r="H49" s="7">
        <v>9.5149632903978362E-2</v>
      </c>
      <c r="I49" s="31"/>
      <c r="J49" s="8"/>
      <c r="K49" s="8"/>
      <c r="L49" s="8"/>
      <c r="M49" s="8"/>
      <c r="N49" s="8"/>
      <c r="O49" s="8"/>
      <c r="P49" s="8"/>
    </row>
    <row r="50" spans="1:35" s="21" customFormat="1" x14ac:dyDescent="0.3">
      <c r="A50" s="21" t="s">
        <v>148</v>
      </c>
      <c r="B50" t="s">
        <v>61</v>
      </c>
      <c r="C50" s="7">
        <v>0.10489381378097931</v>
      </c>
      <c r="D50" s="7">
        <v>0.10489381378097931</v>
      </c>
      <c r="E50" s="7">
        <v>3.8860210090666626E-2</v>
      </c>
      <c r="F50" s="7">
        <v>2.686988232543534E-2</v>
      </c>
      <c r="G50" s="7">
        <v>9.2318827679158492E-3</v>
      </c>
      <c r="H50" s="7">
        <v>7.0497830742104438E-3</v>
      </c>
      <c r="I50" s="31"/>
      <c r="J50" s="8"/>
      <c r="K50" s="8"/>
      <c r="L50" s="8"/>
      <c r="M50" s="8"/>
      <c r="N50" s="8"/>
      <c r="O50" s="8"/>
      <c r="P50" s="8"/>
    </row>
    <row r="51" spans="1:35" s="21" customFormat="1" x14ac:dyDescent="0.3">
      <c r="A51" s="21" t="s">
        <v>148</v>
      </c>
      <c r="B51" s="21" t="s">
        <v>667</v>
      </c>
      <c r="C51" s="7">
        <v>1.0838177419178909</v>
      </c>
      <c r="D51" s="7">
        <v>0.64320914062177992</v>
      </c>
      <c r="E51" s="7">
        <v>0.82099046851904756</v>
      </c>
      <c r="F51" s="7">
        <v>9.0637972192836605E-2</v>
      </c>
      <c r="G51" s="7">
        <v>2.307364639176256E-2</v>
      </c>
      <c r="H51" s="7">
        <v>2.3066881837462593E-2</v>
      </c>
      <c r="I51" s="31"/>
      <c r="J51" s="8"/>
      <c r="K51" s="8"/>
      <c r="L51" s="8"/>
      <c r="M51" s="8"/>
      <c r="N51" s="8"/>
      <c r="O51" s="8"/>
      <c r="P51" s="8"/>
    </row>
    <row r="52" spans="1:35" s="21" customFormat="1" x14ac:dyDescent="0.3">
      <c r="A52" s="21" t="s">
        <v>148</v>
      </c>
      <c r="B52" s="21" t="s">
        <v>63</v>
      </c>
      <c r="C52" s="7">
        <v>8.0330641182335405E-3</v>
      </c>
      <c r="D52" s="7">
        <v>3.1374129927211969E-3</v>
      </c>
      <c r="E52" s="7">
        <v>1.0638578146824082E-2</v>
      </c>
      <c r="F52" s="7">
        <v>4.9486252530670048E-3</v>
      </c>
      <c r="G52" s="7">
        <v>1.4133139635978708E-3</v>
      </c>
      <c r="H52" s="7">
        <v>1.4132961458726764E-3</v>
      </c>
      <c r="I52" s="31"/>
      <c r="J52" s="8"/>
      <c r="K52" s="8"/>
      <c r="L52" s="8"/>
      <c r="M52" s="8"/>
      <c r="N52" s="8"/>
      <c r="O52" s="8"/>
      <c r="P52" s="8"/>
      <c r="AG52" s="26"/>
      <c r="AH52" s="26"/>
      <c r="AI52" s="26"/>
    </row>
    <row r="53" spans="1:35" s="21" customFormat="1" x14ac:dyDescent="0.3">
      <c r="A53" s="21" t="s">
        <v>148</v>
      </c>
      <c r="B53" s="21" t="s">
        <v>57</v>
      </c>
      <c r="C53" s="7">
        <v>2.7569509623956653E-2</v>
      </c>
      <c r="D53" s="7">
        <v>2.7569509623956653E-2</v>
      </c>
      <c r="E53" s="7">
        <v>1.0971033713912328E-2</v>
      </c>
      <c r="F53" s="7">
        <v>5.542460283435046E-2</v>
      </c>
      <c r="G53" s="7">
        <v>1.8797075715851683E-2</v>
      </c>
      <c r="H53" s="7">
        <v>1.0741050708632342E-2</v>
      </c>
      <c r="I53" s="31"/>
      <c r="J53" s="8"/>
      <c r="K53" s="8"/>
      <c r="L53" s="8"/>
      <c r="M53" s="8"/>
      <c r="N53" s="8"/>
      <c r="O53" s="8"/>
      <c r="P53" s="8"/>
      <c r="AG53" s="26"/>
      <c r="AH53" s="26"/>
      <c r="AI53" s="26"/>
    </row>
    <row r="54" spans="1:35" s="21" customFormat="1" x14ac:dyDescent="0.3">
      <c r="A54" s="21" t="s">
        <v>148</v>
      </c>
      <c r="B54" s="21" t="s">
        <v>60</v>
      </c>
      <c r="C54" s="7">
        <v>1.3987574644320985E-3</v>
      </c>
      <c r="D54" s="7">
        <v>1.3987574644320985E-3</v>
      </c>
      <c r="E54" s="7">
        <v>1.7730963578040135E-3</v>
      </c>
      <c r="F54" s="7">
        <v>1.9794501012268019E-3</v>
      </c>
      <c r="G54" s="7">
        <v>5.6532558543914832E-4</v>
      </c>
      <c r="H54" s="7">
        <v>5.653184583490706E-4</v>
      </c>
      <c r="I54" s="31"/>
      <c r="J54" s="8"/>
      <c r="K54" s="8"/>
      <c r="L54" s="8"/>
      <c r="M54" s="8"/>
      <c r="N54" s="8"/>
      <c r="O54" s="8"/>
      <c r="P54" s="8"/>
      <c r="AG54" s="26"/>
      <c r="AH54" s="26"/>
      <c r="AI54" s="26"/>
    </row>
    <row r="55" spans="1:35" s="21" customFormat="1" x14ac:dyDescent="0.3">
      <c r="A55" s="21" t="s">
        <v>148</v>
      </c>
      <c r="B55" s="21" t="s">
        <v>59</v>
      </c>
      <c r="C55" s="7">
        <v>1.3987574644320985E-3</v>
      </c>
      <c r="D55" s="7">
        <v>1.3987574644320985E-3</v>
      </c>
      <c r="E55" s="7">
        <v>1.7730963578040135E-3</v>
      </c>
      <c r="F55" s="7">
        <v>1.9794501012268019E-3</v>
      </c>
      <c r="G55" s="7">
        <v>5.6532558543914832E-4</v>
      </c>
      <c r="H55" s="7">
        <v>5.653184583490706E-4</v>
      </c>
      <c r="I55" s="31"/>
      <c r="J55" s="8"/>
      <c r="K55" s="8"/>
      <c r="L55" s="8"/>
      <c r="M55" s="8"/>
      <c r="N55" s="8"/>
      <c r="O55" s="8"/>
      <c r="P55" s="8"/>
      <c r="AG55" s="26"/>
      <c r="AH55" s="26"/>
      <c r="AI55" s="26"/>
    </row>
    <row r="56" spans="1:35" s="21" customFormat="1" x14ac:dyDescent="0.3">
      <c r="A56" s="21" t="s">
        <v>148</v>
      </c>
      <c r="B56" s="21" t="s">
        <v>659</v>
      </c>
      <c r="C56" s="7">
        <v>0.49031914644365387</v>
      </c>
      <c r="D56" s="7">
        <v>0.29098781521729328</v>
      </c>
      <c r="E56" s="7">
        <v>0.37141608795801712</v>
      </c>
      <c r="F56" s="7">
        <v>4.1004618620039283E-2</v>
      </c>
      <c r="G56" s="7">
        <v>1.0438517627633382E-2</v>
      </c>
      <c r="H56" s="7">
        <v>1.0435457343268078E-2</v>
      </c>
      <c r="I56" s="32"/>
      <c r="J56" s="8"/>
      <c r="K56" s="8"/>
      <c r="L56" s="8"/>
      <c r="M56" s="8"/>
      <c r="N56" s="8"/>
      <c r="O56" s="8"/>
      <c r="P56" s="8"/>
      <c r="AG56" s="26"/>
      <c r="AH56" s="26"/>
      <c r="AI56" s="26"/>
    </row>
    <row r="57" spans="1:35" x14ac:dyDescent="0.3">
      <c r="A57" s="21" t="s">
        <v>148</v>
      </c>
      <c r="B57" s="21" t="s">
        <v>603</v>
      </c>
      <c r="C57" s="7">
        <v>3.457378596718072E-2</v>
      </c>
      <c r="D57" s="7">
        <v>2.0518371585834777E-2</v>
      </c>
      <c r="E57" s="7">
        <v>2.6189595945757614E-2</v>
      </c>
      <c r="F57" s="7">
        <v>2.8913513129514875E-3</v>
      </c>
      <c r="G57" s="7">
        <v>7.3604931989722558E-4</v>
      </c>
      <c r="H57" s="7">
        <v>7.3583353061505664E-4</v>
      </c>
      <c r="I57" s="8"/>
      <c r="J57" s="8"/>
      <c r="K57" s="8"/>
      <c r="L57" s="8"/>
      <c r="M57" s="8"/>
      <c r="N57" s="8"/>
      <c r="O57" s="8"/>
      <c r="P57" s="8"/>
      <c r="AG57" s="26"/>
      <c r="AH57" s="26"/>
      <c r="AI57" s="26"/>
    </row>
    <row r="58" spans="1:35" x14ac:dyDescent="0.3">
      <c r="A58" s="21" t="s">
        <v>148</v>
      </c>
      <c r="B58" s="21" t="s">
        <v>604</v>
      </c>
      <c r="C58" s="7">
        <v>7.0448153224662909E-3</v>
      </c>
      <c r="D58" s="7">
        <v>4.1808594140415696E-3</v>
      </c>
      <c r="E58" s="7">
        <v>5.3364380453738086E-3</v>
      </c>
      <c r="F58" s="7">
        <v>5.891468192534379E-4</v>
      </c>
      <c r="G58" s="7">
        <v>1.4997870154645664E-4</v>
      </c>
      <c r="H58" s="7">
        <v>1.4993473194350684E-4</v>
      </c>
      <c r="I58" s="8"/>
      <c r="J58" s="8"/>
      <c r="K58" s="8"/>
      <c r="L58" s="8"/>
      <c r="M58" s="8"/>
      <c r="N58" s="8"/>
      <c r="O58" s="8"/>
      <c r="P58" s="8"/>
      <c r="AG58" s="26"/>
      <c r="AH58" s="26"/>
      <c r="AI58" s="26"/>
    </row>
    <row r="59" spans="1:35" x14ac:dyDescent="0.3">
      <c r="A59" s="21" t="s">
        <v>148</v>
      </c>
      <c r="B59" s="21" t="s">
        <v>605</v>
      </c>
      <c r="C59" s="7">
        <v>5.6792049676497487E-2</v>
      </c>
      <c r="D59" s="7">
        <v>3.3704158968581269E-2</v>
      </c>
      <c r="E59" s="7">
        <v>4.3019900550398095E-2</v>
      </c>
      <c r="F59" s="7">
        <v>4.7494297429046383E-3</v>
      </c>
      <c r="G59" s="7">
        <v>1.2090590709283582E-3</v>
      </c>
      <c r="H59" s="7">
        <v>1.2087046082830399E-3</v>
      </c>
      <c r="I59" s="28"/>
      <c r="J59" s="8"/>
      <c r="K59" s="8"/>
      <c r="L59" s="8"/>
      <c r="M59" s="8"/>
      <c r="N59" s="8"/>
      <c r="O59" s="8"/>
      <c r="P59" s="8"/>
      <c r="AG59" s="26"/>
      <c r="AH59" s="26"/>
      <c r="AI59" s="26"/>
    </row>
    <row r="60" spans="1:35" x14ac:dyDescent="0.3">
      <c r="A60" s="21" t="s">
        <v>148</v>
      </c>
      <c r="B60" s="21" t="s">
        <v>606</v>
      </c>
      <c r="C60" s="7">
        <v>2.3302081451234653E-2</v>
      </c>
      <c r="D60" s="7">
        <v>1.3828996523368267E-2</v>
      </c>
      <c r="E60" s="7">
        <v>1.7651295073159521E-2</v>
      </c>
      <c r="F60" s="7">
        <v>1.9487164021459869E-3</v>
      </c>
      <c r="G60" s="7">
        <v>4.9608339742289497E-4</v>
      </c>
      <c r="H60" s="7">
        <v>4.959379595054457E-4</v>
      </c>
      <c r="I60" s="28"/>
      <c r="J60" s="8"/>
      <c r="K60" s="8"/>
      <c r="L60" s="8"/>
      <c r="M60" s="8"/>
      <c r="N60" s="8"/>
      <c r="O60" s="8"/>
      <c r="P60" s="8"/>
      <c r="AG60" s="26"/>
      <c r="AH60" s="26"/>
      <c r="AI60" s="26"/>
    </row>
    <row r="61" spans="1:35" x14ac:dyDescent="0.3">
      <c r="A61" s="21" t="s">
        <v>148</v>
      </c>
      <c r="B61" s="21" t="s">
        <v>607</v>
      </c>
      <c r="C61" s="7">
        <v>1.7449465644878044E-2</v>
      </c>
      <c r="D61" s="7">
        <v>1.0355667164010656E-2</v>
      </c>
      <c r="E61" s="7">
        <v>1.3217946543156665E-2</v>
      </c>
      <c r="F61" s="7">
        <v>1.4592713523046692E-3</v>
      </c>
      <c r="G61" s="7">
        <v>3.7148570690737721E-4</v>
      </c>
      <c r="H61" s="7">
        <v>3.7137679758314772E-4</v>
      </c>
      <c r="I61" s="28"/>
      <c r="J61" s="8"/>
      <c r="K61" s="8"/>
      <c r="L61" s="8"/>
      <c r="M61" s="8"/>
      <c r="N61" s="8"/>
      <c r="O61" s="8"/>
      <c r="P61" s="8"/>
      <c r="AG61" s="26"/>
      <c r="AH61" s="26"/>
      <c r="AI61" s="26"/>
    </row>
    <row r="62" spans="1:35" x14ac:dyDescent="0.3">
      <c r="A62" s="21" t="s">
        <v>148</v>
      </c>
      <c r="B62" s="21" t="s">
        <v>608</v>
      </c>
      <c r="C62" s="7">
        <v>1.2355522257863957E-2</v>
      </c>
      <c r="D62" s="7">
        <v>7.3325842030882915E-3</v>
      </c>
      <c r="E62" s="7">
        <v>9.359291341117142E-3</v>
      </c>
      <c r="F62" s="7">
        <v>1.0332728829983374E-3</v>
      </c>
      <c r="G62" s="7">
        <v>2.6303956886609319E-4</v>
      </c>
      <c r="H62" s="7">
        <v>2.6296245294707356E-4</v>
      </c>
      <c r="I62" s="28"/>
      <c r="J62" s="8"/>
      <c r="K62" s="8"/>
      <c r="L62" s="8"/>
      <c r="M62" s="8"/>
      <c r="N62" s="8"/>
      <c r="O62" s="8"/>
      <c r="P62" s="8"/>
      <c r="AG62" s="26"/>
      <c r="AH62" s="26"/>
      <c r="AI62" s="26"/>
    </row>
    <row r="63" spans="1:35" x14ac:dyDescent="0.3">
      <c r="A63" s="21" t="s">
        <v>148</v>
      </c>
      <c r="B63" s="21" t="s">
        <v>609</v>
      </c>
      <c r="C63" s="7">
        <v>8.0202512901923935E-3</v>
      </c>
      <c r="D63" s="7">
        <v>4.7597476406011719E-3</v>
      </c>
      <c r="E63" s="7">
        <v>6.0753294670409519E-3</v>
      </c>
      <c r="F63" s="7">
        <v>6.7072099422699086E-4</v>
      </c>
      <c r="G63" s="7">
        <v>1.7074498329904296E-4</v>
      </c>
      <c r="H63" s="7">
        <v>1.706949255972232E-4</v>
      </c>
      <c r="I63" s="28"/>
      <c r="J63" s="8"/>
      <c r="K63" s="8"/>
      <c r="L63" s="8"/>
      <c r="M63" s="8"/>
      <c r="N63" s="8"/>
      <c r="O63" s="8"/>
      <c r="P63" s="8"/>
      <c r="AG63" s="26"/>
      <c r="AH63" s="26"/>
      <c r="AI63" s="26"/>
    </row>
    <row r="64" spans="1:35" x14ac:dyDescent="0.3">
      <c r="A64" s="21" t="s">
        <v>148</v>
      </c>
      <c r="B64" s="21" t="s">
        <v>610</v>
      </c>
      <c r="C64" s="7">
        <v>7.9118695160006039E-2</v>
      </c>
      <c r="D64" s="7">
        <v>4.6954267265389933E-2</v>
      </c>
      <c r="E64" s="7">
        <v>5.9932304201890468E-2</v>
      </c>
      <c r="F64" s="7">
        <v>6.6165719700770715E-3</v>
      </c>
      <c r="G64" s="7">
        <v>1.6843761865986667E-3</v>
      </c>
      <c r="H64" s="7">
        <v>1.6838823741347692E-3</v>
      </c>
      <c r="I64" s="28"/>
      <c r="J64" s="8"/>
      <c r="K64" s="8"/>
      <c r="L64" s="8"/>
      <c r="M64" s="8"/>
      <c r="N64" s="8"/>
      <c r="O64" s="8"/>
      <c r="P64" s="8"/>
      <c r="AG64" s="26"/>
      <c r="AH64" s="26"/>
      <c r="AI64" s="26"/>
    </row>
    <row r="65" spans="1:35" x14ac:dyDescent="0.3">
      <c r="A65" s="21" t="s">
        <v>148</v>
      </c>
      <c r="B65" s="21" t="s">
        <v>611</v>
      </c>
      <c r="C65" s="7">
        <v>4.1401837741263429E-2</v>
      </c>
      <c r="D65" s="7">
        <v>2.4570589171751991E-2</v>
      </c>
      <c r="E65" s="7">
        <v>3.1361835897427616E-2</v>
      </c>
      <c r="F65" s="7">
        <v>3.4623705377663581E-3</v>
      </c>
      <c r="G65" s="7">
        <v>8.8141329216532974E-4</v>
      </c>
      <c r="H65" s="7">
        <v>8.8115488619107103E-4</v>
      </c>
      <c r="I65" s="28"/>
      <c r="J65" s="8"/>
      <c r="K65" s="8"/>
      <c r="L65" s="8"/>
      <c r="M65" s="8"/>
      <c r="N65" s="8"/>
      <c r="O65" s="8"/>
      <c r="P65" s="8"/>
      <c r="AG65" s="26"/>
      <c r="AH65" s="26"/>
      <c r="AI65" s="26"/>
    </row>
    <row r="66" spans="1:35" x14ac:dyDescent="0.3">
      <c r="A66" s="21" t="s">
        <v>148</v>
      </c>
      <c r="B66" s="21" t="s">
        <v>612</v>
      </c>
      <c r="C66" s="7">
        <v>1.1921995161096801E-3</v>
      </c>
      <c r="D66" s="7">
        <v>7.0753005468395793E-4</v>
      </c>
      <c r="E66" s="7">
        <v>9.0308951537095233E-4</v>
      </c>
      <c r="F66" s="7">
        <v>9.9701769412120265E-5</v>
      </c>
      <c r="G66" s="7">
        <v>2.5381011030938817E-5</v>
      </c>
      <c r="H66" s="7">
        <v>2.5373570021208853E-5</v>
      </c>
      <c r="I66" s="28"/>
      <c r="J66" s="8"/>
      <c r="K66" s="8"/>
      <c r="L66" s="8"/>
      <c r="M66" s="8"/>
      <c r="N66" s="8"/>
      <c r="O66" s="8"/>
      <c r="P66" s="8"/>
      <c r="AG66" s="26"/>
      <c r="AH66" s="26"/>
      <c r="AI66" s="26"/>
    </row>
    <row r="67" spans="1:35" x14ac:dyDescent="0.3">
      <c r="A67" s="21" t="s">
        <v>148</v>
      </c>
      <c r="B67" s="21" t="s">
        <v>56</v>
      </c>
      <c r="C67" s="7">
        <v>6.0802175321593675E-2</v>
      </c>
      <c r="D67" s="7">
        <v>3.6084032788881851E-2</v>
      </c>
      <c r="E67" s="7">
        <v>4.6057565283918564E-2</v>
      </c>
      <c r="F67" s="7">
        <v>5.0847902400181335E-3</v>
      </c>
      <c r="G67" s="7">
        <v>1.2944315625778794E-3</v>
      </c>
      <c r="H67" s="7">
        <v>1.2940520710816514E-3</v>
      </c>
      <c r="I67" s="28"/>
      <c r="J67" s="8"/>
      <c r="K67" s="8"/>
      <c r="L67" s="8"/>
      <c r="M67" s="8"/>
      <c r="N67" s="8"/>
      <c r="O67" s="8"/>
      <c r="P67" s="8"/>
      <c r="AG67" s="26"/>
      <c r="AH67" s="26"/>
      <c r="AI67" s="26"/>
    </row>
    <row r="68" spans="1:35" x14ac:dyDescent="0.3">
      <c r="A68" s="21" t="s">
        <v>148</v>
      </c>
      <c r="B68" s="21" t="s">
        <v>613</v>
      </c>
      <c r="C68" s="7">
        <v>0.11900318806258442</v>
      </c>
      <c r="D68" s="7">
        <v>7.0624363640271429E-2</v>
      </c>
      <c r="E68" s="7">
        <v>9.0144753443391415E-2</v>
      </c>
      <c r="F68" s="7">
        <v>9.9520493467734582E-3</v>
      </c>
      <c r="G68" s="7">
        <v>2.533486373815529E-3</v>
      </c>
      <c r="H68" s="7">
        <v>2.5327436257533927E-3</v>
      </c>
      <c r="I68" s="28"/>
      <c r="J68" s="8"/>
      <c r="K68" s="8"/>
      <c r="L68" s="8"/>
      <c r="M68" s="8"/>
      <c r="N68" s="8"/>
      <c r="O68" s="8"/>
      <c r="P68" s="8"/>
      <c r="AG68" s="26"/>
      <c r="AH68" s="26"/>
      <c r="AI68" s="26"/>
    </row>
    <row r="69" spans="1:35" x14ac:dyDescent="0.3">
      <c r="A69" s="21" t="s">
        <v>148</v>
      </c>
      <c r="B69" s="21" t="s">
        <v>614</v>
      </c>
      <c r="C69" s="7">
        <v>5.8851303386141481E-2</v>
      </c>
      <c r="D69" s="7">
        <v>3.492625633576265E-2</v>
      </c>
      <c r="E69" s="7">
        <v>4.4579782440584283E-2</v>
      </c>
      <c r="F69" s="7">
        <v>4.9216418900710273E-3</v>
      </c>
      <c r="G69" s="7">
        <v>1.2528989990727071E-3</v>
      </c>
      <c r="H69" s="7">
        <v>1.2525316837742188E-3</v>
      </c>
      <c r="I69" s="28"/>
      <c r="J69" s="8"/>
      <c r="K69" s="8"/>
      <c r="L69" s="8"/>
      <c r="M69" s="8"/>
      <c r="N69" s="8"/>
      <c r="O69" s="8"/>
      <c r="P69" s="8"/>
      <c r="AG69" s="26"/>
      <c r="AH69" s="26"/>
      <c r="AI69" s="26"/>
    </row>
    <row r="70" spans="1:35" x14ac:dyDescent="0.3">
      <c r="A70" s="21" t="s">
        <v>148</v>
      </c>
      <c r="B70" s="21" t="s">
        <v>615</v>
      </c>
      <c r="C70" s="7">
        <v>2.4494280967344333E-2</v>
      </c>
      <c r="D70" s="7">
        <v>1.4536526578052225E-2</v>
      </c>
      <c r="E70" s="7">
        <v>1.8554384588530475E-2</v>
      </c>
      <c r="F70" s="7">
        <v>2.0484181715581073E-3</v>
      </c>
      <c r="G70" s="7">
        <v>5.2146440845383382E-4</v>
      </c>
      <c r="H70" s="7">
        <v>5.2131152952665462E-4</v>
      </c>
      <c r="I70" s="28"/>
      <c r="J70" s="8"/>
      <c r="K70" s="8"/>
      <c r="L70" s="8"/>
      <c r="M70" s="8"/>
      <c r="N70" s="8"/>
      <c r="O70" s="8"/>
      <c r="P70" s="8"/>
      <c r="AG70" s="26"/>
      <c r="AH70" s="26"/>
      <c r="AI70" s="26"/>
    </row>
    <row r="71" spans="1:35" s="21" customFormat="1" x14ac:dyDescent="0.3">
      <c r="A71" s="21" t="s">
        <v>148</v>
      </c>
      <c r="B71" s="21" t="s">
        <v>616</v>
      </c>
      <c r="C71" s="7">
        <v>1.8424901612604148E-2</v>
      </c>
      <c r="D71" s="7">
        <v>1.0934555390570259E-2</v>
      </c>
      <c r="E71" s="7">
        <v>1.3956837964823809E-2</v>
      </c>
      <c r="F71" s="7">
        <v>1.5408455272782225E-3</v>
      </c>
      <c r="G71" s="7">
        <v>3.9225198865996356E-4</v>
      </c>
      <c r="H71" s="7">
        <v>3.9213699123686409E-4</v>
      </c>
      <c r="I71" s="8"/>
      <c r="J71" s="8"/>
      <c r="K71" s="8"/>
      <c r="L71" s="8"/>
      <c r="M71" s="8"/>
      <c r="N71" s="8"/>
      <c r="O71" s="8"/>
      <c r="P71" s="8"/>
      <c r="AG71" s="26"/>
      <c r="AH71" s="26"/>
      <c r="AI71" s="26"/>
    </row>
    <row r="72" spans="1:35" s="21" customFormat="1" x14ac:dyDescent="0.3">
      <c r="A72" s="21" t="s">
        <v>148</v>
      </c>
      <c r="B72" s="21" t="s">
        <v>617</v>
      </c>
      <c r="C72" s="7">
        <v>8.1286330643841817E-3</v>
      </c>
      <c r="D72" s="7">
        <v>4.824068554663349E-3</v>
      </c>
      <c r="E72" s="7">
        <v>6.1574285138928566E-3</v>
      </c>
      <c r="F72" s="7">
        <v>6.7978479144627452E-4</v>
      </c>
      <c r="G72" s="7">
        <v>1.7305234793821918E-4</v>
      </c>
      <c r="H72" s="7">
        <v>1.7300161378096946E-4</v>
      </c>
      <c r="I72" s="30"/>
      <c r="J72" s="8"/>
      <c r="K72" s="8"/>
      <c r="L72" s="33"/>
      <c r="M72" s="33"/>
      <c r="N72" s="33"/>
      <c r="O72" s="8"/>
      <c r="P72" s="8"/>
      <c r="AG72" s="26"/>
      <c r="AH72" s="26"/>
      <c r="AI72" s="26"/>
    </row>
    <row r="73" spans="1:35" s="21" customFormat="1" x14ac:dyDescent="0.3">
      <c r="A73" s="21" t="s">
        <v>148</v>
      </c>
      <c r="B73" s="21" t="s">
        <v>618</v>
      </c>
      <c r="C73" s="7">
        <v>2.3843990322193601E-3</v>
      </c>
      <c r="D73" s="7">
        <v>1.4150601093679159E-3</v>
      </c>
      <c r="E73" s="7">
        <v>1.8061790307419047E-3</v>
      </c>
      <c r="F73" s="7">
        <v>1.9940353882424053E-4</v>
      </c>
      <c r="G73" s="7">
        <v>5.0762022061877634E-5</v>
      </c>
      <c r="H73" s="7">
        <v>5.0747140042417706E-5</v>
      </c>
      <c r="I73" s="30"/>
      <c r="J73" s="8"/>
      <c r="K73" s="8"/>
      <c r="L73" s="33"/>
      <c r="M73" s="33"/>
      <c r="N73" s="33"/>
      <c r="O73" s="8"/>
      <c r="P73" s="8"/>
      <c r="AG73" s="26"/>
      <c r="AH73" s="26"/>
      <c r="AI73" s="26"/>
    </row>
    <row r="74" spans="1:35" s="21" customFormat="1" x14ac:dyDescent="0.3">
      <c r="A74" s="21" t="s">
        <v>148</v>
      </c>
      <c r="B74" s="21" t="s">
        <v>619</v>
      </c>
      <c r="C74" s="7">
        <v>6.6112882256991355E-3</v>
      </c>
      <c r="D74" s="7">
        <v>3.9235757577928574E-3</v>
      </c>
      <c r="E74" s="7">
        <v>5.0080418579661907E-3</v>
      </c>
      <c r="F74" s="7">
        <v>5.5289163037630336E-4</v>
      </c>
      <c r="G74" s="7">
        <v>1.4074924298975163E-4</v>
      </c>
      <c r="H74" s="7">
        <v>1.4070797920852184E-4</v>
      </c>
      <c r="I74" s="30"/>
      <c r="J74" s="8"/>
      <c r="K74" s="8"/>
      <c r="L74" s="33"/>
      <c r="M74" s="33"/>
      <c r="N74" s="33"/>
      <c r="O74" s="8"/>
      <c r="P74" s="8"/>
    </row>
    <row r="75" spans="1:35" s="21" customFormat="1" x14ac:dyDescent="0.3">
      <c r="A75" s="21" t="s">
        <v>148</v>
      </c>
      <c r="B75" s="21" t="s">
        <v>660</v>
      </c>
      <c r="C75" s="7">
        <v>5.419088709589455E-4</v>
      </c>
      <c r="D75" s="7">
        <v>3.2160457031088995E-4</v>
      </c>
      <c r="E75" s="7">
        <v>4.1049523425952381E-4</v>
      </c>
      <c r="F75" s="7">
        <v>4.5318986096418302E-5</v>
      </c>
      <c r="G75" s="7">
        <v>1.1536823195881281E-5</v>
      </c>
      <c r="H75" s="7">
        <v>1.1533440918731296E-5</v>
      </c>
      <c r="I75" s="30"/>
      <c r="J75" s="8"/>
      <c r="K75" s="8"/>
      <c r="L75" s="33"/>
      <c r="M75" s="33"/>
      <c r="N75" s="33"/>
      <c r="O75" s="8"/>
      <c r="P75" s="8"/>
    </row>
    <row r="76" spans="1:35" s="21" customFormat="1" x14ac:dyDescent="0.3">
      <c r="A76" s="21" t="s">
        <v>148</v>
      </c>
      <c r="B76" s="21" t="s">
        <v>620</v>
      </c>
      <c r="C76" s="7">
        <v>2.0592537096439929E-3</v>
      </c>
      <c r="D76" s="7">
        <v>1.2220973671813818E-3</v>
      </c>
      <c r="E76" s="7">
        <v>1.5598818901861903E-3</v>
      </c>
      <c r="F76" s="7">
        <v>1.7221214716638955E-4</v>
      </c>
      <c r="G76" s="7">
        <v>4.3839928144348865E-5</v>
      </c>
      <c r="H76" s="7">
        <v>4.3827075491178927E-5</v>
      </c>
      <c r="I76" s="30"/>
      <c r="J76" s="8"/>
      <c r="K76" s="8"/>
      <c r="L76" s="33"/>
      <c r="M76" s="33"/>
      <c r="N76" s="33"/>
      <c r="O76" s="8"/>
      <c r="P76" s="8"/>
    </row>
    <row r="77" spans="1:35" s="21" customFormat="1" x14ac:dyDescent="0.3">
      <c r="A77" s="21" t="s">
        <v>148</v>
      </c>
      <c r="B77" s="21" t="s">
        <v>621</v>
      </c>
      <c r="C77" s="7">
        <v>1.0946559193370698E-2</v>
      </c>
      <c r="D77" s="7">
        <v>6.496412320279977E-3</v>
      </c>
      <c r="E77" s="7">
        <v>8.2920037320423808E-3</v>
      </c>
      <c r="F77" s="7">
        <v>9.1544351914764972E-4</v>
      </c>
      <c r="G77" s="7">
        <v>2.3304382855680183E-4</v>
      </c>
      <c r="H77" s="7">
        <v>2.3297550655837219E-4</v>
      </c>
      <c r="I77" s="30"/>
      <c r="J77" s="8"/>
      <c r="K77" s="8"/>
      <c r="L77" s="33"/>
      <c r="M77" s="33"/>
      <c r="N77" s="33"/>
      <c r="O77" s="8"/>
      <c r="P77" s="8"/>
    </row>
    <row r="78" spans="1:35" s="21" customFormat="1" x14ac:dyDescent="0.3">
      <c r="A78" s="21" t="s">
        <v>148</v>
      </c>
      <c r="B78" s="21" t="s">
        <v>623</v>
      </c>
      <c r="C78" s="27">
        <v>3.4799999999999999E-5</v>
      </c>
      <c r="D78" s="27">
        <v>3.4799999999999999E-5</v>
      </c>
      <c r="E78" s="27">
        <v>3.4799999999999999E-5</v>
      </c>
      <c r="F78" s="27">
        <v>3.4799999999999999E-5</v>
      </c>
      <c r="G78" s="27">
        <v>3.4799999999999999E-5</v>
      </c>
      <c r="H78" s="27">
        <v>3.4799999999999999E-5</v>
      </c>
      <c r="I78" s="30"/>
      <c r="J78" s="8"/>
      <c r="K78" s="8"/>
      <c r="L78" s="33"/>
      <c r="M78" s="33"/>
      <c r="N78" s="33"/>
      <c r="O78" s="8"/>
      <c r="P78" s="8"/>
    </row>
    <row r="79" spans="1:35" s="21" customFormat="1" x14ac:dyDescent="0.3">
      <c r="A79" s="21" t="s">
        <v>148</v>
      </c>
      <c r="B79" s="21" t="s">
        <v>624</v>
      </c>
      <c r="C79" s="27">
        <v>2.9999999999999999E-7</v>
      </c>
      <c r="D79" s="27">
        <v>2.9999999999999999E-7</v>
      </c>
      <c r="E79" s="27">
        <v>2.9999999999999999E-7</v>
      </c>
      <c r="F79" s="27">
        <v>2.9999999999999999E-7</v>
      </c>
      <c r="G79" s="27">
        <v>2.9999999999999999E-7</v>
      </c>
      <c r="H79" s="27">
        <v>2.9999999999999999E-7</v>
      </c>
      <c r="I79" s="30"/>
      <c r="J79" s="8"/>
      <c r="K79" s="8"/>
      <c r="L79" s="33"/>
      <c r="M79" s="33"/>
      <c r="N79" s="33"/>
      <c r="O79" s="8"/>
      <c r="P79" s="8"/>
    </row>
    <row r="80" spans="1:35" s="21" customFormat="1" x14ac:dyDescent="0.3">
      <c r="A80" s="21" t="s">
        <v>148</v>
      </c>
      <c r="B80" s="21" t="s">
        <v>625</v>
      </c>
      <c r="C80" s="27">
        <v>2.0000000000000002E-7</v>
      </c>
      <c r="D80" s="27">
        <v>2.0000000000000002E-7</v>
      </c>
      <c r="E80" s="27">
        <v>2.0000000000000002E-7</v>
      </c>
      <c r="F80" s="27">
        <v>2.0000000000000002E-7</v>
      </c>
      <c r="G80" s="27">
        <v>2.0000000000000002E-7</v>
      </c>
      <c r="H80" s="27">
        <v>2.0000000000000002E-7</v>
      </c>
      <c r="I80" s="30"/>
      <c r="J80" s="8"/>
      <c r="K80" s="8"/>
      <c r="L80" s="33"/>
      <c r="M80" s="33"/>
      <c r="N80" s="33"/>
      <c r="O80" s="8"/>
      <c r="P80" s="8"/>
    </row>
    <row r="81" spans="1:16" s="21" customFormat="1" x14ac:dyDescent="0.3">
      <c r="A81" s="21" t="s">
        <v>148</v>
      </c>
      <c r="B81" s="21" t="s">
        <v>626</v>
      </c>
      <c r="C81" s="27">
        <v>2.16E-3</v>
      </c>
      <c r="D81" s="27">
        <v>2.16E-3</v>
      </c>
      <c r="E81" s="27">
        <v>2.16E-3</v>
      </c>
      <c r="F81" s="27">
        <v>2.16E-3</v>
      </c>
      <c r="G81" s="27">
        <v>2.16E-3</v>
      </c>
      <c r="H81" s="27">
        <v>2.16E-3</v>
      </c>
      <c r="I81" s="30"/>
      <c r="J81" s="8"/>
      <c r="K81" s="8"/>
      <c r="L81" s="33"/>
      <c r="M81" s="33"/>
      <c r="N81" s="33"/>
      <c r="O81" s="8"/>
      <c r="P81" s="8"/>
    </row>
    <row r="82" spans="1:16" s="21" customFormat="1" x14ac:dyDescent="0.3">
      <c r="A82" s="21" t="s">
        <v>148</v>
      </c>
      <c r="B82" s="21" t="s">
        <v>581</v>
      </c>
      <c r="C82" s="27">
        <v>4.1999999999999998E-5</v>
      </c>
      <c r="D82" s="27">
        <v>4.1999999999999998E-5</v>
      </c>
      <c r="E82" s="27">
        <v>4.1999999999999998E-5</v>
      </c>
      <c r="F82" s="27">
        <v>4.1999999999999998E-5</v>
      </c>
      <c r="G82" s="27">
        <v>4.1999999999999998E-5</v>
      </c>
      <c r="H82" s="27">
        <v>4.1999999999999998E-5</v>
      </c>
      <c r="I82" s="30"/>
      <c r="J82" s="8"/>
      <c r="K82" s="8"/>
      <c r="L82" s="33"/>
      <c r="M82" s="33"/>
      <c r="N82" s="33"/>
      <c r="O82" s="8"/>
      <c r="P82" s="8"/>
    </row>
    <row r="83" spans="1:16" s="21" customFormat="1" x14ac:dyDescent="0.3">
      <c r="A83" s="21" t="s">
        <v>148</v>
      </c>
      <c r="B83" s="21" t="s">
        <v>583</v>
      </c>
      <c r="C83" s="27">
        <v>1.3000000000000001E-5</v>
      </c>
      <c r="D83" s="27">
        <v>1.3000000000000001E-5</v>
      </c>
      <c r="E83" s="27">
        <v>1.3000000000000001E-5</v>
      </c>
      <c r="F83" s="27">
        <v>1.3000000000000001E-5</v>
      </c>
      <c r="G83" s="27">
        <v>1.3000000000000001E-5</v>
      </c>
      <c r="H83" s="27">
        <v>1.3000000000000001E-5</v>
      </c>
      <c r="I83" s="30"/>
      <c r="J83" s="8"/>
      <c r="K83" s="8"/>
      <c r="L83" s="33"/>
      <c r="M83" s="33"/>
      <c r="N83" s="33"/>
      <c r="O83" s="8"/>
      <c r="P83" s="8"/>
    </row>
    <row r="84" spans="1:16" s="21" customFormat="1" x14ac:dyDescent="0.3">
      <c r="A84" s="21" t="s">
        <v>148</v>
      </c>
      <c r="B84" s="21" t="s">
        <v>582</v>
      </c>
      <c r="C84" s="27">
        <v>1.6000000000000003E-5</v>
      </c>
      <c r="D84" s="27">
        <v>1.6000000000000003E-5</v>
      </c>
      <c r="E84" s="27">
        <v>1.6000000000000003E-5</v>
      </c>
      <c r="F84" s="27">
        <v>1.6000000000000003E-5</v>
      </c>
      <c r="G84" s="27">
        <v>1.6000000000000003E-5</v>
      </c>
      <c r="H84" s="27">
        <v>1.6000000000000003E-5</v>
      </c>
      <c r="I84" s="30"/>
      <c r="J84" s="8"/>
      <c r="K84" s="8"/>
      <c r="L84" s="33"/>
      <c r="M84" s="33"/>
      <c r="N84" s="33"/>
      <c r="O84" s="8"/>
      <c r="P84" s="8"/>
    </row>
    <row r="85" spans="1:16" s="21" customFormat="1" x14ac:dyDescent="0.3">
      <c r="A85" s="21" t="s">
        <v>148</v>
      </c>
      <c r="B85" s="21" t="s">
        <v>629</v>
      </c>
      <c r="C85" s="27">
        <v>3.2000000000000002E-8</v>
      </c>
      <c r="D85" s="27">
        <v>3.2000000000000002E-8</v>
      </c>
      <c r="E85" s="27">
        <v>3.2000000000000002E-8</v>
      </c>
      <c r="F85" s="27">
        <v>3.2000000000000002E-8</v>
      </c>
      <c r="G85" s="27">
        <v>3.2000000000000002E-8</v>
      </c>
      <c r="H85" s="27">
        <v>3.2000000000000002E-8</v>
      </c>
      <c r="I85" s="30"/>
      <c r="J85" s="8"/>
      <c r="K85" s="8"/>
      <c r="L85" s="33"/>
      <c r="M85" s="33"/>
      <c r="N85" s="33"/>
      <c r="O85" s="8"/>
      <c r="P85" s="8"/>
    </row>
    <row r="86" spans="1:16" s="21" customFormat="1" x14ac:dyDescent="0.3">
      <c r="A86" s="21" t="s">
        <v>148</v>
      </c>
      <c r="B86" s="21" t="s">
        <v>627</v>
      </c>
      <c r="C86" s="27">
        <v>8.6999999999999997E-6</v>
      </c>
      <c r="D86" s="27">
        <v>8.6999999999999997E-6</v>
      </c>
      <c r="E86" s="27">
        <v>8.6999999999999997E-6</v>
      </c>
      <c r="F86" s="27">
        <v>8.6999999999999997E-6</v>
      </c>
      <c r="G86" s="27">
        <v>8.6999999999999997E-6</v>
      </c>
      <c r="H86" s="27">
        <v>8.6999999999999997E-6</v>
      </c>
      <c r="I86" s="30"/>
      <c r="J86" s="8"/>
      <c r="K86" s="8"/>
      <c r="L86" s="33"/>
      <c r="M86" s="33"/>
      <c r="N86" s="33"/>
      <c r="O86" s="8"/>
      <c r="P86" s="8"/>
    </row>
    <row r="87" spans="1:16" s="21" customFormat="1" x14ac:dyDescent="0.3">
      <c r="A87" s="21" t="s">
        <v>148</v>
      </c>
      <c r="B87" s="21" t="s">
        <v>628</v>
      </c>
      <c r="C87" s="27">
        <v>1.08E-5</v>
      </c>
      <c r="D87" s="27">
        <v>1.08E-5</v>
      </c>
      <c r="E87" s="27">
        <v>1.08E-5</v>
      </c>
      <c r="F87" s="27">
        <v>1.08E-5</v>
      </c>
      <c r="G87" s="27">
        <v>1.08E-5</v>
      </c>
      <c r="H87" s="27">
        <v>1.08E-5</v>
      </c>
      <c r="I87" s="30"/>
      <c r="J87" s="8"/>
      <c r="K87" s="8"/>
      <c r="L87" s="33"/>
      <c r="M87" s="33"/>
      <c r="N87" s="33"/>
      <c r="O87" s="8"/>
      <c r="P87" s="8"/>
    </row>
    <row r="88" spans="1:16" s="21" customFormat="1" x14ac:dyDescent="0.3">
      <c r="A88" s="21" t="s">
        <v>149</v>
      </c>
      <c r="B88" s="21" t="s">
        <v>58</v>
      </c>
      <c r="C88" s="7">
        <v>2.915195448533793</v>
      </c>
      <c r="D88" s="7">
        <v>3.2299158780310151</v>
      </c>
      <c r="E88" s="7">
        <v>1.4585926343621791</v>
      </c>
      <c r="F88" s="7">
        <v>0.708341892150957</v>
      </c>
      <c r="G88" s="7">
        <v>8.3455151885463486E-2</v>
      </c>
      <c r="H88" s="7">
        <v>8.3454099761872666E-2</v>
      </c>
      <c r="I88" s="30"/>
      <c r="J88" s="8"/>
      <c r="K88" s="8"/>
      <c r="L88" s="33"/>
      <c r="M88" s="33"/>
      <c r="N88" s="33"/>
      <c r="O88" s="8"/>
      <c r="P88" s="8"/>
    </row>
    <row r="89" spans="1:16" s="21" customFormat="1" x14ac:dyDescent="0.3">
      <c r="A89" s="21" t="s">
        <v>149</v>
      </c>
      <c r="B89" s="21" t="s">
        <v>61</v>
      </c>
      <c r="C89" s="7">
        <v>0.10489381378097931</v>
      </c>
      <c r="D89" s="7">
        <v>0.10489381378097931</v>
      </c>
      <c r="E89" s="7">
        <v>2.6143425239245593E-2</v>
      </c>
      <c r="F89" s="7">
        <v>1.821059018432937E-2</v>
      </c>
      <c r="G89" s="7">
        <v>6.1620141012972453E-3</v>
      </c>
      <c r="H89" s="7">
        <v>4.7581662322556638E-3</v>
      </c>
      <c r="I89" s="30"/>
      <c r="J89" s="8"/>
      <c r="K89" s="8"/>
      <c r="L89" s="33"/>
      <c r="M89" s="33"/>
      <c r="N89" s="33"/>
      <c r="O89" s="8"/>
      <c r="P89" s="8"/>
    </row>
    <row r="90" spans="1:16" s="21" customFormat="1" x14ac:dyDescent="0.3">
      <c r="A90" s="21" t="s">
        <v>149</v>
      </c>
      <c r="B90" s="21" t="s">
        <v>667</v>
      </c>
      <c r="C90" s="7">
        <v>1.0838177419178909</v>
      </c>
      <c r="D90" s="7">
        <v>0.64320914062177992</v>
      </c>
      <c r="E90" s="7">
        <v>0.48292296293835996</v>
      </c>
      <c r="F90" s="7">
        <v>5.3220185225018736E-2</v>
      </c>
      <c r="G90" s="7">
        <v>1.3588965977336222E-2</v>
      </c>
      <c r="H90" s="7">
        <v>1.3583175766044535E-2</v>
      </c>
      <c r="I90" s="30"/>
      <c r="J90" s="8"/>
      <c r="K90" s="8"/>
      <c r="L90" s="33"/>
      <c r="M90" s="33"/>
      <c r="N90" s="33"/>
      <c r="O90" s="8"/>
      <c r="P90" s="8"/>
    </row>
    <row r="91" spans="1:16" s="21" customFormat="1" x14ac:dyDescent="0.3">
      <c r="A91" s="21" t="s">
        <v>149</v>
      </c>
      <c r="B91" s="21" t="s">
        <v>63</v>
      </c>
      <c r="C91" s="7">
        <v>8.0330641182335405E-3</v>
      </c>
      <c r="D91" s="7">
        <v>3.1374129927211969E-3</v>
      </c>
      <c r="E91" s="7">
        <v>1.0638578146824082E-2</v>
      </c>
      <c r="F91" s="7">
        <v>4.9486252530670048E-3</v>
      </c>
      <c r="G91" s="7">
        <v>1.4133139635978708E-3</v>
      </c>
      <c r="H91" s="7">
        <v>1.4132961458726764E-3</v>
      </c>
      <c r="I91" s="30"/>
      <c r="J91" s="8"/>
      <c r="K91" s="8"/>
      <c r="L91" s="33"/>
      <c r="M91" s="33"/>
      <c r="N91" s="33"/>
      <c r="O91" s="8"/>
      <c r="P91" s="8"/>
    </row>
    <row r="92" spans="1:16" s="21" customFormat="1" x14ac:dyDescent="0.3">
      <c r="A92" s="21" t="s">
        <v>149</v>
      </c>
      <c r="B92" s="21" t="s">
        <v>57</v>
      </c>
      <c r="C92" s="7">
        <v>2.7569509623956653E-2</v>
      </c>
      <c r="D92" s="7">
        <v>2.7569509623956653E-2</v>
      </c>
      <c r="E92" s="7">
        <v>1.0971033713912328E-2</v>
      </c>
      <c r="F92" s="7">
        <v>5.542460283435046E-2</v>
      </c>
      <c r="G92" s="7">
        <v>1.8797075715851683E-2</v>
      </c>
      <c r="H92" s="7">
        <v>1.0741050708632342E-2</v>
      </c>
      <c r="I92" s="30"/>
      <c r="J92" s="8"/>
      <c r="K92" s="8"/>
      <c r="L92" s="33"/>
      <c r="M92" s="33"/>
      <c r="N92" s="33"/>
      <c r="O92" s="8"/>
      <c r="P92" s="8"/>
    </row>
    <row r="93" spans="1:16" s="21" customFormat="1" x14ac:dyDescent="0.3">
      <c r="A93" s="21" t="s">
        <v>149</v>
      </c>
      <c r="B93" s="21" t="s">
        <v>60</v>
      </c>
      <c r="C93" s="7">
        <v>1.3987574644320985E-3</v>
      </c>
      <c r="D93" s="7">
        <v>1.3987574644320985E-3</v>
      </c>
      <c r="E93" s="7">
        <v>1.7730963578040135E-3</v>
      </c>
      <c r="F93" s="7">
        <v>1.9794501012268019E-3</v>
      </c>
      <c r="G93" s="7">
        <v>5.6532558543914832E-4</v>
      </c>
      <c r="H93" s="7">
        <v>5.653184583490706E-4</v>
      </c>
      <c r="I93" s="30"/>
      <c r="J93" s="8"/>
      <c r="K93" s="8"/>
      <c r="L93" s="33"/>
      <c r="M93" s="33"/>
      <c r="N93" s="33"/>
      <c r="O93" s="8"/>
      <c r="P93" s="8"/>
    </row>
    <row r="94" spans="1:16" x14ac:dyDescent="0.3">
      <c r="A94" s="21" t="s">
        <v>149</v>
      </c>
      <c r="B94" s="21" t="s">
        <v>59</v>
      </c>
      <c r="C94" s="7">
        <v>1.3987574644320985E-3</v>
      </c>
      <c r="D94" s="7">
        <v>1.3987574644320985E-3</v>
      </c>
      <c r="E94" s="7">
        <v>1.7730963578040135E-3</v>
      </c>
      <c r="F94" s="7">
        <v>1.9794501012268019E-3</v>
      </c>
      <c r="G94" s="7">
        <v>5.6532558543914832E-4</v>
      </c>
      <c r="H94" s="7">
        <v>5.653184583490706E-4</v>
      </c>
      <c r="I94" s="8"/>
      <c r="J94" s="8"/>
      <c r="K94" s="8"/>
      <c r="L94" s="8"/>
      <c r="M94" s="8"/>
      <c r="N94" s="8"/>
      <c r="O94" s="8"/>
      <c r="P94" s="8"/>
    </row>
    <row r="95" spans="1:16" s="21" customFormat="1" x14ac:dyDescent="0.3">
      <c r="A95" s="21" t="s">
        <v>149</v>
      </c>
      <c r="B95" s="21" t="s">
        <v>659</v>
      </c>
      <c r="C95" s="7">
        <v>0.49031914644365387</v>
      </c>
      <c r="D95" s="7">
        <v>0.29098781521729328</v>
      </c>
      <c r="E95" s="7">
        <v>0.21847434843331406</v>
      </c>
      <c r="F95" s="7">
        <v>2.4076811795798476E-2</v>
      </c>
      <c r="G95" s="7">
        <v>6.1476482081469072E-3</v>
      </c>
      <c r="H95" s="7">
        <v>6.145028716558548E-3</v>
      </c>
      <c r="I95" s="8"/>
      <c r="J95" s="8"/>
      <c r="K95" s="8"/>
      <c r="L95" s="8"/>
      <c r="M95" s="8"/>
      <c r="N95" s="8"/>
      <c r="O95" s="8"/>
      <c r="P95" s="8"/>
    </row>
    <row r="96" spans="1:16" s="21" customFormat="1" x14ac:dyDescent="0.3">
      <c r="A96" s="21" t="s">
        <v>149</v>
      </c>
      <c r="B96" s="21" t="s">
        <v>603</v>
      </c>
      <c r="C96" s="7">
        <v>3.457378596718072E-2</v>
      </c>
      <c r="D96" s="7">
        <v>2.0518371585834777E-2</v>
      </c>
      <c r="E96" s="7">
        <v>1.5405242517733682E-2</v>
      </c>
      <c r="F96" s="7">
        <v>1.6977239086780976E-3</v>
      </c>
      <c r="G96" s="7">
        <v>4.3348801467702543E-4</v>
      </c>
      <c r="H96" s="7">
        <v>4.3330330693682064E-4</v>
      </c>
      <c r="I96" s="8"/>
      <c r="J96" s="8"/>
      <c r="K96" s="8"/>
      <c r="L96" s="8"/>
      <c r="M96" s="8"/>
      <c r="N96" s="8"/>
      <c r="O96" s="8"/>
      <c r="P96" s="8"/>
    </row>
    <row r="97" spans="1:16" s="21" customFormat="1" x14ac:dyDescent="0.3">
      <c r="A97" s="21" t="s">
        <v>149</v>
      </c>
      <c r="B97" s="21" t="s">
        <v>604</v>
      </c>
      <c r="C97" s="7">
        <v>7.0448153224662909E-3</v>
      </c>
      <c r="D97" s="7">
        <v>4.1808594140415696E-3</v>
      </c>
      <c r="E97" s="7">
        <v>3.1389992590993396E-3</v>
      </c>
      <c r="F97" s="7">
        <v>3.4593120396262175E-4</v>
      </c>
      <c r="G97" s="7">
        <v>8.8328278852685434E-5</v>
      </c>
      <c r="H97" s="7">
        <v>8.8290642479289466E-5</v>
      </c>
      <c r="I97" s="8"/>
      <c r="J97" s="8"/>
      <c r="K97" s="8"/>
      <c r="L97" s="8"/>
      <c r="M97" s="8"/>
      <c r="N97" s="8"/>
      <c r="O97" s="8"/>
      <c r="P97" s="8"/>
    </row>
    <row r="98" spans="1:16" s="21" customFormat="1" x14ac:dyDescent="0.3">
      <c r="A98" s="21" t="s">
        <v>149</v>
      </c>
      <c r="B98" s="21" t="s">
        <v>605</v>
      </c>
      <c r="C98" s="7">
        <v>5.6792049676497487E-2</v>
      </c>
      <c r="D98" s="7">
        <v>3.3704158968581269E-2</v>
      </c>
      <c r="E98" s="7">
        <v>2.5305163257970064E-2</v>
      </c>
      <c r="F98" s="7">
        <v>2.788737705790982E-3</v>
      </c>
      <c r="G98" s="7">
        <v>7.1206181721241801E-4</v>
      </c>
      <c r="H98" s="7">
        <v>7.117584101407336E-4</v>
      </c>
      <c r="I98" s="8"/>
      <c r="J98" s="8"/>
      <c r="K98" s="8"/>
      <c r="L98" s="8"/>
      <c r="M98" s="8"/>
      <c r="N98" s="8"/>
      <c r="O98" s="8"/>
      <c r="P98" s="8"/>
    </row>
    <row r="99" spans="1:16" s="21" customFormat="1" x14ac:dyDescent="0.3">
      <c r="A99" s="21" t="s">
        <v>149</v>
      </c>
      <c r="B99" s="21" t="s">
        <v>606</v>
      </c>
      <c r="C99" s="7">
        <v>2.3302081451234653E-2</v>
      </c>
      <c r="D99" s="7">
        <v>1.3828996523368267E-2</v>
      </c>
      <c r="E99" s="7">
        <v>1.0382843703174738E-2</v>
      </c>
      <c r="F99" s="7">
        <v>1.1442339823379028E-3</v>
      </c>
      <c r="G99" s="7">
        <v>2.9216276851272877E-4</v>
      </c>
      <c r="H99" s="7">
        <v>2.9203827896995748E-4</v>
      </c>
      <c r="I99" s="8"/>
      <c r="J99" s="8"/>
      <c r="K99" s="8"/>
      <c r="L99" s="8"/>
      <c r="M99" s="8"/>
      <c r="N99" s="8"/>
      <c r="O99" s="8"/>
      <c r="P99" s="8"/>
    </row>
    <row r="100" spans="1:16" s="21" customFormat="1" x14ac:dyDescent="0.3">
      <c r="A100" s="21" t="s">
        <v>149</v>
      </c>
      <c r="B100" s="21" t="s">
        <v>607</v>
      </c>
      <c r="C100" s="7">
        <v>1.7449465644878044E-2</v>
      </c>
      <c r="D100" s="7">
        <v>1.0355667164010656E-2</v>
      </c>
      <c r="E100" s="7">
        <v>7.7750597033075953E-3</v>
      </c>
      <c r="F100" s="7">
        <v>8.5684498212280165E-4</v>
      </c>
      <c r="G100" s="7">
        <v>2.1878235223511317E-4</v>
      </c>
      <c r="H100" s="7">
        <v>2.18689129833317E-4</v>
      </c>
      <c r="I100" s="8"/>
      <c r="J100" s="8"/>
      <c r="K100" s="8"/>
      <c r="L100" s="8"/>
      <c r="M100" s="8"/>
      <c r="N100" s="8"/>
      <c r="O100" s="8"/>
      <c r="P100" s="8"/>
    </row>
    <row r="101" spans="1:16" s="21" customFormat="1" x14ac:dyDescent="0.3">
      <c r="A101" s="21" t="s">
        <v>149</v>
      </c>
      <c r="B101" s="21" t="s">
        <v>608</v>
      </c>
      <c r="C101" s="7">
        <v>1.2355522257863957E-2</v>
      </c>
      <c r="D101" s="7">
        <v>7.3325842030882915E-3</v>
      </c>
      <c r="E101" s="7">
        <v>5.505321777497304E-3</v>
      </c>
      <c r="F101" s="7">
        <v>6.0671011156521366E-4</v>
      </c>
      <c r="G101" s="7">
        <v>1.5491421214163293E-4</v>
      </c>
      <c r="H101" s="7">
        <v>1.5484820373290771E-4</v>
      </c>
      <c r="I101" s="8"/>
      <c r="J101" s="8"/>
      <c r="K101" s="8"/>
      <c r="L101" s="8"/>
      <c r="M101" s="8"/>
      <c r="N101" s="8"/>
      <c r="O101" s="8"/>
      <c r="P101" s="8"/>
    </row>
    <row r="102" spans="1:16" s="21" customFormat="1" x14ac:dyDescent="0.3">
      <c r="A102" s="21" t="s">
        <v>149</v>
      </c>
      <c r="B102" s="21" t="s">
        <v>609</v>
      </c>
      <c r="C102" s="7">
        <v>8.0202512901923935E-3</v>
      </c>
      <c r="D102" s="7">
        <v>4.7597476406011719E-3</v>
      </c>
      <c r="E102" s="7">
        <v>3.573629925743864E-3</v>
      </c>
      <c r="F102" s="7">
        <v>3.9382937066513866E-4</v>
      </c>
      <c r="G102" s="7">
        <v>1.0055834823228805E-4</v>
      </c>
      <c r="H102" s="7">
        <v>1.0051550066872956E-4</v>
      </c>
      <c r="I102" s="8"/>
      <c r="J102" s="8"/>
      <c r="K102" s="8"/>
      <c r="L102" s="8"/>
      <c r="M102" s="8"/>
      <c r="N102" s="8"/>
      <c r="O102" s="8"/>
      <c r="P102" s="8"/>
    </row>
    <row r="103" spans="1:16" s="21" customFormat="1" x14ac:dyDescent="0.3">
      <c r="A103" s="21" t="s">
        <v>149</v>
      </c>
      <c r="B103" s="21" t="s">
        <v>610</v>
      </c>
      <c r="C103" s="7">
        <v>7.9118695160006039E-2</v>
      </c>
      <c r="D103" s="7">
        <v>4.6954267265389933E-2</v>
      </c>
      <c r="E103" s="7">
        <v>3.5253376294500274E-2</v>
      </c>
      <c r="F103" s="7">
        <v>3.8850735214263675E-3</v>
      </c>
      <c r="G103" s="7">
        <v>9.9199451634554418E-4</v>
      </c>
      <c r="H103" s="7">
        <v>9.9157183092125098E-4</v>
      </c>
      <c r="I103" s="8"/>
      <c r="J103" s="8"/>
      <c r="K103" s="8"/>
      <c r="L103" s="8"/>
      <c r="M103" s="8"/>
      <c r="N103" s="8"/>
      <c r="O103" s="8"/>
      <c r="P103" s="8"/>
    </row>
    <row r="104" spans="1:16" s="21" customFormat="1" x14ac:dyDescent="0.3">
      <c r="A104" s="21" t="s">
        <v>149</v>
      </c>
      <c r="B104" s="21" t="s">
        <v>611</v>
      </c>
      <c r="C104" s="7">
        <v>4.1401837741263429E-2</v>
      </c>
      <c r="D104" s="7">
        <v>2.4570589171751991E-2</v>
      </c>
      <c r="E104" s="7">
        <v>1.8447657184245351E-2</v>
      </c>
      <c r="F104" s="7">
        <v>2.0330110755957154E-3</v>
      </c>
      <c r="G104" s="7">
        <v>5.1909850033424361E-4</v>
      </c>
      <c r="H104" s="7">
        <v>5.1887731426290124E-4</v>
      </c>
      <c r="I104" s="8"/>
      <c r="J104" s="8"/>
      <c r="K104" s="8"/>
      <c r="L104" s="8"/>
      <c r="M104" s="8"/>
      <c r="N104" s="8"/>
      <c r="O104" s="8"/>
      <c r="P104" s="8"/>
    </row>
    <row r="105" spans="1:16" x14ac:dyDescent="0.3">
      <c r="A105" s="21" t="s">
        <v>149</v>
      </c>
      <c r="B105" s="21" t="s">
        <v>612</v>
      </c>
      <c r="C105" s="7">
        <v>1.1921995161096801E-3</v>
      </c>
      <c r="D105" s="7">
        <v>7.0753005468395793E-4</v>
      </c>
      <c r="E105" s="7">
        <v>5.3121525923219596E-4</v>
      </c>
      <c r="F105" s="7">
        <v>5.8542203747520615E-5</v>
      </c>
      <c r="G105" s="7">
        <v>1.4947862575069845E-5</v>
      </c>
      <c r="H105" s="7">
        <v>1.494149334264899E-5</v>
      </c>
      <c r="I105" s="8"/>
      <c r="J105" s="8"/>
      <c r="K105" s="8"/>
      <c r="L105" s="8"/>
      <c r="M105" s="8"/>
      <c r="N105" s="8"/>
      <c r="O105" s="8"/>
      <c r="P105" s="8"/>
    </row>
    <row r="106" spans="1:16" x14ac:dyDescent="0.3">
      <c r="A106" s="21" t="s">
        <v>149</v>
      </c>
      <c r="B106" s="21" t="s">
        <v>56</v>
      </c>
      <c r="C106" s="7">
        <v>6.0802175321593675E-2</v>
      </c>
      <c r="D106" s="7">
        <v>3.6084032788881851E-2</v>
      </c>
      <c r="E106" s="7">
        <v>2.7091978220841993E-2</v>
      </c>
      <c r="F106" s="7">
        <v>2.9856523911235507E-3</v>
      </c>
      <c r="G106" s="7">
        <v>7.6234099132856201E-4</v>
      </c>
      <c r="H106" s="7">
        <v>7.620161604750984E-4</v>
      </c>
      <c r="I106" s="8"/>
      <c r="J106" s="8"/>
      <c r="K106" s="8"/>
      <c r="L106" s="8"/>
      <c r="M106" s="8"/>
      <c r="N106" s="8"/>
      <c r="O106" s="8"/>
      <c r="P106" s="8"/>
    </row>
    <row r="107" spans="1:16" x14ac:dyDescent="0.3">
      <c r="A107" s="21" t="s">
        <v>149</v>
      </c>
      <c r="B107" s="21" t="s">
        <v>613</v>
      </c>
      <c r="C107" s="7">
        <v>0.11900318806258442</v>
      </c>
      <c r="D107" s="7">
        <v>7.0624363640271429E-2</v>
      </c>
      <c r="E107" s="7">
        <v>5.3024941330631924E-2</v>
      </c>
      <c r="F107" s="7">
        <v>5.8435763377070573E-3</v>
      </c>
      <c r="G107" s="7">
        <v>1.492068464311517E-3</v>
      </c>
      <c r="H107" s="7">
        <v>1.4914326991116898E-3</v>
      </c>
      <c r="I107" s="8"/>
      <c r="J107" s="8"/>
      <c r="K107" s="8"/>
      <c r="L107" s="8"/>
      <c r="M107" s="8"/>
      <c r="N107" s="8"/>
      <c r="O107" s="8"/>
      <c r="P107" s="8"/>
    </row>
    <row r="108" spans="1:16" x14ac:dyDescent="0.3">
      <c r="A108" s="21" t="s">
        <v>149</v>
      </c>
      <c r="B108" s="21" t="s">
        <v>614</v>
      </c>
      <c r="C108" s="7">
        <v>5.8851303386141481E-2</v>
      </c>
      <c r="D108" s="7">
        <v>3.492625633576265E-2</v>
      </c>
      <c r="E108" s="7">
        <v>2.6222716887552944E-2</v>
      </c>
      <c r="F108" s="7">
        <v>2.8898560577185176E-3</v>
      </c>
      <c r="G108" s="7">
        <v>7.3788085256935691E-4</v>
      </c>
      <c r="H108" s="7">
        <v>7.3756644409621829E-4</v>
      </c>
      <c r="I108" s="29"/>
      <c r="J108" s="8"/>
      <c r="K108" s="8"/>
      <c r="L108" s="29"/>
      <c r="M108" s="29"/>
      <c r="N108" s="29"/>
      <c r="O108" s="8"/>
      <c r="P108" s="8"/>
    </row>
    <row r="109" spans="1:16" x14ac:dyDescent="0.3">
      <c r="A109" s="21" t="s">
        <v>149</v>
      </c>
      <c r="B109" s="21" t="s">
        <v>615</v>
      </c>
      <c r="C109" s="7">
        <v>2.4494280967344333E-2</v>
      </c>
      <c r="D109" s="7">
        <v>1.4536526578052225E-2</v>
      </c>
      <c r="E109" s="7">
        <v>1.0914058962406934E-2</v>
      </c>
      <c r="F109" s="7">
        <v>1.2027761860854233E-3</v>
      </c>
      <c r="G109" s="7">
        <v>3.0711063108779859E-4</v>
      </c>
      <c r="H109" s="7">
        <v>3.0697977231260648E-4</v>
      </c>
      <c r="I109" s="29"/>
      <c r="J109" s="8"/>
      <c r="K109" s="8"/>
      <c r="L109" s="29"/>
      <c r="M109" s="29"/>
      <c r="N109" s="29"/>
      <c r="O109" s="8"/>
      <c r="P109" s="8"/>
    </row>
    <row r="110" spans="1:16" x14ac:dyDescent="0.3">
      <c r="A110" s="21" t="s">
        <v>149</v>
      </c>
      <c r="B110" s="21" t="s">
        <v>616</v>
      </c>
      <c r="C110" s="7">
        <v>1.8424901612604148E-2</v>
      </c>
      <c r="D110" s="7">
        <v>1.0934555390570259E-2</v>
      </c>
      <c r="E110" s="7">
        <v>8.2096903699521197E-3</v>
      </c>
      <c r="F110" s="7">
        <v>9.0474314882531856E-4</v>
      </c>
      <c r="G110" s="7">
        <v>2.310124216147158E-4</v>
      </c>
      <c r="H110" s="7">
        <v>2.309139880227571E-4</v>
      </c>
      <c r="I110" s="29"/>
      <c r="J110" s="8"/>
      <c r="K110" s="8"/>
      <c r="L110" s="29"/>
      <c r="M110" s="29"/>
      <c r="N110" s="29"/>
      <c r="O110" s="8"/>
      <c r="P110" s="8"/>
    </row>
    <row r="111" spans="1:16" x14ac:dyDescent="0.3">
      <c r="A111" s="21" t="s">
        <v>149</v>
      </c>
      <c r="B111" s="21" t="s">
        <v>617</v>
      </c>
      <c r="C111" s="7">
        <v>8.1286330643841817E-3</v>
      </c>
      <c r="D111" s="7">
        <v>4.824068554663349E-3</v>
      </c>
      <c r="E111" s="7">
        <v>3.6219222220376995E-3</v>
      </c>
      <c r="F111" s="7">
        <v>3.9915138918764049E-4</v>
      </c>
      <c r="G111" s="7">
        <v>1.0191724483002166E-4</v>
      </c>
      <c r="H111" s="7">
        <v>1.01873818245334E-4</v>
      </c>
      <c r="I111" s="29"/>
      <c r="J111" s="8"/>
      <c r="K111" s="8"/>
      <c r="L111" s="29"/>
      <c r="M111" s="29"/>
      <c r="N111" s="29"/>
      <c r="O111" s="8"/>
      <c r="P111" s="8"/>
    </row>
    <row r="112" spans="1:16" x14ac:dyDescent="0.3">
      <c r="A112" s="21" t="s">
        <v>149</v>
      </c>
      <c r="B112" s="21" t="s">
        <v>618</v>
      </c>
      <c r="C112" s="7">
        <v>2.3843990322193601E-3</v>
      </c>
      <c r="D112" s="7">
        <v>1.4150601093679159E-3</v>
      </c>
      <c r="E112" s="7">
        <v>1.0624305184643919E-3</v>
      </c>
      <c r="F112" s="7">
        <v>1.1708440749504123E-4</v>
      </c>
      <c r="G112" s="7">
        <v>2.9895725150139691E-5</v>
      </c>
      <c r="H112" s="7">
        <v>2.9882986685297979E-5</v>
      </c>
      <c r="I112" s="8"/>
      <c r="J112" s="8"/>
      <c r="K112" s="8"/>
      <c r="L112" s="8"/>
      <c r="M112" s="8"/>
      <c r="N112" s="8"/>
      <c r="O112" s="8"/>
      <c r="P112" s="8"/>
    </row>
    <row r="113" spans="1:16" x14ac:dyDescent="0.3">
      <c r="A113" s="21" t="s">
        <v>149</v>
      </c>
      <c r="B113" s="21" t="s">
        <v>619</v>
      </c>
      <c r="C113" s="7">
        <v>6.6112882256991355E-3</v>
      </c>
      <c r="D113" s="7">
        <v>3.9235757577928574E-3</v>
      </c>
      <c r="E113" s="7">
        <v>2.9458300739239958E-3</v>
      </c>
      <c r="F113" s="7">
        <v>3.2464312987261429E-4</v>
      </c>
      <c r="G113" s="7">
        <v>8.2892692461750963E-5</v>
      </c>
      <c r="H113" s="7">
        <v>8.285737217287166E-5</v>
      </c>
      <c r="I113" s="8"/>
      <c r="J113" s="8"/>
      <c r="K113" s="8"/>
      <c r="L113" s="8"/>
      <c r="M113" s="8"/>
      <c r="N113" s="8"/>
      <c r="O113" s="8"/>
      <c r="P113" s="8"/>
    </row>
    <row r="114" spans="1:16" x14ac:dyDescent="0.3">
      <c r="A114" s="21" t="s">
        <v>149</v>
      </c>
      <c r="B114" s="21" t="s">
        <v>660</v>
      </c>
      <c r="C114" s="7">
        <v>5.419088709589455E-4</v>
      </c>
      <c r="D114" s="7">
        <v>3.2160457031088995E-4</v>
      </c>
      <c r="E114" s="7">
        <v>2.4146148146917998E-4</v>
      </c>
      <c r="F114" s="7">
        <v>2.6610092612509368E-5</v>
      </c>
      <c r="G114" s="7">
        <v>6.7944829886681113E-6</v>
      </c>
      <c r="H114" s="7">
        <v>6.7915878830222673E-6</v>
      </c>
      <c r="I114" s="8"/>
      <c r="J114" s="8"/>
      <c r="K114" s="8"/>
      <c r="L114" s="8"/>
      <c r="M114" s="8"/>
      <c r="N114" s="8"/>
      <c r="O114" s="8"/>
      <c r="P114" s="8"/>
    </row>
    <row r="115" spans="1:16" x14ac:dyDescent="0.3">
      <c r="A115" s="21" t="s">
        <v>149</v>
      </c>
      <c r="B115" s="21" t="s">
        <v>620</v>
      </c>
      <c r="C115" s="7">
        <v>2.0592537096439929E-3</v>
      </c>
      <c r="D115" s="7">
        <v>1.2220973671813818E-3</v>
      </c>
      <c r="E115" s="7">
        <v>9.1755362958288386E-4</v>
      </c>
      <c r="F115" s="7">
        <v>1.0111835192753559E-4</v>
      </c>
      <c r="G115" s="7">
        <v>2.581903535693882E-5</v>
      </c>
      <c r="H115" s="7">
        <v>2.5808033955484614E-5</v>
      </c>
      <c r="I115" s="28"/>
      <c r="J115" s="8"/>
      <c r="K115" s="8"/>
      <c r="L115" s="29"/>
      <c r="M115" s="29"/>
      <c r="N115" s="8"/>
      <c r="O115" s="8"/>
      <c r="P115" s="8"/>
    </row>
    <row r="116" spans="1:16" x14ac:dyDescent="0.3">
      <c r="A116" s="21" t="s">
        <v>149</v>
      </c>
      <c r="B116" s="21" t="s">
        <v>621</v>
      </c>
      <c r="C116" s="7">
        <v>1.0946559193370698E-2</v>
      </c>
      <c r="D116" s="7">
        <v>6.496412320279977E-3</v>
      </c>
      <c r="E116" s="7">
        <v>4.877521925677435E-3</v>
      </c>
      <c r="F116" s="7">
        <v>5.3752387077268923E-4</v>
      </c>
      <c r="G116" s="7">
        <v>1.3724855637109584E-4</v>
      </c>
      <c r="H116" s="7">
        <v>1.3719007523704981E-4</v>
      </c>
      <c r="I116" s="5"/>
      <c r="L116" s="6"/>
      <c r="M116" s="6"/>
    </row>
    <row r="117" spans="1:16" x14ac:dyDescent="0.3">
      <c r="A117" s="21" t="s">
        <v>149</v>
      </c>
      <c r="B117" s="21" t="s">
        <v>623</v>
      </c>
      <c r="C117" s="27">
        <v>3.4799999999999999E-5</v>
      </c>
      <c r="D117" s="27">
        <v>3.4799999999999999E-5</v>
      </c>
      <c r="E117" s="27">
        <v>3.4799999999999999E-5</v>
      </c>
      <c r="F117" s="27">
        <v>3.4799999999999999E-5</v>
      </c>
      <c r="G117" s="27">
        <v>3.4799999999999999E-5</v>
      </c>
      <c r="H117" s="27">
        <v>3.4799999999999999E-5</v>
      </c>
      <c r="I117" s="5"/>
      <c r="L117" s="6"/>
      <c r="M117" s="6"/>
    </row>
    <row r="118" spans="1:16" x14ac:dyDescent="0.3">
      <c r="A118" s="21" t="s">
        <v>149</v>
      </c>
      <c r="B118" s="21" t="s">
        <v>624</v>
      </c>
      <c r="C118" s="27">
        <v>2.9999999999999999E-7</v>
      </c>
      <c r="D118" s="27">
        <v>2.9999999999999999E-7</v>
      </c>
      <c r="E118" s="27">
        <v>2.9999999999999999E-7</v>
      </c>
      <c r="F118" s="27">
        <v>2.9999999999999999E-7</v>
      </c>
      <c r="G118" s="27">
        <v>2.9999999999999999E-7</v>
      </c>
      <c r="H118" s="27">
        <v>2.9999999999999999E-7</v>
      </c>
      <c r="I118" s="4"/>
      <c r="L118" s="6"/>
      <c r="M118" s="6"/>
    </row>
    <row r="119" spans="1:16" x14ac:dyDescent="0.3">
      <c r="A119" s="21" t="s">
        <v>149</v>
      </c>
      <c r="B119" s="21" t="s">
        <v>625</v>
      </c>
      <c r="C119" s="27">
        <v>2.0000000000000002E-7</v>
      </c>
      <c r="D119" s="27">
        <v>2.0000000000000002E-7</v>
      </c>
      <c r="E119" s="27">
        <v>2.0000000000000002E-7</v>
      </c>
      <c r="F119" s="27">
        <v>2.0000000000000002E-7</v>
      </c>
      <c r="G119" s="27">
        <v>2.0000000000000002E-7</v>
      </c>
      <c r="H119" s="27">
        <v>2.0000000000000002E-7</v>
      </c>
    </row>
    <row r="120" spans="1:16" x14ac:dyDescent="0.3">
      <c r="A120" s="21" t="s">
        <v>149</v>
      </c>
      <c r="B120" s="21" t="s">
        <v>626</v>
      </c>
      <c r="C120" s="27">
        <v>2.16E-3</v>
      </c>
      <c r="D120" s="27">
        <v>2.16E-3</v>
      </c>
      <c r="E120" s="27">
        <v>2.16E-3</v>
      </c>
      <c r="F120" s="27">
        <v>2.16E-3</v>
      </c>
      <c r="G120" s="27">
        <v>2.16E-3</v>
      </c>
      <c r="H120" s="27">
        <v>2.16E-3</v>
      </c>
    </row>
    <row r="121" spans="1:16" x14ac:dyDescent="0.3">
      <c r="A121" s="21" t="s">
        <v>149</v>
      </c>
      <c r="B121" s="21" t="s">
        <v>581</v>
      </c>
      <c r="C121" s="27">
        <v>4.1999999999999998E-5</v>
      </c>
      <c r="D121" s="27">
        <v>4.1999999999999998E-5</v>
      </c>
      <c r="E121" s="27">
        <v>4.1999999999999998E-5</v>
      </c>
      <c r="F121" s="27">
        <v>4.1999999999999998E-5</v>
      </c>
      <c r="G121" s="27">
        <v>4.1999999999999998E-5</v>
      </c>
      <c r="H121" s="27">
        <v>4.1999999999999998E-5</v>
      </c>
    </row>
    <row r="122" spans="1:16" x14ac:dyDescent="0.3">
      <c r="A122" s="21" t="s">
        <v>149</v>
      </c>
      <c r="B122" s="21" t="s">
        <v>583</v>
      </c>
      <c r="C122" s="27">
        <v>1.3000000000000001E-5</v>
      </c>
      <c r="D122" s="27">
        <v>1.3000000000000001E-5</v>
      </c>
      <c r="E122" s="27">
        <v>1.3000000000000001E-5</v>
      </c>
      <c r="F122" s="27">
        <v>1.3000000000000001E-5</v>
      </c>
      <c r="G122" s="27">
        <v>1.3000000000000001E-5</v>
      </c>
      <c r="H122" s="27">
        <v>1.3000000000000001E-5</v>
      </c>
      <c r="I122" s="5"/>
      <c r="L122" s="6"/>
      <c r="M122" s="6"/>
    </row>
    <row r="123" spans="1:16" x14ac:dyDescent="0.3">
      <c r="A123" s="21" t="s">
        <v>149</v>
      </c>
      <c r="B123" s="21" t="s">
        <v>582</v>
      </c>
      <c r="C123" s="27">
        <v>1.6000000000000003E-5</v>
      </c>
      <c r="D123" s="27">
        <v>1.6000000000000003E-5</v>
      </c>
      <c r="E123" s="27">
        <v>1.6000000000000003E-5</v>
      </c>
      <c r="F123" s="27">
        <v>1.6000000000000003E-5</v>
      </c>
      <c r="G123" s="27">
        <v>1.6000000000000003E-5</v>
      </c>
      <c r="H123" s="27">
        <v>1.6000000000000003E-5</v>
      </c>
      <c r="I123" s="5"/>
      <c r="L123" s="6"/>
      <c r="M123" s="6"/>
    </row>
    <row r="124" spans="1:16" x14ac:dyDescent="0.3">
      <c r="A124" s="21" t="s">
        <v>149</v>
      </c>
      <c r="B124" s="21" t="s">
        <v>629</v>
      </c>
      <c r="C124" s="27">
        <v>3.2000000000000002E-8</v>
      </c>
      <c r="D124" s="27">
        <v>3.2000000000000002E-8</v>
      </c>
      <c r="E124" s="27">
        <v>3.2000000000000002E-8</v>
      </c>
      <c r="F124" s="27">
        <v>3.2000000000000002E-8</v>
      </c>
      <c r="G124" s="27">
        <v>3.2000000000000002E-8</v>
      </c>
      <c r="H124" s="27">
        <v>3.2000000000000002E-8</v>
      </c>
      <c r="I124" s="5"/>
      <c r="L124" s="6"/>
      <c r="M124" s="6"/>
    </row>
    <row r="125" spans="1:16" x14ac:dyDescent="0.3">
      <c r="A125" s="21" t="s">
        <v>149</v>
      </c>
      <c r="B125" s="21" t="s">
        <v>627</v>
      </c>
      <c r="C125" s="27">
        <v>8.6999999999999997E-6</v>
      </c>
      <c r="D125" s="27">
        <v>8.6999999999999997E-6</v>
      </c>
      <c r="E125" s="27">
        <v>8.6999999999999997E-6</v>
      </c>
      <c r="F125" s="27">
        <v>8.6999999999999997E-6</v>
      </c>
      <c r="G125" s="27">
        <v>8.6999999999999997E-6</v>
      </c>
      <c r="H125" s="27">
        <v>8.6999999999999997E-6</v>
      </c>
      <c r="I125" s="4"/>
      <c r="L125" s="6"/>
      <c r="M125" s="4"/>
    </row>
    <row r="126" spans="1:16" x14ac:dyDescent="0.3">
      <c r="A126" s="21" t="s">
        <v>149</v>
      </c>
      <c r="B126" s="21" t="s">
        <v>628</v>
      </c>
      <c r="C126" s="27">
        <v>1.08E-5</v>
      </c>
      <c r="D126" s="27">
        <v>1.08E-5</v>
      </c>
      <c r="E126" s="27">
        <v>1.08E-5</v>
      </c>
      <c r="F126" s="27">
        <v>1.08E-5</v>
      </c>
      <c r="G126" s="27">
        <v>1.08E-5</v>
      </c>
      <c r="H126" s="27">
        <v>1.08E-5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1"/>
  <sheetViews>
    <sheetView topLeftCell="A175" workbookViewId="0">
      <selection activeCell="B316" sqref="B316"/>
    </sheetView>
  </sheetViews>
  <sheetFormatPr defaultRowHeight="14.4" x14ac:dyDescent="0.3"/>
  <cols>
    <col min="1" max="1" width="42.21875" bestFit="1" customWidth="1"/>
    <col min="6" max="6" width="12.109375" bestFit="1" customWidth="1"/>
    <col min="7" max="7" width="28.6640625" bestFit="1" customWidth="1"/>
    <col min="8" max="8" width="20" bestFit="1" customWidth="1"/>
  </cols>
  <sheetData>
    <row r="1" spans="1:2" x14ac:dyDescent="0.3">
      <c r="A1" s="9" t="s">
        <v>71</v>
      </c>
      <c r="B1" t="s">
        <v>70</v>
      </c>
    </row>
    <row r="3" spans="1:2" ht="15.6" x14ac:dyDescent="0.3">
      <c r="A3" s="11" t="s">
        <v>72</v>
      </c>
      <c r="B3" s="9" t="str">
        <f>B5&amp;", "&amp;B7</f>
        <v>Kick Scooter, electric, &lt;1kW, 2020</v>
      </c>
    </row>
    <row r="4" spans="1:2" x14ac:dyDescent="0.3">
      <c r="A4" t="s">
        <v>73</v>
      </c>
      <c r="B4" t="s">
        <v>37</v>
      </c>
    </row>
    <row r="5" spans="1:2" x14ac:dyDescent="0.3">
      <c r="A5" t="s">
        <v>87</v>
      </c>
      <c r="B5" s="12" t="s">
        <v>688</v>
      </c>
    </row>
    <row r="6" spans="1:2" x14ac:dyDescent="0.3">
      <c r="A6" t="s">
        <v>88</v>
      </c>
      <c r="B6" s="12"/>
    </row>
    <row r="7" spans="1:2" x14ac:dyDescent="0.3">
      <c r="A7" t="s">
        <v>89</v>
      </c>
      <c r="B7" s="12">
        <v>2020</v>
      </c>
    </row>
    <row r="8" spans="1:2" x14ac:dyDescent="0.3">
      <c r="A8" t="s">
        <v>131</v>
      </c>
      <c r="B8" s="12" t="str">
        <f>B5&amp;" - "&amp;B7&amp;" - "&amp;B4</f>
        <v>Kick Scooter, electric, &lt;1kW - 2020 - CH</v>
      </c>
    </row>
    <row r="9" spans="1:2" x14ac:dyDescent="0.3">
      <c r="A9" t="s">
        <v>74</v>
      </c>
      <c r="B9" s="12" t="str">
        <f>B5</f>
        <v>Kick Scooter, electric, &lt;1kW</v>
      </c>
    </row>
    <row r="10" spans="1:2" x14ac:dyDescent="0.3">
      <c r="A10" t="s">
        <v>75</v>
      </c>
      <c r="B10" t="s">
        <v>76</v>
      </c>
    </row>
    <row r="11" spans="1:2" x14ac:dyDescent="0.3">
      <c r="A11" t="s">
        <v>77</v>
      </c>
      <c r="B11" t="s">
        <v>77</v>
      </c>
    </row>
    <row r="12" spans="1:2" x14ac:dyDescent="0.3">
      <c r="A12" t="s">
        <v>79</v>
      </c>
      <c r="B12" t="s">
        <v>90</v>
      </c>
    </row>
    <row r="13" spans="1:2" x14ac:dyDescent="0.3">
      <c r="A13" t="s">
        <v>132</v>
      </c>
      <c r="B13">
        <f>INDEX('vehicles specifications'!$B$3:$CK$86,MATCH('lci-kick scooter'!B8,'vehicles specifications'!$A$3:$A$86,0),MATCH("Lifetime [km]",'vehicles specifications'!$B$2:$CK$2,0))</f>
        <v>1785</v>
      </c>
    </row>
    <row r="14" spans="1:2" x14ac:dyDescent="0.3">
      <c r="A14" t="s">
        <v>133</v>
      </c>
      <c r="B14">
        <f>INDEX('vehicles specifications'!$B$3:$CK$86,MATCH('lci-kick scooter'!B8,'vehicles specifications'!$A$3:$A$86,0),MATCH("Passengers [unit]",'vehicles specifications'!$B$2:$CK$2,0))</f>
        <v>1</v>
      </c>
    </row>
    <row r="15" spans="1:2" x14ac:dyDescent="0.3">
      <c r="A15" t="s">
        <v>134</v>
      </c>
      <c r="B15">
        <f>INDEX('vehicles specifications'!$B$3:$CK$86,MATCH('lci-kick scooter'!B8,'vehicles specifications'!$A$3:$A$86,0),MATCH("Servicing [unit]",'vehicles specifications'!$B$2:$CK$2,0))</f>
        <v>0.44624999999999998</v>
      </c>
    </row>
    <row r="16" spans="1:2" x14ac:dyDescent="0.3">
      <c r="A16" t="s">
        <v>135</v>
      </c>
      <c r="B16">
        <f>INDEX('vehicles specifications'!$B$3:$CK$86,MATCH('lci-kick scooter'!B8,'vehicles specifications'!$A$3:$A$86,0),MATCH("Energy battery replacement [unit]",'vehicles specifications'!$B$2:$CK$2,0))</f>
        <v>0</v>
      </c>
    </row>
    <row r="17" spans="1:2" x14ac:dyDescent="0.3">
      <c r="A17" t="s">
        <v>136</v>
      </c>
      <c r="B17">
        <f>INDEX('vehicles specifications'!$B$3:$CK$86,MATCH('lci-kick scooter'!B8,'vehicles specifications'!$A$3:$A$86,0),MATCH("Annual kilometers [km]",'vehicles specifications'!$B$2:$CK$2,0))</f>
        <v>890</v>
      </c>
    </row>
    <row r="18" spans="1:2" x14ac:dyDescent="0.3">
      <c r="A18" t="s">
        <v>137</v>
      </c>
      <c r="B18">
        <f>INDEX('vehicles specifications'!$B$3:$CK$86,MATCH('lci-kick scooter'!B8,'vehicles specifications'!$A$3:$A$86,0),MATCH("Curb mass [kg]",'vehicles specifications'!$B$2:$CK$2,0))</f>
        <v>12.274999999999999</v>
      </c>
    </row>
    <row r="19" spans="1:2" x14ac:dyDescent="0.3">
      <c r="A19" t="s">
        <v>138</v>
      </c>
      <c r="B19">
        <f>INDEX('vehicles specifications'!$B$3:$CK$86,MATCH('lci-kick scooter'!B8,'vehicles specifications'!$A$3:$A$86,0),MATCH("Power [kW]",'vehicles specifications'!$B$2:$CK$2,0))</f>
        <v>0.25</v>
      </c>
    </row>
    <row r="20" spans="1:2" x14ac:dyDescent="0.3">
      <c r="A20" t="s">
        <v>139</v>
      </c>
      <c r="B20">
        <f>INDEX('vehicles specifications'!$B$3:$CK$86,MATCH('lci-kick scooter'!B8,'vehicles specifications'!$A$3:$A$86,0),MATCH("Energy battery mass [kg]",'vehicles specifications'!$B$2:$CK$2,0))</f>
        <v>2.2749999999999995</v>
      </c>
    </row>
    <row r="21" spans="1:2" x14ac:dyDescent="0.3">
      <c r="A21" t="s">
        <v>140</v>
      </c>
      <c r="B21">
        <f>INDEX('vehicles specifications'!$B$3:$CK$86,MATCH('lci-kick scooter'!B8,'vehicles specifications'!$A$3:$A$86,0),MATCH("Electric energy stored [kWh]",'vehicles specifications'!$B$2:$CK$2,0))</f>
        <v>0.35</v>
      </c>
    </row>
    <row r="22" spans="1:2" s="21" customFormat="1" x14ac:dyDescent="0.3">
      <c r="A22" s="21" t="s">
        <v>654</v>
      </c>
      <c r="B22" s="21">
        <f>INDEX('vehicles specifications'!$B$3:$CK$86,MATCH('lci-kick scooter'!B8,'vehicles specifications'!$A$3:$A$86,0),MATCH("Electric energy available [kWh]",'vehicles specifications'!$B$2:$CK$2,0))</f>
        <v>0.27999999999999997</v>
      </c>
    </row>
    <row r="23" spans="1:2" x14ac:dyDescent="0.3">
      <c r="A23" t="s">
        <v>143</v>
      </c>
      <c r="B23">
        <f>INDEX('vehicles specifications'!$B$3:$CK$86,MATCH('lci-kick scooter'!B8,'vehicles specifications'!$A$3:$A$86,0),MATCH("Oxydation energy stored [kWh]",'vehicles specifications'!$B$2:$CK$2,0))</f>
        <v>0</v>
      </c>
    </row>
    <row r="24" spans="1:2" x14ac:dyDescent="0.3">
      <c r="A24" t="s">
        <v>145</v>
      </c>
      <c r="B24">
        <f>INDEX('vehicles specifications'!$B$3:$CK$86,MATCH('lci-kick scooter'!B8,'vehicles specifications'!$A$3:$A$86,0),MATCH("Fuel mass [kg]",'vehicles specifications'!$B$2:$CK$2,0))</f>
        <v>0</v>
      </c>
    </row>
    <row r="25" spans="1:2" x14ac:dyDescent="0.3">
      <c r="A25" t="s">
        <v>141</v>
      </c>
      <c r="B25">
        <f>INDEX('vehicles specifications'!$B$3:$CK$86,MATCH('lci-kick scooter'!B8,'vehicles specifications'!$A$3:$A$86,0),MATCH("Range [km]",'vehicles specifications'!$B$2:$CK$2,0))</f>
        <v>11.703738317757008</v>
      </c>
    </row>
    <row r="26" spans="1:2" x14ac:dyDescent="0.3">
      <c r="A26" t="s">
        <v>142</v>
      </c>
      <c r="B26" t="str">
        <f>INDEX('vehicles specifications'!$B$3:$CK$86,MATCH('lci-kick scooter'!B8,'vehicles specifications'!$A$3:$A$86,0),MATCH("Emission standard",'vehicles specifications'!$B$2:$CK$2,0))</f>
        <v>None</v>
      </c>
    </row>
    <row r="27" spans="1:2" x14ac:dyDescent="0.3">
      <c r="A27" t="s">
        <v>144</v>
      </c>
      <c r="B27" s="6">
        <f>INDEX('vehicles specifications'!$B$3:$CK$86,MATCH('lci-kick scooter'!B8,'vehicles specifications'!$A$3:$A$86,0),MATCH("Lightweighting rate [%]",'vehicles specifications'!$B$2:$CK$2,0))</f>
        <v>0</v>
      </c>
    </row>
    <row r="28" spans="1:2" s="21" customFormat="1" x14ac:dyDescent="0.3">
      <c r="A28" s="21" t="s">
        <v>513</v>
      </c>
      <c r="B28" s="6" t="s">
        <v>514</v>
      </c>
    </row>
    <row r="29" spans="1:2" s="21" customFormat="1" x14ac:dyDescent="0.3">
      <c r="A29" s="21" t="s">
        <v>515</v>
      </c>
      <c r="B29" s="2">
        <v>15900</v>
      </c>
    </row>
    <row r="30" spans="1:2" s="21" customFormat="1" x14ac:dyDescent="0.3">
      <c r="A30" s="21" t="s">
        <v>516</v>
      </c>
      <c r="B30" s="2">
        <v>1000</v>
      </c>
    </row>
    <row r="31" spans="1:2" s="21" customFormat="1" x14ac:dyDescent="0.3">
      <c r="A31" s="21" t="s">
        <v>84</v>
      </c>
      <c r="B31" s="21" t="str">
        <f>"Power: "&amp;B19&amp;" kW. Lifetime: "&amp;B13&amp;" km. Annual kilometers: "&amp;ROUND(B17,0)&amp;" km. Number of passengers: "&amp;ROUND(B14,1)&amp;". Curb mass: "&amp;ROUND(B18,1)&amp;" kg. Lightweighting of glider: "&amp;ROUND(B27*100,0)&amp;"%. Emission standard: "&amp;B26&amp;". Service visits throughout lifetime: "&amp;ROUND(B15,1)&amp;". Range: "&amp;ROUND(B25,0)&amp;" km. Battery capacity: "&amp;ROUND(B21,1)&amp;" kWh. Available battery capacity: "&amp;B22&amp;" kWh. Battery mass: "&amp;ROUND(B20,1)&amp; " kg. Battery replacement throughout lifetime: "&amp;ROUND(B16,1)&amp;". Fuel tank capacity: "&amp;ROUND(B23,1)&amp;" kWh. Fuel mass: "&amp;ROUND(B24,1)&amp;" kg. Origin of manufacture: "&amp;B28&amp;". Shipping distance: "&amp;B29&amp;" km. Lorry distribution distance: "&amp;B30&amp;" km. Documentation: "&amp;Readmefirst!$B$2&amp;", "&amp;Readmefirst!$B$3&amp;". "&amp;'lci-kick scooter'!B12</f>
        <v>Power: 0.25 kW. Lifetime: 1785 km. Annual kilometers: 890 km. Number of passengers: 1. Curb mass: 12.3 kg. Lightweighting of glider: 0%. Emission standard: None. Service visits throughout lifetime: 0.4. Range: 12 km. Battery capacity: 0.4 kWh. Available battery capacity: 0.28 kWh. Battery mass: 2.3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32" spans="1:2" ht="15.6" x14ac:dyDescent="0.3">
      <c r="A32" s="11" t="s">
        <v>80</v>
      </c>
    </row>
    <row r="33" spans="1:8" x14ac:dyDescent="0.3">
      <c r="A33" t="s">
        <v>81</v>
      </c>
      <c r="B33" t="s">
        <v>82</v>
      </c>
      <c r="C33" t="s">
        <v>73</v>
      </c>
      <c r="D33" t="s">
        <v>77</v>
      </c>
      <c r="E33" t="s">
        <v>83</v>
      </c>
      <c r="F33" t="s">
        <v>75</v>
      </c>
      <c r="G33" t="s">
        <v>84</v>
      </c>
      <c r="H33" t="s">
        <v>74</v>
      </c>
    </row>
    <row r="34" spans="1:8" x14ac:dyDescent="0.3">
      <c r="A34" s="12" t="str">
        <f>B3</f>
        <v>Kick Scooter, electric, &lt;1kW, 2020</v>
      </c>
      <c r="B34" s="12">
        <v>1</v>
      </c>
      <c r="C34" s="12" t="str">
        <f>B4</f>
        <v>CH</v>
      </c>
      <c r="D34" s="12" t="str">
        <f>B11</f>
        <v>unit</v>
      </c>
      <c r="E34" s="12"/>
      <c r="F34" s="12" t="s">
        <v>85</v>
      </c>
      <c r="G34" s="12" t="s">
        <v>86</v>
      </c>
      <c r="H34" s="12" t="str">
        <f>B9</f>
        <v>Kick Scooter, electric, &lt;1kW</v>
      </c>
    </row>
    <row r="35" spans="1:8" x14ac:dyDescent="0.3">
      <c r="A35" s="12" t="str">
        <f>INDEX('ei names mapping'!$B$4:$R$33,MATCH('lci-kick scooter'!$B$5,'ei names mapping'!$A$4:$A$33,0),MATCH('lci-kick scooter'!$G35,'ei names mapping'!$B$3:$R$3,0))</f>
        <v>bicycle production</v>
      </c>
      <c r="B35" s="14">
        <f>INDEX('vehicles specifications'!$B$3:$CK$86,MATCH(B8,'vehicles specifications'!$A$3:$A$86,0),MATCH(G35,'vehicles specifications'!$B$2:$CK$2,0))*INDEX('ei names mapping'!$B$137:$BK$220,MATCH(B8,'ei names mapping'!$A$137:$A$220,0),MATCH(G35,'ei names mapping'!$B$136:$BK$136,0))</f>
        <v>0.41176470588235292</v>
      </c>
      <c r="C35" s="12" t="str">
        <f>INDEX('ei names mapping'!$B$38:$R$67,MATCH('lci-kick scooter'!$B$5,'ei names mapping'!$A$4:$A$33,0),MATCH('lci-kick scooter'!$G35,'ei names mapping'!$B$3:$R$3,0))</f>
        <v>RER</v>
      </c>
      <c r="D35" s="12" t="str">
        <f>INDEX('ei names mapping'!$B$104:$R$133,MATCH('lci-kick scooter'!$B$5,'ei names mapping'!$A$4:$A$33,0),MATCH('lci-kick scooter'!$G35,'ei names mapping'!$B$3:$R$3,0))</f>
        <v>unit</v>
      </c>
      <c r="E35" s="12"/>
      <c r="F35" s="12" t="s">
        <v>91</v>
      </c>
      <c r="G35" s="21" t="s">
        <v>15</v>
      </c>
      <c r="H35" s="12" t="str">
        <f>INDEX('ei names mapping'!$B$71:$R$100,MATCH('lci-kick scooter'!$B$5,'ei names mapping'!$A$4:$A$33,0),MATCH('lci-kick scooter'!$G35,'ei names mapping'!$B$3:$R$3,0))</f>
        <v>bicycle</v>
      </c>
    </row>
    <row r="36" spans="1:8" x14ac:dyDescent="0.3">
      <c r="A36" s="12" t="str">
        <f>INDEX('ei names mapping'!$B$4:$R$33,MATCH('lci-kick scooter'!$B$5,'ei names mapping'!$A$4:$A$33,0),MATCH('lci-kick scooter'!$G36,'ei names mapping'!$B$3:$R$3,0))</f>
        <v>market for electric motor, vehicle</v>
      </c>
      <c r="B36" s="14">
        <f>INDEX('vehicles specifications'!$B$3:$CK$86,MATCH(B8,'vehicles specifications'!$A$3:$A$86,0),MATCH(G36,'vehicles specifications'!$B$2:$CK$2,0))*INDEX('ei names mapping'!$B$137:$BK$220,MATCH(B8,'ei names mapping'!$A$137:$A$220,0),MATCH(G36,'ei names mapping'!$B$136:$BK$136,0))</f>
        <v>3</v>
      </c>
      <c r="C36" s="12" t="str">
        <f>INDEX('ei names mapping'!$B$38:$R$67,MATCH('lci-kick scooter'!$B$5,'ei names mapping'!$A$4:$A$33,0),MATCH('lci-kick scooter'!$G36,'ei names mapping'!$B$3:$R$3,0))</f>
        <v>GLO</v>
      </c>
      <c r="D36" s="12" t="str">
        <f>INDEX('ei names mapping'!$B$104:$R$133,MATCH('lci-kick scooter'!$B$5,'ei names mapping'!$A$4:$A$33,0),MATCH('lci-kick scooter'!$G36,'ei names mapping'!$B$3:$R$3,0))</f>
        <v>kilogram</v>
      </c>
      <c r="E36" s="12"/>
      <c r="F36" s="12" t="s">
        <v>91</v>
      </c>
      <c r="G36" s="12" t="s">
        <v>557</v>
      </c>
      <c r="H36" s="12" t="str">
        <f>INDEX('ei names mapping'!$B$71:$R$100,MATCH('lci-kick scooter'!$B$5,'ei names mapping'!$A$4:$A$33,0),MATCH('lci-kick scooter'!$G36,'ei names mapping'!$B$3:$R$3,0))</f>
        <v>electric motor, vehicle</v>
      </c>
    </row>
    <row r="37" spans="1:8" s="21" customFormat="1" x14ac:dyDescent="0.3">
      <c r="A37" s="12" t="str">
        <f>INDEX('ei names mapping'!$B$4:$R$33,MATCH(B5,'ei names mapping'!$A$4:$A$33,0),MATCH(G37,'ei names mapping'!$B$3:$R$3,0))</f>
        <v>glider lightweighting</v>
      </c>
      <c r="B37" s="16">
        <f>INDEX('vehicles specifications'!$B$3:$CK$86,MATCH(B8,'vehicles specifications'!$A$3:$A$86,0),MATCH(G37,'vehicles specifications'!$B$2:$CK$2,0))*INDEX('ei names mapping'!$B$137:$BK$220,MATCH(B8,'ei names mapping'!$A$137:$A$220,0),MATCH(G37,'ei names mapping'!$B$136:$BK$136,0))</f>
        <v>0</v>
      </c>
      <c r="C37" s="12" t="str">
        <f>INDEX('ei names mapping'!$B$38:$R$67,MATCH(B5,'ei names mapping'!$A$4:$A$33,0),MATCH(G37,'ei names mapping'!$B$3:$R$3,0))</f>
        <v>GLO</v>
      </c>
      <c r="D37" s="12" t="str">
        <f>INDEX('ei names mapping'!$B$104:$R$133,MATCH(B5,'ei names mapping'!$A$4:$A$33,0),MATCH(G37,'ei names mapping'!$B$3:$R$3,0))</f>
        <v>kilogram</v>
      </c>
      <c r="E37" s="12"/>
      <c r="F37" s="12" t="s">
        <v>91</v>
      </c>
      <c r="G37" s="21" t="s">
        <v>14</v>
      </c>
      <c r="H37" s="12" t="str">
        <f>INDEX('ei names mapping'!$B$71:$R$100,MATCH(B5,'ei names mapping'!$A$4:$A$33,0),MATCH(G37,'ei names mapping'!$B$3:$R$3,0))</f>
        <v>glider lightweighting</v>
      </c>
    </row>
    <row r="38" spans="1:8" x14ac:dyDescent="0.3">
      <c r="A38" s="12" t="str">
        <f>INDEX('ei names mapping'!$B$4:$R$33,MATCH('lci-kick scooter'!$B$5,'ei names mapping'!$A$4:$A$33,0),MATCH('lci-kick scooter'!$G38,'ei names mapping'!$B$3:$R$3,0))</f>
        <v>Battery cell, NMC</v>
      </c>
      <c r="B38" s="14">
        <f>INDEX('vehicles specifications'!$B$3:$CK$86,MATCH(B8,'vehicles specifications'!$A$3:$A$86,0),MATCH(G38,'vehicles specifications'!$B$2:$CK$2,0))*INDEX('ei names mapping'!$B$137:$BK$220,MATCH(B8,'ei names mapping'!$A$137:$A$220,0),MATCH(G38,'ei names mapping'!$B$136:$BK$136,0))</f>
        <v>1.7499999999999998</v>
      </c>
      <c r="C38" s="12" t="str">
        <f>INDEX('ei names mapping'!$B$38:$R$67,MATCH('lci-kick scooter'!$B$5,'ei names mapping'!$A$4:$A$33,0),MATCH('lci-kick scooter'!$G38,'ei names mapping'!$B$3:$R$3,0))</f>
        <v>GLO</v>
      </c>
      <c r="D38" s="12" t="str">
        <f>INDEX('ei names mapping'!$B$104:$R$133,MATCH('lci-kick scooter'!$B$5,'ei names mapping'!$A$4:$A$33,0),MATCH('lci-kick scooter'!$G38,'ei names mapping'!$B$3:$R$3,0))</f>
        <v>kilogram</v>
      </c>
      <c r="E38" s="12"/>
      <c r="F38" s="12" t="s">
        <v>91</v>
      </c>
      <c r="G38" s="12" t="s">
        <v>19</v>
      </c>
      <c r="H38" s="12" t="str">
        <f>INDEX('ei names mapping'!$B$71:$R$100,MATCH('lci-kick scooter'!$B$5,'ei names mapping'!$A$4:$A$33,0),MATCH('lci-kick scooter'!$G38,'ei names mapping'!$B$3:$R$3,0))</f>
        <v>Battery cell</v>
      </c>
    </row>
    <row r="39" spans="1:8" x14ac:dyDescent="0.3">
      <c r="A39" s="12" t="str">
        <f>INDEX('ei names mapping'!$B$4:$R$33,MATCH('lci-kick scooter'!$B$5,'ei names mapping'!$A$4:$A$33,0),MATCH('lci-kick scooter'!$G39,'ei names mapping'!$B$3:$R$3,0))</f>
        <v>Battery BoP</v>
      </c>
      <c r="B39" s="14">
        <f>INDEX('vehicles specifications'!$B$3:$CK$86,MATCH(B8,'vehicles specifications'!$A$3:$A$86,0),MATCH(G39,'vehicles specifications'!$B$2:$CK$2,0))*INDEX('ei names mapping'!$B$137:$BK$220,MATCH(B8,'ei names mapping'!$A$137:$A$220,0),MATCH(G39,'ei names mapping'!$B$136:$BK$136,0))</f>
        <v>0.52499999999999991</v>
      </c>
      <c r="C39" s="12" t="str">
        <f>INDEX('ei names mapping'!$B$38:$R$67,MATCH('lci-kick scooter'!$B$5,'ei names mapping'!$A$4:$A$33,0),MATCH('lci-kick scooter'!$G39,'ei names mapping'!$B$3:$R$3,0))</f>
        <v>GLO</v>
      </c>
      <c r="D39" s="12" t="str">
        <f>INDEX('ei names mapping'!$B$104:$R$133,MATCH('lci-kick scooter'!$B$5,'ei names mapping'!$A$4:$A$33,0),MATCH('lci-kick scooter'!$G39,'ei names mapping'!$B$3:$R$3,0))</f>
        <v>kilogram</v>
      </c>
      <c r="E39" s="12"/>
      <c r="F39" s="12" t="s">
        <v>91</v>
      </c>
      <c r="G39" s="12" t="s">
        <v>20</v>
      </c>
      <c r="H39" s="12" t="str">
        <f>INDEX('ei names mapping'!$B$71:$R$100,MATCH('lci-kick scooter'!$B$5,'ei names mapping'!$A$4:$A$33,0),MATCH('lci-kick scooter'!$G39,'ei names mapping'!$B$3:$R$3,0))</f>
        <v>Battery BoP</v>
      </c>
    </row>
    <row r="40" spans="1:8" x14ac:dyDescent="0.3">
      <c r="A40" s="12" t="str">
        <f>INDEX('ei names mapping'!$B$4:$R$33,MATCH('lci-kick scooter'!$B$5,'ei names mapping'!$A$4:$A$33,0),MATCH('lci-kick scooter'!$G40,'ei names mapping'!$B$3:$R$3,0))</f>
        <v>charging station, 100W</v>
      </c>
      <c r="B40" s="14">
        <f>INDEX('vehicles specifications'!$B$3:$CK$86,MATCH(B8,'vehicles specifications'!$A$3:$A$86,0),MATCH(G40,'vehicles specifications'!$B$2:$CK$2,0))*INDEX('ei names mapping'!$B$137:$BK$220,MATCH(B8,'ei names mapping'!$A$137:$A$220,0),MATCH(G40,'ei names mapping'!$B$136:$BK$136,0))</f>
        <v>1</v>
      </c>
      <c r="C40" s="12" t="str">
        <f>INDEX('ei names mapping'!$B$38:$R$67,MATCH('lci-kick scooter'!$B$5,'ei names mapping'!$A$4:$A$33,0),MATCH('lci-kick scooter'!$G40,'ei names mapping'!$B$3:$R$3,0))</f>
        <v>GLO</v>
      </c>
      <c r="D40" s="12" t="str">
        <f>INDEX('ei names mapping'!$B$104:$R$133,MATCH('lci-kick scooter'!$B$5,'ei names mapping'!$A$4:$A$33,0),MATCH('lci-kick scooter'!$G40,'ei names mapping'!$B$3:$R$3,0))</f>
        <v>unit</v>
      </c>
      <c r="F40" s="12" t="s">
        <v>91</v>
      </c>
      <c r="G40" t="s">
        <v>53</v>
      </c>
      <c r="H40" s="12" t="str">
        <f>INDEX('ei names mapping'!$B$71:$R$100,MATCH('lci-kick scooter'!$B$5,'ei names mapping'!$A$4:$A$33,0),MATCH('lci-kick scooter'!$G40,'ei names mapping'!$B$3:$R$3,0))</f>
        <v>charging station, 100W</v>
      </c>
    </row>
    <row r="41" spans="1:8" x14ac:dyDescent="0.3">
      <c r="A41" s="12" t="str">
        <f>INDEX('ei names mapping'!$B$4:$R$33,MATCH('lci-kick scooter'!$B$5,'ei names mapping'!$A$4:$A$33,0),MATCH('lci-kick scooter'!$G41,'ei names mapping'!$B$3:$R$3,0))</f>
        <v>treatment of used electric bicycle</v>
      </c>
      <c r="B41" s="14">
        <f>INDEX('vehicles specifications'!$B$3:$CK$86,MATCH(B8,'vehicles specifications'!$A$3:$A$86,0),MATCH(G41,'vehicles specifications'!$B$2:$CK$2,0))*INDEX('ei names mapping'!$B$137:$BK$220,MATCH(B8,'ei names mapping'!$A$137:$A$220,0),MATCH(G41,'ei names mapping'!$B$136:$BK$136,0))</f>
        <v>-0.125</v>
      </c>
      <c r="C41" s="12" t="str">
        <f>INDEX('ei names mapping'!$B$38:$R$67,MATCH('lci-kick scooter'!$B$5,'ei names mapping'!$A$4:$A$33,0),MATCH('lci-kick scooter'!$G41,'ei names mapping'!$B$3:$R$3,0))</f>
        <v>CH</v>
      </c>
      <c r="D41" s="12" t="str">
        <f>INDEX('ei names mapping'!$B$104:$R$133,MATCH('lci-kick scooter'!$B$5,'ei names mapping'!$A$4:$A$33,0),MATCH('lci-kick scooter'!$G41,'ei names mapping'!$B$3:$R$3,0))</f>
        <v>unit</v>
      </c>
      <c r="F41" s="12" t="s">
        <v>91</v>
      </c>
      <c r="G41" t="s">
        <v>151</v>
      </c>
      <c r="H41" s="12" t="str">
        <f>INDEX('ei names mapping'!$B$71:$R$100,MATCH('lci-kick scooter'!$B$5,'ei names mapping'!$A$4:$A$33,0),MATCH('lci-kick scooter'!$G41,'ei names mapping'!$B$3:$R$3,0))</f>
        <v>used electric bicycle</v>
      </c>
    </row>
    <row r="42" spans="1:8" x14ac:dyDescent="0.3">
      <c r="A42" s="12" t="str">
        <f>INDEX('ei names mapping'!$B$4:$R$33,MATCH('lci-kick scooter'!$B$5,'ei names mapping'!$A$4:$A$33,0),MATCH('lci-kick scooter'!$G42,'ei names mapping'!$B$3:$R$3,0))</f>
        <v>market for used Li-ion battery</v>
      </c>
      <c r="B42" s="14">
        <f>INDEX('vehicles specifications'!$B$3:$CK$86,MATCH(B8,'vehicles specifications'!$A$3:$A$86,0),MATCH(G42,'vehicles specifications'!$B$2:$CK$2,0))*INDEX('ei names mapping'!$B$137:$BK$220,MATCH(B8,'ei names mapping'!$A$137:$A$220,0),MATCH(G42,'ei names mapping'!$B$136:$BK$136,0))</f>
        <v>-2.2749999999999995</v>
      </c>
      <c r="C42" s="12" t="str">
        <f>INDEX('ei names mapping'!$B$38:$R$67,MATCH('lci-kick scooter'!$B$5,'ei names mapping'!$A$4:$A$33,0),MATCH('lci-kick scooter'!$G42,'ei names mapping'!$B$3:$R$3,0))</f>
        <v>GLO</v>
      </c>
      <c r="D42" s="12" t="str">
        <f>INDEX('ei names mapping'!$B$104:$R$133,MATCH('lci-kick scooter'!$B$5,'ei names mapping'!$A$4:$A$33,0),MATCH('lci-kick scooter'!$G42,'ei names mapping'!$B$3:$R$3,0))</f>
        <v>kilogram</v>
      </c>
      <c r="F42" s="12" t="s">
        <v>91</v>
      </c>
      <c r="G42" t="s">
        <v>152</v>
      </c>
      <c r="H42" s="12" t="str">
        <f>INDEX('ei names mapping'!$B$71:$R$100,MATCH('lci-kick scooter'!$B$5,'ei names mapping'!$A$4:$A$33,0),MATCH('lci-kick scooter'!$G42,'ei names mapping'!$B$3:$R$3,0))</f>
        <v>used Li-ion battery</v>
      </c>
    </row>
    <row r="43" spans="1:8" s="21" customFormat="1" x14ac:dyDescent="0.3">
      <c r="A43" s="22" t="s">
        <v>468</v>
      </c>
      <c r="B43" s="21">
        <f>(B18/1000)*B30</f>
        <v>12.274999999999999</v>
      </c>
      <c r="C43" s="21" t="s">
        <v>94</v>
      </c>
      <c r="D43" s="21" t="s">
        <v>243</v>
      </c>
      <c r="F43" s="21" t="s">
        <v>91</v>
      </c>
      <c r="H43" s="22" t="s">
        <v>469</v>
      </c>
    </row>
    <row r="44" spans="1:8" s="21" customFormat="1" x14ac:dyDescent="0.3">
      <c r="A44" s="22" t="s">
        <v>467</v>
      </c>
      <c r="B44" s="2">
        <f>(B18/1000)*B29</f>
        <v>195.17249999999996</v>
      </c>
      <c r="C44" s="21" t="s">
        <v>98</v>
      </c>
      <c r="D44" s="21" t="s">
        <v>243</v>
      </c>
      <c r="F44" s="21" t="s">
        <v>91</v>
      </c>
      <c r="H44" s="22" t="s">
        <v>467</v>
      </c>
    </row>
    <row r="46" spans="1:8" ht="15.6" x14ac:dyDescent="0.3">
      <c r="A46" s="11" t="s">
        <v>72</v>
      </c>
      <c r="B46" s="9" t="str">
        <f>B48&amp;", "&amp;B50</f>
        <v>Kick Scooter, electric, &lt;1kW, 2030</v>
      </c>
    </row>
    <row r="47" spans="1:8" x14ac:dyDescent="0.3">
      <c r="A47" t="s">
        <v>73</v>
      </c>
      <c r="B47" t="s">
        <v>37</v>
      </c>
    </row>
    <row r="48" spans="1:8" x14ac:dyDescent="0.3">
      <c r="A48" t="s">
        <v>87</v>
      </c>
      <c r="B48" s="12" t="s">
        <v>688</v>
      </c>
    </row>
    <row r="49" spans="1:2" x14ac:dyDescent="0.3">
      <c r="A49" t="s">
        <v>88</v>
      </c>
      <c r="B49" s="12"/>
    </row>
    <row r="50" spans="1:2" x14ac:dyDescent="0.3">
      <c r="A50" t="s">
        <v>89</v>
      </c>
      <c r="B50" s="12">
        <v>2030</v>
      </c>
    </row>
    <row r="51" spans="1:2" x14ac:dyDescent="0.3">
      <c r="A51" t="s">
        <v>131</v>
      </c>
      <c r="B51" s="12" t="str">
        <f>B48&amp;" - "&amp;B50&amp;" - "&amp;B47</f>
        <v>Kick Scooter, electric, &lt;1kW - 2030 - CH</v>
      </c>
    </row>
    <row r="52" spans="1:2" x14ac:dyDescent="0.3">
      <c r="A52" t="s">
        <v>74</v>
      </c>
      <c r="B52" s="12" t="str">
        <f>B48</f>
        <v>Kick Scooter, electric, &lt;1kW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specifications'!$B$3:$CK$86,MATCH('lci-kick scooter'!B51,'vehicles specifications'!$A$3:$A$86,0),MATCH("Lifetime [km]",'vehicles specifications'!$B$2:$CK$2,0))</f>
        <v>1785</v>
      </c>
    </row>
    <row r="57" spans="1:2" x14ac:dyDescent="0.3">
      <c r="A57" t="s">
        <v>133</v>
      </c>
      <c r="B57">
        <f>INDEX('vehicles specifications'!$B$3:$CK$86,MATCH('lci-kick scooter'!B51,'vehicles specifications'!$A$3:$A$86,0),MATCH("Passengers [unit]",'vehicles specifications'!$B$2:$CK$2,0))</f>
        <v>1</v>
      </c>
    </row>
    <row r="58" spans="1:2" x14ac:dyDescent="0.3">
      <c r="A58" t="s">
        <v>134</v>
      </c>
      <c r="B58">
        <f>INDEX('vehicles specifications'!$B$3:$CK$86,MATCH('lci-kick scooter'!B51,'vehicles specifications'!$A$3:$A$86,0),MATCH("Servicing [unit]",'vehicles specifications'!$B$2:$CK$2,0))</f>
        <v>0.44624999999999998</v>
      </c>
    </row>
    <row r="59" spans="1:2" x14ac:dyDescent="0.3">
      <c r="A59" t="s">
        <v>135</v>
      </c>
      <c r="B59">
        <f>INDEX('vehicles specifications'!$B$3:$CK$86,MATCH('lci-kick scooter'!B51,'vehicles specifications'!$A$3:$A$86,0),MATCH("Energy battery replacement [unit]",'vehicles specifications'!$B$2:$CK$2,0))</f>
        <v>0</v>
      </c>
    </row>
    <row r="60" spans="1:2" x14ac:dyDescent="0.3">
      <c r="A60" t="s">
        <v>136</v>
      </c>
      <c r="B60">
        <f>INDEX('vehicles specifications'!$B$3:$CK$86,MATCH('lci-kick scooter'!B51,'vehicles specifications'!$A$3:$A$86,0),MATCH("Annual kilometers [km]",'vehicles specifications'!$B$2:$CK$2,0))</f>
        <v>890</v>
      </c>
    </row>
    <row r="61" spans="1:2" x14ac:dyDescent="0.3">
      <c r="A61" t="s">
        <v>137</v>
      </c>
      <c r="B61">
        <f>INDEX('vehicles specifications'!$B$3:$CK$86,MATCH('lci-kick scooter'!B51,'vehicles specifications'!$A$3:$A$86,0),MATCH("Curb mass [kg]",'vehicles specifications'!$B$2:$CK$2,0))</f>
        <v>11.856666666666666</v>
      </c>
    </row>
    <row r="62" spans="1:2" x14ac:dyDescent="0.3">
      <c r="A62" t="s">
        <v>138</v>
      </c>
      <c r="B62">
        <f>INDEX('vehicles specifications'!$B$3:$CK$86,MATCH('lci-kick scooter'!B51,'vehicles specifications'!$A$3:$A$86,0),MATCH("Power [kW]",'vehicles specifications'!$B$2:$CK$2,0))</f>
        <v>0.25</v>
      </c>
    </row>
    <row r="63" spans="1:2" x14ac:dyDescent="0.3">
      <c r="A63" t="s">
        <v>139</v>
      </c>
      <c r="B63">
        <f>INDEX('vehicles specifications'!$B$3:$CK$86,MATCH('lci-kick scooter'!B51,'vehicles specifications'!$A$3:$A$86,0),MATCH("Energy battery mass [kg]",'vehicles specifications'!$B$2:$CK$2,0))</f>
        <v>2.166666666666667</v>
      </c>
    </row>
    <row r="64" spans="1:2" x14ac:dyDescent="0.3">
      <c r="A64" t="s">
        <v>140</v>
      </c>
      <c r="B64" s="21">
        <f>INDEX('vehicles specifications'!$B$3:$CK$86,MATCH('lci-kick scooter'!B51,'vehicles specifications'!$A$3:$A$86,0),MATCH("Electric energy stored [kWh]",'vehicles specifications'!$B$2:$CK$2,0))</f>
        <v>0.5</v>
      </c>
    </row>
    <row r="65" spans="1:8" s="21" customFormat="1" x14ac:dyDescent="0.3">
      <c r="A65" s="21" t="s">
        <v>654</v>
      </c>
      <c r="B65" s="21">
        <f>INDEX('vehicles specifications'!$B$3:$CK$86,MATCH('lci-kick scooter'!B51,'vehicles specifications'!$A$3:$A$86,0),MATCH("Electric energy available [kWh]",'vehicles specifications'!$B$2:$CK$2,0))</f>
        <v>0.4</v>
      </c>
    </row>
    <row r="66" spans="1:8" x14ac:dyDescent="0.3">
      <c r="A66" t="s">
        <v>143</v>
      </c>
      <c r="B66">
        <f>INDEX('vehicles specifications'!$B$3:$CK$86,MATCH('lci-kick scooter'!B51,'vehicles specifications'!$A$3:$A$86,0),MATCH("Oxydation energy stored [kWh]",'vehicles specifications'!$B$2:$CK$2,0))</f>
        <v>0</v>
      </c>
    </row>
    <row r="67" spans="1:8" x14ac:dyDescent="0.3">
      <c r="A67" t="s">
        <v>145</v>
      </c>
      <c r="B67">
        <f>INDEX('vehicles specifications'!$B$3:$CK$86,MATCH('lci-kick scooter'!B51,'vehicles specifications'!$A$3:$A$86,0),MATCH("Fuel mass [kg]",'vehicles specifications'!$B$2:$CK$2,0))</f>
        <v>0</v>
      </c>
    </row>
    <row r="68" spans="1:8" x14ac:dyDescent="0.3">
      <c r="A68" t="s">
        <v>141</v>
      </c>
      <c r="B68">
        <f>INDEX('vehicles specifications'!$B$3:$CK$86,MATCH('lci-kick scooter'!B51,'vehicles specifications'!$A$3:$A$86,0),MATCH("Range [km]",'vehicles specifications'!$B$2:$CK$2,0))</f>
        <v>16.719626168224298</v>
      </c>
    </row>
    <row r="69" spans="1:8" x14ac:dyDescent="0.3">
      <c r="A69" t="s">
        <v>142</v>
      </c>
      <c r="B69" t="str">
        <f>INDEX('vehicles specifications'!$B$3:$CK$86,MATCH('lci-kick scooter'!B51,'vehicles specifications'!$A$3:$A$86,0),MATCH("Emission standard",'vehicles specifications'!$B$2:$CK$2,0))</f>
        <v>None</v>
      </c>
    </row>
    <row r="70" spans="1:8" x14ac:dyDescent="0.3">
      <c r="A70" t="s">
        <v>144</v>
      </c>
      <c r="B70" s="6">
        <f>INDEX('vehicles specifications'!$B$3:$CK$86,MATCH('lci-kick scooter'!B51,'vehicles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0.25 kW. Lifetime: 1785 km. Annual kilometers: 890 km. Number of passengers: 1. Curb mass: 11.9 kg. Lightweighting of glider: 3%. Emission standard: None. Service visits throughout lifetime: 0.4. Range: 17 km. Battery capacity: 0.5 kWh. Available battery capacity: 0.4 kWh. Battery mass: 2.2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Kick Scooter, electric, &lt;1kW, 2030</v>
      </c>
      <c r="B77" s="12">
        <v>1</v>
      </c>
      <c r="C77" s="12" t="str">
        <f>B47</f>
        <v>CH</v>
      </c>
      <c r="D77" s="12" t="str">
        <f>B54</f>
        <v>unit</v>
      </c>
      <c r="E77" s="12"/>
      <c r="F77" s="12" t="s">
        <v>85</v>
      </c>
      <c r="G77" s="12" t="s">
        <v>86</v>
      </c>
      <c r="H77" s="12" t="str">
        <f>B52</f>
        <v>Kick Scooter, electric, &lt;1kW</v>
      </c>
    </row>
    <row r="78" spans="1:8" x14ac:dyDescent="0.3">
      <c r="A78" s="12" t="str">
        <f>INDEX('ei names mapping'!$B$4:$R$33,MATCH('lci-kick scooter'!$B$5,'ei names mapping'!$A$4:$A$33,0),MATCH('lci-kick scooter'!$G78,'ei names mapping'!$B$3:$R$3,0))</f>
        <v>bicycle production</v>
      </c>
      <c r="B78" s="14">
        <f>INDEX('vehicles specifications'!$B$3:$CK$86,MATCH(B51,'vehicles specifications'!$A$3:$A$86,0),MATCH(G78,'vehicles specifications'!$B$2:$CK$2,0))*INDEX('ei names mapping'!$B$137:$BK$220,MATCH(B51,'ei names mapping'!$A$137:$A$220,0),MATCH(G78,'ei names mapping'!$B$136:$BK$136,0))</f>
        <v>0.41176470588235292</v>
      </c>
      <c r="C78" s="12" t="str">
        <f>INDEX('ei names mapping'!$B$38:$R$67,MATCH('lci-kick scooter'!$B$5,'ei names mapping'!$A$4:$A$33,0),MATCH('lci-kick scooter'!$G78,'ei names mapping'!$B$3:$R$3,0))</f>
        <v>RER</v>
      </c>
      <c r="D78" s="12" t="str">
        <f>INDEX('ei names mapping'!$B$104:$R$133,MATCH('lci-kick scooter'!$B$5,'ei names mapping'!$A$4:$A$33,0),MATCH('lci-kick scooter'!$G78,'ei names mapping'!$B$3:$R$3,0))</f>
        <v>unit</v>
      </c>
      <c r="E78" s="12"/>
      <c r="F78" s="12" t="s">
        <v>91</v>
      </c>
      <c r="G78" s="21" t="s">
        <v>15</v>
      </c>
      <c r="H78" s="12" t="str">
        <f>INDEX('ei names mapping'!$B$71:$R$100,MATCH('lci-kick scooter'!$B$5,'ei names mapping'!$A$4:$A$33,0),MATCH('lci-kick scooter'!$G78,'ei names mapping'!$B$3:$R$3,0))</f>
        <v>bicycle</v>
      </c>
    </row>
    <row r="79" spans="1:8" x14ac:dyDescent="0.3">
      <c r="A79" s="12" t="str">
        <f>INDEX('ei names mapping'!$B$4:$R$33,MATCH('lci-kick scooter'!$B$5,'ei names mapping'!$A$4:$A$33,0),MATCH('lci-kick scooter'!$G79,'ei names mapping'!$B$3:$R$3,0))</f>
        <v>market for electric motor, vehicle</v>
      </c>
      <c r="B79" s="14">
        <f>INDEX('vehicles specifications'!$B$3:$CK$86,MATCH(B51,'vehicles specifications'!$A$3:$A$86,0),MATCH(G79,'vehicles specifications'!$B$2:$CK$2,0))*INDEX('ei names mapping'!$B$137:$BK$220,MATCH(B51,'ei names mapping'!$A$137:$A$220,0),MATCH(G79,'ei names mapping'!$B$136:$BK$136,0))</f>
        <v>2.9</v>
      </c>
      <c r="C79" s="12" t="str">
        <f>INDEX('ei names mapping'!$B$38:$R$67,MATCH('lci-kick scooter'!$B$5,'ei names mapping'!$A$4:$A$33,0),MATCH('lci-kick scooter'!$G79,'ei names mapping'!$B$3:$R$3,0))</f>
        <v>GLO</v>
      </c>
      <c r="D79" s="12" t="str">
        <f>INDEX('ei names mapping'!$B$104:$R$133,MATCH('lci-kick scooter'!$B$5,'ei names mapping'!$A$4:$A$33,0),MATCH('lci-kick scooter'!$G79,'ei names mapping'!$B$3:$R$3,0))</f>
        <v>kilogram</v>
      </c>
      <c r="E79" s="12"/>
      <c r="F79" s="12" t="s">
        <v>91</v>
      </c>
      <c r="G79" s="12" t="s">
        <v>557</v>
      </c>
      <c r="H79" s="12" t="str">
        <f>INDEX('ei names mapping'!$B$71:$R$100,MATCH('lci-kick scooter'!$B$5,'ei names mapping'!$A$4:$A$33,0),MATCH('lci-kick scooter'!$G79,'ei names mapping'!$B$3:$R$3,0))</f>
        <v>electric motor, vehicle</v>
      </c>
    </row>
    <row r="80" spans="1:8" s="21" customFormat="1" x14ac:dyDescent="0.3">
      <c r="A80" s="12" t="str">
        <f>INDEX('ei names mapping'!$B$4:$R$33,MATCH(B48,'ei names mapping'!$A$4:$A$33,0),MATCH(G80,'ei names mapping'!$B$3:$R$3,0))</f>
        <v>glider lightweighting</v>
      </c>
      <c r="B80" s="16">
        <f>INDEX('vehicles specifications'!$B$3:$CK$86,MATCH(B51,'vehicles specifications'!$A$3:$A$86,0),MATCH(G80,'vehicles specifications'!$B$2:$CK$2,0))*INDEX('ei names mapping'!$B$137:$BK$220,MATCH(B51,'ei names mapping'!$A$137:$A$220,0),MATCH(G80,'ei names mapping'!$B$136:$BK$136,0))</f>
        <v>0.21</v>
      </c>
      <c r="C80" s="12" t="str">
        <f>INDEX('ei names mapping'!$B$38:$R$67,MATCH(B48,'ei names mapping'!$A$4:$A$33,0),MATCH(G80,'ei names mapping'!$B$3:$R$3,0))</f>
        <v>GLO</v>
      </c>
      <c r="D80" s="12" t="str">
        <f>INDEX('ei names mapping'!$B$104:$R$133,MATCH(B48,'ei names mapping'!$A$4:$A$33,0),MATCH(G80,'ei names mapping'!$B$3:$R$3,0))</f>
        <v>kilogram</v>
      </c>
      <c r="E80" s="12"/>
      <c r="F80" s="12" t="s">
        <v>91</v>
      </c>
      <c r="G80" s="21" t="s">
        <v>14</v>
      </c>
      <c r="H80" s="12" t="str">
        <f>INDEX('ei names mapping'!$B$71:$R$100,MATCH(B48,'ei names mapping'!$A$4:$A$33,0),MATCH(G80,'ei names mapping'!$B$3:$R$3,0))</f>
        <v>glider lightweighting</v>
      </c>
    </row>
    <row r="81" spans="1:8" x14ac:dyDescent="0.3">
      <c r="A81" s="12" t="str">
        <f>INDEX('ei names mapping'!$B$4:$R$33,MATCH('lci-kick scooter'!$B$5,'ei names mapping'!$A$4:$A$33,0),MATCH('lci-kick scooter'!$G81,'ei names mapping'!$B$3:$R$3,0))</f>
        <v>Battery cell, NMC</v>
      </c>
      <c r="B81" s="14">
        <f>INDEX('vehicles specifications'!$B$3:$CK$86,MATCH(B51,'vehicles specifications'!$A$3:$A$86,0),MATCH(G81,'vehicles specifications'!$B$2:$CK$2,0))*INDEX('ei names mapping'!$B$137:$BK$220,MATCH(B51,'ei names mapping'!$A$137:$A$220,0),MATCH(G81,'ei names mapping'!$B$136:$BK$136,0))</f>
        <v>1.6666666666666667</v>
      </c>
      <c r="C81" s="12" t="str">
        <f>INDEX('ei names mapping'!$B$38:$R$67,MATCH('lci-kick scooter'!$B$5,'ei names mapping'!$A$4:$A$33,0),MATCH('lci-kick scooter'!$G81,'ei names mapping'!$B$3:$R$3,0))</f>
        <v>GLO</v>
      </c>
      <c r="D81" s="12" t="str">
        <f>INDEX('ei names mapping'!$B$104:$R$133,MATCH('lci-kick scooter'!$B$5,'ei names mapping'!$A$4:$A$33,0),MATCH('lci-kick scooter'!$G81,'ei names mapping'!$B$3:$R$3,0))</f>
        <v>kilogram</v>
      </c>
      <c r="E81" s="12"/>
      <c r="F81" s="12" t="s">
        <v>91</v>
      </c>
      <c r="G81" s="12" t="s">
        <v>19</v>
      </c>
      <c r="H81" s="12" t="str">
        <f>INDEX('ei names mapping'!$B$71:$R$100,MATCH('lci-kick scooter'!$B$5,'ei names mapping'!$A$4:$A$33,0),MATCH('lci-kick scooter'!$G81,'ei names mapping'!$B$3:$R$3,0))</f>
        <v>Battery cell</v>
      </c>
    </row>
    <row r="82" spans="1:8" x14ac:dyDescent="0.3">
      <c r="A82" s="12" t="str">
        <f>INDEX('ei names mapping'!$B$4:$R$33,MATCH('lci-kick scooter'!$B$5,'ei names mapping'!$A$4:$A$33,0),MATCH('lci-kick scooter'!$G82,'ei names mapping'!$B$3:$R$3,0))</f>
        <v>Battery BoP</v>
      </c>
      <c r="B82" s="14">
        <f>INDEX('vehicles specifications'!$B$3:$CK$86,MATCH(B51,'vehicles specifications'!$A$3:$A$86,0),MATCH(G82,'vehicles specifications'!$B$2:$CK$2,0))*INDEX('ei names mapping'!$B$137:$BK$220,MATCH(B51,'ei names mapping'!$A$137:$A$220,0),MATCH(G82,'ei names mapping'!$B$136:$BK$136,0))</f>
        <v>0.5</v>
      </c>
      <c r="C82" s="12" t="str">
        <f>INDEX('ei names mapping'!$B$38:$R$67,MATCH('lci-kick scooter'!$B$5,'ei names mapping'!$A$4:$A$33,0),MATCH('lci-kick scooter'!$G82,'ei names mapping'!$B$3:$R$3,0))</f>
        <v>GLO</v>
      </c>
      <c r="D82" s="12" t="str">
        <f>INDEX('ei names mapping'!$B$104:$R$133,MATCH('lci-kick scooter'!$B$5,'ei names mapping'!$A$4:$A$33,0),MATCH('lci-kick scooter'!$G82,'ei names mapping'!$B$3:$R$3,0))</f>
        <v>kilogram</v>
      </c>
      <c r="E82" s="12"/>
      <c r="F82" s="12" t="s">
        <v>91</v>
      </c>
      <c r="G82" s="12" t="s">
        <v>20</v>
      </c>
      <c r="H82" s="12" t="str">
        <f>INDEX('ei names mapping'!$B$71:$R$100,MATCH('lci-kick scooter'!$B$5,'ei names mapping'!$A$4:$A$33,0),MATCH('lci-kick scooter'!$G82,'ei names mapping'!$B$3:$R$3,0))</f>
        <v>Battery BoP</v>
      </c>
    </row>
    <row r="83" spans="1:8" x14ac:dyDescent="0.3">
      <c r="A83" s="12" t="str">
        <f>INDEX('ei names mapping'!$B$4:$R$33,MATCH('lci-kick scooter'!$B$5,'ei names mapping'!$A$4:$A$33,0),MATCH('lci-kick scooter'!$G83,'ei names mapping'!$B$3:$R$3,0))</f>
        <v>charging station, 100W</v>
      </c>
      <c r="B83" s="14">
        <f>INDEX('vehicles specifications'!$B$3:$CK$86,MATCH(B51,'vehicles specifications'!$A$3:$A$86,0),MATCH(G83,'vehicles specifications'!$B$2:$CK$2,0))*INDEX('ei names mapping'!$B$137:$BK$220,MATCH(B51,'ei names mapping'!$A$137:$A$220,0),MATCH(G83,'ei names mapping'!$B$136:$BK$136,0))</f>
        <v>1</v>
      </c>
      <c r="C83" s="12" t="str">
        <f>INDEX('ei names mapping'!$B$38:$R$67,MATCH('lci-kick scooter'!$B$5,'ei names mapping'!$A$4:$A$33,0),MATCH('lci-kick scooter'!$G83,'ei names mapping'!$B$3:$R$3,0))</f>
        <v>GLO</v>
      </c>
      <c r="D83" s="12" t="str">
        <f>INDEX('ei names mapping'!$B$104:$R$133,MATCH('lci-kick scooter'!$B$5,'ei names mapping'!$A$4:$A$33,0),MATCH('lci-kick scooter'!$G83,'ei names mapping'!$B$3:$R$3,0))</f>
        <v>unit</v>
      </c>
      <c r="F83" s="12" t="s">
        <v>91</v>
      </c>
      <c r="G83" t="s">
        <v>53</v>
      </c>
      <c r="H83" s="12" t="str">
        <f>INDEX('ei names mapping'!$B$71:$R$100,MATCH('lci-kick scooter'!$B$5,'ei names mapping'!$A$4:$A$33,0),MATCH('lci-kick scooter'!$G83,'ei names mapping'!$B$3:$R$3,0))</f>
        <v>charging station, 100W</v>
      </c>
    </row>
    <row r="84" spans="1:8" x14ac:dyDescent="0.3">
      <c r="A84" s="12" t="str">
        <f>INDEX('ei names mapping'!$B$4:$R$33,MATCH('lci-kick scooter'!$B$5,'ei names mapping'!$A$4:$A$33,0),MATCH('lci-kick scooter'!$G84,'ei names mapping'!$B$3:$R$3,0))</f>
        <v>treatment of used electric bicycle</v>
      </c>
      <c r="B84" s="14">
        <f>INDEX('vehicles specifications'!$B$3:$CK$86,MATCH(B51,'vehicles specifications'!$A$3:$A$86,0),MATCH(G84,'vehicles specifications'!$B$2:$CK$2,0))*INDEX('ei names mapping'!$B$137:$BK$220,MATCH(B51,'ei names mapping'!$A$137:$A$220,0),MATCH(G84,'ei names mapping'!$B$136:$BK$136,0))</f>
        <v>-0.12083333333333332</v>
      </c>
      <c r="C84" s="12" t="str">
        <f>INDEX('ei names mapping'!$B$38:$R$67,MATCH('lci-kick scooter'!$B$5,'ei names mapping'!$A$4:$A$33,0),MATCH('lci-kick scooter'!$G84,'ei names mapping'!$B$3:$R$3,0))</f>
        <v>CH</v>
      </c>
      <c r="D84" s="12" t="str">
        <f>INDEX('ei names mapping'!$B$104:$R$133,MATCH('lci-kick scooter'!$B$5,'ei names mapping'!$A$4:$A$33,0),MATCH('lci-kick scooter'!$G84,'ei names mapping'!$B$3:$R$3,0))</f>
        <v>unit</v>
      </c>
      <c r="F84" s="12" t="s">
        <v>91</v>
      </c>
      <c r="G84" t="s">
        <v>151</v>
      </c>
      <c r="H84" s="12" t="str">
        <f>INDEX('ei names mapping'!$B$71:$R$100,MATCH('lci-kick scooter'!$B$5,'ei names mapping'!$A$4:$A$33,0),MATCH('lci-kick scooter'!$G84,'ei names mapping'!$B$3:$R$3,0))</f>
        <v>used electric bicycle</v>
      </c>
    </row>
    <row r="85" spans="1:8" x14ac:dyDescent="0.3">
      <c r="A85" s="12" t="str">
        <f>INDEX('ei names mapping'!$B$4:$R$33,MATCH('lci-kick scooter'!$B$5,'ei names mapping'!$A$4:$A$33,0),MATCH('lci-kick scooter'!$G85,'ei names mapping'!$B$3:$R$3,0))</f>
        <v>market for used Li-ion battery</v>
      </c>
      <c r="B85" s="14">
        <f>INDEX('vehicles specifications'!$B$3:$CK$86,MATCH(B51,'vehicles specifications'!$A$3:$A$86,0),MATCH(G85,'vehicles specifications'!$B$2:$CK$2,0))*INDEX('ei names mapping'!$B$137:$BK$220,MATCH(B51,'ei names mapping'!$A$137:$A$220,0),MATCH(G85,'ei names mapping'!$B$136:$BK$136,0))</f>
        <v>-2.166666666666667</v>
      </c>
      <c r="C85" s="12" t="str">
        <f>INDEX('ei names mapping'!$B$38:$R$67,MATCH('lci-kick scooter'!$B$5,'ei names mapping'!$A$4:$A$33,0),MATCH('lci-kick scooter'!$G85,'ei names mapping'!$B$3:$R$3,0))</f>
        <v>GLO</v>
      </c>
      <c r="D85" s="12" t="str">
        <f>INDEX('ei names mapping'!$B$104:$R$133,MATCH('lci-kick scooter'!$B$5,'ei names mapping'!$A$4:$A$33,0),MATCH('lci-kick scooter'!$G85,'ei names mapping'!$B$3:$R$3,0))</f>
        <v>kilogram</v>
      </c>
      <c r="F85" s="12" t="s">
        <v>91</v>
      </c>
      <c r="G85" t="s">
        <v>152</v>
      </c>
      <c r="H85" s="12" t="str">
        <f>INDEX('ei names mapping'!$B$71:$R$100,MATCH('lci-kick scooter'!$B$5,'ei names mapping'!$A$4:$A$33,0),MATCH('lci-kick scooter'!$G85,'ei names mapping'!$B$3:$R$3,0))</f>
        <v>used Li-ion battery</v>
      </c>
    </row>
    <row r="86" spans="1:8" s="21" customFormat="1" x14ac:dyDescent="0.3">
      <c r="A86" s="22" t="s">
        <v>468</v>
      </c>
      <c r="B86" s="21">
        <f>(B61/1000)*B73</f>
        <v>11.856666666666666</v>
      </c>
      <c r="C86" s="21" t="s">
        <v>94</v>
      </c>
      <c r="D86" s="21" t="s">
        <v>243</v>
      </c>
      <c r="F86" s="21" t="s">
        <v>91</v>
      </c>
      <c r="H86" s="22" t="s">
        <v>469</v>
      </c>
    </row>
    <row r="87" spans="1:8" s="21" customFormat="1" x14ac:dyDescent="0.3">
      <c r="A87" s="22" t="s">
        <v>467</v>
      </c>
      <c r="B87" s="2">
        <f>(B61/1000)*B72</f>
        <v>188.52099999999999</v>
      </c>
      <c r="C87" s="21" t="s">
        <v>98</v>
      </c>
      <c r="D87" s="21" t="s">
        <v>243</v>
      </c>
      <c r="F87" s="21" t="s">
        <v>91</v>
      </c>
      <c r="H87" s="22" t="s">
        <v>467</v>
      </c>
    </row>
    <row r="89" spans="1:8" ht="15.6" x14ac:dyDescent="0.3">
      <c r="A89" s="11" t="s">
        <v>72</v>
      </c>
      <c r="B89" s="9" t="str">
        <f>B91&amp;", "&amp;B93</f>
        <v>Kick Scooter, electric, &lt;1kW, 2040</v>
      </c>
    </row>
    <row r="90" spans="1:8" x14ac:dyDescent="0.3">
      <c r="A90" t="s">
        <v>73</v>
      </c>
      <c r="B90" t="s">
        <v>37</v>
      </c>
    </row>
    <row r="91" spans="1:8" x14ac:dyDescent="0.3">
      <c r="A91" t="s">
        <v>87</v>
      </c>
      <c r="B91" s="12" t="s">
        <v>688</v>
      </c>
    </row>
    <row r="92" spans="1:8" x14ac:dyDescent="0.3">
      <c r="A92" t="s">
        <v>88</v>
      </c>
      <c r="B92" s="12"/>
    </row>
    <row r="93" spans="1:8" x14ac:dyDescent="0.3">
      <c r="A93" t="s">
        <v>89</v>
      </c>
      <c r="B93" s="12">
        <v>2040</v>
      </c>
    </row>
    <row r="94" spans="1:8" x14ac:dyDescent="0.3">
      <c r="A94" t="s">
        <v>131</v>
      </c>
      <c r="B94" s="12" t="str">
        <f>B91&amp;" - "&amp;B93&amp;" - "&amp;B90</f>
        <v>Kick Scooter, electric, &lt;1kW - 2040 - CH</v>
      </c>
    </row>
    <row r="95" spans="1:8" x14ac:dyDescent="0.3">
      <c r="A95" t="s">
        <v>74</v>
      </c>
      <c r="B95" s="12" t="str">
        <f>B91</f>
        <v>Kick Scooter, electric, &lt;1kW</v>
      </c>
    </row>
    <row r="96" spans="1:8" x14ac:dyDescent="0.3">
      <c r="A96" t="s">
        <v>75</v>
      </c>
      <c r="B96" t="s">
        <v>76</v>
      </c>
    </row>
    <row r="97" spans="1:2" x14ac:dyDescent="0.3">
      <c r="A97" t="s">
        <v>77</v>
      </c>
      <c r="B97" t="s">
        <v>77</v>
      </c>
    </row>
    <row r="98" spans="1:2" x14ac:dyDescent="0.3">
      <c r="A98" t="s">
        <v>79</v>
      </c>
      <c r="B98" t="s">
        <v>90</v>
      </c>
    </row>
    <row r="99" spans="1:2" x14ac:dyDescent="0.3">
      <c r="A99" t="s">
        <v>132</v>
      </c>
      <c r="B99">
        <f>INDEX('vehicles specifications'!$B$3:$CK$86,MATCH('lci-kick scooter'!B94,'vehicles specifications'!$A$3:$A$86,0),MATCH("Lifetime [km]",'vehicles specifications'!$B$2:$CK$2,0))</f>
        <v>1785</v>
      </c>
    </row>
    <row r="100" spans="1:2" x14ac:dyDescent="0.3">
      <c r="A100" t="s">
        <v>133</v>
      </c>
      <c r="B100">
        <f>INDEX('vehicles specifications'!$B$3:$CK$86,MATCH('lci-kick scooter'!B94,'vehicles specifications'!$A$3:$A$86,0),MATCH("Passengers [unit]",'vehicles specifications'!$B$2:$CK$2,0))</f>
        <v>1</v>
      </c>
    </row>
    <row r="101" spans="1:2" x14ac:dyDescent="0.3">
      <c r="A101" t="s">
        <v>134</v>
      </c>
      <c r="B101">
        <f>INDEX('vehicles specifications'!$B$3:$CK$86,MATCH('lci-kick scooter'!B94,'vehicles specifications'!$A$3:$A$86,0),MATCH("Servicing [unit]",'vehicles specifications'!$B$2:$CK$2,0))</f>
        <v>0.44624999999999998</v>
      </c>
    </row>
    <row r="102" spans="1:2" x14ac:dyDescent="0.3">
      <c r="A102" t="s">
        <v>135</v>
      </c>
      <c r="B102">
        <f>INDEX('vehicles specifications'!$B$3:$CK$86,MATCH('lci-kick scooter'!B94,'vehicles specifications'!$A$3:$A$86,0),MATCH("Energy battery replacement [unit]",'vehicles specifications'!$B$2:$CK$2,0))</f>
        <v>0</v>
      </c>
    </row>
    <row r="103" spans="1:2" x14ac:dyDescent="0.3">
      <c r="A103" t="s">
        <v>136</v>
      </c>
      <c r="B103">
        <f>INDEX('vehicles specifications'!$B$3:$CK$86,MATCH('lci-kick scooter'!B94,'vehicles specifications'!$A$3:$A$86,0),MATCH("Annual kilometers [km]",'vehicles specifications'!$B$2:$CK$2,0))</f>
        <v>890</v>
      </c>
    </row>
    <row r="104" spans="1:2" x14ac:dyDescent="0.3">
      <c r="A104" t="s">
        <v>137</v>
      </c>
      <c r="B104">
        <f>INDEX('vehicles specifications'!$B$3:$CK$86,MATCH('lci-kick scooter'!B94,'vehicles specifications'!$A$3:$A$86,0),MATCH("Curb mass [kg]",'vehicles specifications'!$B$2:$CK$2,0))</f>
        <v>12.049999999999999</v>
      </c>
    </row>
    <row r="105" spans="1:2" x14ac:dyDescent="0.3">
      <c r="A105" t="s">
        <v>138</v>
      </c>
      <c r="B105">
        <f>INDEX('vehicles specifications'!$B$3:$CK$86,MATCH('lci-kick scooter'!B94,'vehicles specifications'!$A$3:$A$86,0),MATCH("Power [kW]",'vehicles specifications'!$B$2:$CK$2,0))</f>
        <v>0.25</v>
      </c>
    </row>
    <row r="106" spans="1:2" x14ac:dyDescent="0.3">
      <c r="A106" t="s">
        <v>139</v>
      </c>
      <c r="B106">
        <f>INDEX('vehicles specifications'!$B$3:$CK$86,MATCH('lci-kick scooter'!B94,'vehicles specifications'!$A$3:$A$86,0),MATCH("Energy battery mass [kg]",'vehicles specifications'!$B$2:$CK$2,0))</f>
        <v>2.6</v>
      </c>
    </row>
    <row r="107" spans="1:2" x14ac:dyDescent="0.3">
      <c r="A107" t="s">
        <v>140</v>
      </c>
      <c r="B107" s="21">
        <f>INDEX('vehicles specifications'!$B$3:$CK$86,MATCH('lci-kick scooter'!B94,'vehicles specifications'!$A$3:$A$86,0),MATCH("Electric energy stored [kWh]",'vehicles specifications'!$B$2:$CK$2,0))</f>
        <v>0.8</v>
      </c>
    </row>
    <row r="108" spans="1:2" s="21" customFormat="1" x14ac:dyDescent="0.3">
      <c r="A108" s="21" t="s">
        <v>654</v>
      </c>
      <c r="B108" s="21">
        <f>INDEX('vehicles specifications'!$B$3:$CK$86,MATCH('lci-kick scooter'!B94,'vehicles specifications'!$A$3:$A$86,0),MATCH("Electric energy available [kWh]",'vehicles specifications'!$B$2:$CK$2,0))</f>
        <v>0.64000000000000012</v>
      </c>
    </row>
    <row r="109" spans="1:2" x14ac:dyDescent="0.3">
      <c r="A109" t="s">
        <v>143</v>
      </c>
      <c r="B109">
        <f>INDEX('vehicles specifications'!$B$3:$CK$86,MATCH('lci-kick scooter'!B94,'vehicles specifications'!$A$3:$A$86,0),MATCH("Oxydation energy stored [kWh]",'vehicles specifications'!$B$2:$CK$2,0))</f>
        <v>0</v>
      </c>
    </row>
    <row r="110" spans="1:2" x14ac:dyDescent="0.3">
      <c r="A110" t="s">
        <v>145</v>
      </c>
      <c r="B110">
        <f>INDEX('vehicles specifications'!$B$3:$CK$86,MATCH('lci-kick scooter'!B94,'vehicles specifications'!$A$3:$A$86,0),MATCH("Fuel mass [kg]",'vehicles specifications'!$B$2:$CK$2,0))</f>
        <v>0</v>
      </c>
    </row>
    <row r="111" spans="1:2" x14ac:dyDescent="0.3">
      <c r="A111" t="s">
        <v>141</v>
      </c>
      <c r="B111">
        <f>INDEX('vehicles specifications'!$B$3:$CK$86,MATCH('lci-kick scooter'!B94,'vehicles specifications'!$A$3:$A$86,0),MATCH("Range [km]",'vehicles specifications'!$B$2:$CK$2,0))</f>
        <v>26.751401869158883</v>
      </c>
    </row>
    <row r="112" spans="1:2" x14ac:dyDescent="0.3">
      <c r="A112" t="s">
        <v>142</v>
      </c>
      <c r="B112" t="str">
        <f>INDEX('vehicles specifications'!$B$3:$CK$86,MATCH('lci-kick scooter'!B94,'vehicles specifications'!$A$3:$A$86,0),MATCH("Emission standard",'vehicles specifications'!$B$2:$CK$2,0))</f>
        <v>None</v>
      </c>
    </row>
    <row r="113" spans="1:8" x14ac:dyDescent="0.3">
      <c r="A113" t="s">
        <v>144</v>
      </c>
      <c r="B113" s="6">
        <f>INDEX('vehicles specifications'!$B$3:$CK$86,MATCH('lci-kick scooter'!B94,'vehicles specifications'!$A$3:$A$86,0),MATCH("Lightweighting rate [%]",'vehicles specifications'!$B$2:$CK$2,0))</f>
        <v>0.05</v>
      </c>
    </row>
    <row r="114" spans="1:8" s="21" customFormat="1" x14ac:dyDescent="0.3">
      <c r="A114" s="21" t="s">
        <v>513</v>
      </c>
      <c r="B114" s="6" t="s">
        <v>514</v>
      </c>
    </row>
    <row r="115" spans="1:8" s="21" customFormat="1" x14ac:dyDescent="0.3">
      <c r="A115" s="21" t="s">
        <v>515</v>
      </c>
      <c r="B115" s="2">
        <v>15900</v>
      </c>
    </row>
    <row r="116" spans="1:8" s="21" customFormat="1" x14ac:dyDescent="0.3">
      <c r="A116" s="21" t="s">
        <v>516</v>
      </c>
      <c r="B116" s="2">
        <v>1000</v>
      </c>
    </row>
    <row r="117" spans="1:8" s="21" customFormat="1" x14ac:dyDescent="0.3">
      <c r="A117" s="21" t="s">
        <v>84</v>
      </c>
      <c r="B117" s="21" t="str">
        <f>"Power: "&amp;B105&amp;" kW. Lifetime: "&amp;B99&amp;" km. Annual kilometers: "&amp;ROUND(B103,0)&amp;" km. Number of passengers: "&amp;ROUND(B100,1)&amp;". Curb mass: "&amp;ROUND(B104,1)&amp;" kg. Lightweighting of glider: "&amp;ROUND(B113*100,0)&amp;"%. Emission standard: "&amp;B112&amp;". Service visits throughout lifetime: "&amp;ROUND(B101,1)&amp;". Range: "&amp;ROUND(B111,0)&amp;" km. Battery capacity: "&amp;ROUND(B107,1)&amp;" kWh. Available battery capacity: "&amp;B108&amp;" kWh. Battery mass: "&amp;ROUND(B106,1)&amp; " kg. Battery replacement throughout lifetime: "&amp;ROUND(B102,1)&amp;". Fuel tank capacity: "&amp;ROUND(B109,1)&amp;" kWh. Fuel mass: "&amp;ROUND(B110,1)&amp;" kg. Origin of manufacture: "&amp;B114&amp;". Shipping distance: "&amp;B115&amp;" km. Lorry distribution distance: "&amp;B116&amp;" km. Documentation: "&amp;Readmefirst!$B$2&amp;", "&amp;Readmefirst!$B$3&amp;". "&amp;'lci-kick scooter'!B98</f>
        <v>Power: 0.25 kW. Lifetime: 1785 km. Annual kilometers: 890 km. Number of passengers: 1. Curb mass: 12.1 kg. Lightweighting of glider: 5%. Emission standard: None. Service visits throughout lifetime: 0.4. Range: 27 km. Battery capacity: 0.8 kWh. Available battery capacity: 0.64 kWh. Battery mass: 2.6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18" spans="1:8" ht="15.6" x14ac:dyDescent="0.3">
      <c r="A118" s="11" t="s">
        <v>80</v>
      </c>
    </row>
    <row r="119" spans="1:8" x14ac:dyDescent="0.3">
      <c r="A119" t="s">
        <v>81</v>
      </c>
      <c r="B119" t="s">
        <v>82</v>
      </c>
      <c r="C119" t="s">
        <v>73</v>
      </c>
      <c r="D119" t="s">
        <v>77</v>
      </c>
      <c r="E119" t="s">
        <v>83</v>
      </c>
      <c r="F119" t="s">
        <v>75</v>
      </c>
      <c r="G119" t="s">
        <v>84</v>
      </c>
      <c r="H119" t="s">
        <v>74</v>
      </c>
    </row>
    <row r="120" spans="1:8" x14ac:dyDescent="0.3">
      <c r="A120" s="12" t="str">
        <f>B89</f>
        <v>Kick Scooter, electric, &lt;1kW, 2040</v>
      </c>
      <c r="B120" s="12">
        <v>1</v>
      </c>
      <c r="C120" s="12" t="str">
        <f>B90</f>
        <v>CH</v>
      </c>
      <c r="D120" s="12" t="str">
        <f>B97</f>
        <v>unit</v>
      </c>
      <c r="E120" s="12"/>
      <c r="F120" s="12" t="s">
        <v>85</v>
      </c>
      <c r="G120" s="12" t="s">
        <v>86</v>
      </c>
      <c r="H120" s="12" t="str">
        <f>B95</f>
        <v>Kick Scooter, electric, &lt;1kW</v>
      </c>
    </row>
    <row r="121" spans="1:8" x14ac:dyDescent="0.3">
      <c r="A121" s="12" t="str">
        <f>INDEX('ei names mapping'!$B$4:$R$33,MATCH('lci-kick scooter'!$B$5,'ei names mapping'!$A$4:$A$33,0),MATCH('lci-kick scooter'!$G121,'ei names mapping'!$B$3:$R$3,0))</f>
        <v>bicycle production</v>
      </c>
      <c r="B121" s="14">
        <f>INDEX('vehicles specifications'!$B$3:$CK$86,MATCH(B94,'vehicles specifications'!$A$3:$A$86,0),MATCH(G121,'vehicles specifications'!$B$2:$CK$2,0))*INDEX('ei names mapping'!$B$137:$BK$220,MATCH(B94,'ei names mapping'!$A$137:$A$220,0),MATCH(G121,'ei names mapping'!$B$136:$BK$136,0))</f>
        <v>0.41176470588235292</v>
      </c>
      <c r="C121" s="12" t="str">
        <f>INDEX('ei names mapping'!$B$38:$R$67,MATCH('lci-kick scooter'!$B$5,'ei names mapping'!$A$4:$A$33,0),MATCH('lci-kick scooter'!$G121,'ei names mapping'!$B$3:$R$3,0))</f>
        <v>RER</v>
      </c>
      <c r="D121" s="12" t="str">
        <f>INDEX('ei names mapping'!$B$104:$R$133,MATCH('lci-kick scooter'!$B$5,'ei names mapping'!$A$4:$A$33,0),MATCH('lci-kick scooter'!$G121,'ei names mapping'!$B$3:$R$3,0))</f>
        <v>unit</v>
      </c>
      <c r="E121" s="12"/>
      <c r="F121" s="12" t="s">
        <v>91</v>
      </c>
      <c r="G121" s="21" t="s">
        <v>15</v>
      </c>
      <c r="H121" s="12" t="str">
        <f>INDEX('ei names mapping'!$B$71:$R$100,MATCH('lci-kick scooter'!$B$5,'ei names mapping'!$A$4:$A$33,0),MATCH('lci-kick scooter'!$G121,'ei names mapping'!$B$3:$R$3,0))</f>
        <v>bicycle</v>
      </c>
    </row>
    <row r="122" spans="1:8" x14ac:dyDescent="0.3">
      <c r="A122" s="12" t="str">
        <f>INDEX('ei names mapping'!$B$4:$R$33,MATCH('lci-kick scooter'!$B$5,'ei names mapping'!$A$4:$A$33,0),MATCH('lci-kick scooter'!$G122,'ei names mapping'!$B$3:$R$3,0))</f>
        <v>market for electric motor, vehicle</v>
      </c>
      <c r="B122" s="14">
        <f>INDEX('vehicles specifications'!$B$3:$CK$86,MATCH(B94,'vehicles specifications'!$A$3:$A$86,0),MATCH(G122,'vehicles specifications'!$B$2:$CK$2,0))*INDEX('ei names mapping'!$B$137:$BK$220,MATCH(B94,'ei names mapping'!$A$137:$A$220,0),MATCH(G122,'ei names mapping'!$B$136:$BK$136,0))</f>
        <v>2.8</v>
      </c>
      <c r="C122" s="12" t="str">
        <f>INDEX('ei names mapping'!$B$38:$R$67,MATCH('lci-kick scooter'!$B$5,'ei names mapping'!$A$4:$A$33,0),MATCH('lci-kick scooter'!$G122,'ei names mapping'!$B$3:$R$3,0))</f>
        <v>GLO</v>
      </c>
      <c r="D122" s="12" t="str">
        <f>INDEX('ei names mapping'!$B$104:$R$133,MATCH('lci-kick scooter'!$B$5,'ei names mapping'!$A$4:$A$33,0),MATCH('lci-kick scooter'!$G122,'ei names mapping'!$B$3:$R$3,0))</f>
        <v>kilogram</v>
      </c>
      <c r="E122" s="12"/>
      <c r="F122" s="12" t="s">
        <v>91</v>
      </c>
      <c r="G122" s="12" t="s">
        <v>557</v>
      </c>
      <c r="H122" s="12" t="str">
        <f>INDEX('ei names mapping'!$B$71:$R$100,MATCH('lci-kick scooter'!$B$5,'ei names mapping'!$A$4:$A$33,0),MATCH('lci-kick scooter'!$G122,'ei names mapping'!$B$3:$R$3,0))</f>
        <v>electric motor, vehicle</v>
      </c>
    </row>
    <row r="123" spans="1:8" s="21" customFormat="1" x14ac:dyDescent="0.3">
      <c r="A123" s="12" t="str">
        <f>INDEX('ei names mapping'!$B$4:$R$33,MATCH(B91,'ei names mapping'!$A$4:$A$33,0),MATCH(G123,'ei names mapping'!$B$3:$R$3,0))</f>
        <v>glider lightweighting</v>
      </c>
      <c r="B123" s="16">
        <f>INDEX('vehicles specifications'!$B$3:$CK$86,MATCH(B94,'vehicles specifications'!$A$3:$A$86,0),MATCH(G123,'vehicles specifications'!$B$2:$CK$2,0))*INDEX('ei names mapping'!$B$137:$BK$220,MATCH(B94,'ei names mapping'!$A$137:$A$220,0),MATCH(G123,'ei names mapping'!$B$136:$BK$136,0))</f>
        <v>0.35000000000000003</v>
      </c>
      <c r="C123" s="12" t="str">
        <f>INDEX('ei names mapping'!$B$38:$R$67,MATCH(B91,'ei names mapping'!$A$4:$A$33,0),MATCH(G123,'ei names mapping'!$B$3:$R$3,0))</f>
        <v>GLO</v>
      </c>
      <c r="D123" s="12" t="str">
        <f>INDEX('ei names mapping'!$B$104:$R$133,MATCH(B91,'ei names mapping'!$A$4:$A$33,0),MATCH(G123,'ei names mapping'!$B$3:$R$3,0))</f>
        <v>kilogram</v>
      </c>
      <c r="E123" s="12"/>
      <c r="F123" s="12" t="s">
        <v>91</v>
      </c>
      <c r="G123" s="21" t="s">
        <v>14</v>
      </c>
      <c r="H123" s="12" t="str">
        <f>INDEX('ei names mapping'!$B$71:$R$100,MATCH(B91,'ei names mapping'!$A$4:$A$33,0),MATCH(G123,'ei names mapping'!$B$3:$R$3,0))</f>
        <v>glider lightweighting</v>
      </c>
    </row>
    <row r="124" spans="1:8" x14ac:dyDescent="0.3">
      <c r="A124" s="12" t="str">
        <f>INDEX('ei names mapping'!$B$4:$R$33,MATCH('lci-kick scooter'!$B$5,'ei names mapping'!$A$4:$A$33,0),MATCH('lci-kick scooter'!$G124,'ei names mapping'!$B$3:$R$3,0))</f>
        <v>Battery cell, NMC</v>
      </c>
      <c r="B124" s="14">
        <f>INDEX('vehicles specifications'!$B$3:$CK$86,MATCH(B94,'vehicles specifications'!$A$3:$A$86,0),MATCH(G124,'vehicles specifications'!$B$2:$CK$2,0))*INDEX('ei names mapping'!$B$137:$BK$220,MATCH(B94,'ei names mapping'!$A$137:$A$220,0),MATCH(G124,'ei names mapping'!$B$136:$BK$136,0))</f>
        <v>2</v>
      </c>
      <c r="C124" s="12" t="str">
        <f>INDEX('ei names mapping'!$B$38:$R$67,MATCH('lci-kick scooter'!$B$5,'ei names mapping'!$A$4:$A$33,0),MATCH('lci-kick scooter'!$G124,'ei names mapping'!$B$3:$R$3,0))</f>
        <v>GLO</v>
      </c>
      <c r="D124" s="12" t="str">
        <f>INDEX('ei names mapping'!$B$104:$R$133,MATCH('lci-kick scooter'!$B$5,'ei names mapping'!$A$4:$A$33,0),MATCH('lci-kick scooter'!$G124,'ei names mapping'!$B$3:$R$3,0))</f>
        <v>kilogram</v>
      </c>
      <c r="E124" s="12"/>
      <c r="F124" s="12" t="s">
        <v>91</v>
      </c>
      <c r="G124" s="12" t="s">
        <v>19</v>
      </c>
      <c r="H124" s="12" t="str">
        <f>INDEX('ei names mapping'!$B$71:$R$100,MATCH('lci-kick scooter'!$B$5,'ei names mapping'!$A$4:$A$33,0),MATCH('lci-kick scooter'!$G124,'ei names mapping'!$B$3:$R$3,0))</f>
        <v>Battery cell</v>
      </c>
    </row>
    <row r="125" spans="1:8" x14ac:dyDescent="0.3">
      <c r="A125" s="12" t="str">
        <f>INDEX('ei names mapping'!$B$4:$R$33,MATCH('lci-kick scooter'!$B$5,'ei names mapping'!$A$4:$A$33,0),MATCH('lci-kick scooter'!$G125,'ei names mapping'!$B$3:$R$3,0))</f>
        <v>Battery BoP</v>
      </c>
      <c r="B125" s="14">
        <f>INDEX('vehicles specifications'!$B$3:$CK$86,MATCH(B94,'vehicles specifications'!$A$3:$A$86,0),MATCH(G125,'vehicles specifications'!$B$2:$CK$2,0))*INDEX('ei names mapping'!$B$137:$BK$220,MATCH(B94,'ei names mapping'!$A$137:$A$220,0),MATCH(G125,'ei names mapping'!$B$136:$BK$136,0))</f>
        <v>0.6</v>
      </c>
      <c r="C125" s="12" t="str">
        <f>INDEX('ei names mapping'!$B$38:$R$67,MATCH('lci-kick scooter'!$B$5,'ei names mapping'!$A$4:$A$33,0),MATCH('lci-kick scooter'!$G125,'ei names mapping'!$B$3:$R$3,0))</f>
        <v>GLO</v>
      </c>
      <c r="D125" s="12" t="str">
        <f>INDEX('ei names mapping'!$B$104:$R$133,MATCH('lci-kick scooter'!$B$5,'ei names mapping'!$A$4:$A$33,0),MATCH('lci-kick scooter'!$G125,'ei names mapping'!$B$3:$R$3,0))</f>
        <v>kilogram</v>
      </c>
      <c r="E125" s="12"/>
      <c r="F125" s="12" t="s">
        <v>91</v>
      </c>
      <c r="G125" s="12" t="s">
        <v>20</v>
      </c>
      <c r="H125" s="12" t="str">
        <f>INDEX('ei names mapping'!$B$71:$R$100,MATCH('lci-kick scooter'!$B$5,'ei names mapping'!$A$4:$A$33,0),MATCH('lci-kick scooter'!$G125,'ei names mapping'!$B$3:$R$3,0))</f>
        <v>Battery BoP</v>
      </c>
    </row>
    <row r="126" spans="1:8" x14ac:dyDescent="0.3">
      <c r="A126" s="12" t="str">
        <f>INDEX('ei names mapping'!$B$4:$R$33,MATCH('lci-kick scooter'!$B$5,'ei names mapping'!$A$4:$A$33,0),MATCH('lci-kick scooter'!$G126,'ei names mapping'!$B$3:$R$3,0))</f>
        <v>charging station, 100W</v>
      </c>
      <c r="B126" s="14">
        <f>INDEX('vehicles specifications'!$B$3:$CK$86,MATCH(B94,'vehicles specifications'!$A$3:$A$86,0),MATCH(G126,'vehicles specifications'!$B$2:$CK$2,0))*INDEX('ei names mapping'!$B$137:$BK$220,MATCH(B94,'ei names mapping'!$A$137:$A$220,0),MATCH(G126,'ei names mapping'!$B$136:$BK$136,0))</f>
        <v>1</v>
      </c>
      <c r="C126" s="12" t="str">
        <f>INDEX('ei names mapping'!$B$38:$R$67,MATCH('lci-kick scooter'!$B$5,'ei names mapping'!$A$4:$A$33,0),MATCH('lci-kick scooter'!$G126,'ei names mapping'!$B$3:$R$3,0))</f>
        <v>GLO</v>
      </c>
      <c r="D126" s="12" t="str">
        <f>INDEX('ei names mapping'!$B$104:$R$133,MATCH('lci-kick scooter'!$B$5,'ei names mapping'!$A$4:$A$33,0),MATCH('lci-kick scooter'!$G126,'ei names mapping'!$B$3:$R$3,0))</f>
        <v>unit</v>
      </c>
      <c r="F126" s="12" t="s">
        <v>91</v>
      </c>
      <c r="G126" t="s">
        <v>53</v>
      </c>
      <c r="H126" s="12" t="str">
        <f>INDEX('ei names mapping'!$B$71:$R$100,MATCH('lci-kick scooter'!$B$5,'ei names mapping'!$A$4:$A$33,0),MATCH('lci-kick scooter'!$G126,'ei names mapping'!$B$3:$R$3,0))</f>
        <v>charging station, 100W</v>
      </c>
    </row>
    <row r="127" spans="1:8" x14ac:dyDescent="0.3">
      <c r="A127" s="12" t="str">
        <f>INDEX('ei names mapping'!$B$4:$R$33,MATCH('lci-kick scooter'!$B$5,'ei names mapping'!$A$4:$A$33,0),MATCH('lci-kick scooter'!$G127,'ei names mapping'!$B$3:$R$3,0))</f>
        <v>treatment of used electric bicycle</v>
      </c>
      <c r="B127" s="14">
        <f>INDEX('vehicles specifications'!$B$3:$CK$86,MATCH(B94,'vehicles specifications'!$A$3:$A$86,0),MATCH(G127,'vehicles specifications'!$B$2:$CK$2,0))*INDEX('ei names mapping'!$B$137:$BK$220,MATCH(B94,'ei names mapping'!$A$137:$A$220,0),MATCH(G127,'ei names mapping'!$B$136:$BK$136,0))</f>
        <v>-0.11666666666666665</v>
      </c>
      <c r="C127" s="12" t="str">
        <f>INDEX('ei names mapping'!$B$38:$R$67,MATCH('lci-kick scooter'!$B$5,'ei names mapping'!$A$4:$A$33,0),MATCH('lci-kick scooter'!$G127,'ei names mapping'!$B$3:$R$3,0))</f>
        <v>CH</v>
      </c>
      <c r="D127" s="12" t="str">
        <f>INDEX('ei names mapping'!$B$104:$R$133,MATCH('lci-kick scooter'!$B$5,'ei names mapping'!$A$4:$A$33,0),MATCH('lci-kick scooter'!$G127,'ei names mapping'!$B$3:$R$3,0))</f>
        <v>unit</v>
      </c>
      <c r="F127" s="12" t="s">
        <v>91</v>
      </c>
      <c r="G127" t="s">
        <v>151</v>
      </c>
      <c r="H127" s="12" t="str">
        <f>INDEX('ei names mapping'!$B$71:$R$100,MATCH('lci-kick scooter'!$B$5,'ei names mapping'!$A$4:$A$33,0),MATCH('lci-kick scooter'!$G127,'ei names mapping'!$B$3:$R$3,0))</f>
        <v>used electric bicycle</v>
      </c>
    </row>
    <row r="128" spans="1:8" x14ac:dyDescent="0.3">
      <c r="A128" s="12" t="str">
        <f>INDEX('ei names mapping'!$B$4:$R$33,MATCH('lci-kick scooter'!$B$5,'ei names mapping'!$A$4:$A$33,0),MATCH('lci-kick scooter'!$G128,'ei names mapping'!$B$3:$R$3,0))</f>
        <v>market for used Li-ion battery</v>
      </c>
      <c r="B128" s="14">
        <f>INDEX('vehicles specifications'!$B$3:$CK$86,MATCH(B94,'vehicles specifications'!$A$3:$A$86,0),MATCH(G128,'vehicles specifications'!$B$2:$CK$2,0))*INDEX('ei names mapping'!$B$137:$BK$220,MATCH(B94,'ei names mapping'!$A$137:$A$220,0),MATCH(G128,'ei names mapping'!$B$136:$BK$136,0))</f>
        <v>-2.6</v>
      </c>
      <c r="C128" s="12" t="str">
        <f>INDEX('ei names mapping'!$B$38:$R$67,MATCH('lci-kick scooter'!$B$5,'ei names mapping'!$A$4:$A$33,0),MATCH('lci-kick scooter'!$G128,'ei names mapping'!$B$3:$R$3,0))</f>
        <v>GLO</v>
      </c>
      <c r="D128" s="12" t="str">
        <f>INDEX('ei names mapping'!$B$104:$R$133,MATCH('lci-kick scooter'!$B$5,'ei names mapping'!$A$4:$A$33,0),MATCH('lci-kick scooter'!$G128,'ei names mapping'!$B$3:$R$3,0))</f>
        <v>kilogram</v>
      </c>
      <c r="F128" s="12" t="s">
        <v>91</v>
      </c>
      <c r="G128" t="s">
        <v>152</v>
      </c>
      <c r="H128" s="12" t="str">
        <f>INDEX('ei names mapping'!$B$71:$R$100,MATCH('lci-kick scooter'!$B$5,'ei names mapping'!$A$4:$A$33,0),MATCH('lci-kick scooter'!$G128,'ei names mapping'!$B$3:$R$3,0))</f>
        <v>used Li-ion battery</v>
      </c>
    </row>
    <row r="129" spans="1:8" s="21" customFormat="1" x14ac:dyDescent="0.3">
      <c r="A129" s="22" t="s">
        <v>468</v>
      </c>
      <c r="B129" s="21">
        <f>(B104/1000)*B116</f>
        <v>12.049999999999999</v>
      </c>
      <c r="C129" s="21" t="s">
        <v>94</v>
      </c>
      <c r="D129" s="21" t="s">
        <v>243</v>
      </c>
      <c r="F129" s="21" t="s">
        <v>91</v>
      </c>
      <c r="H129" s="22" t="s">
        <v>469</v>
      </c>
    </row>
    <row r="130" spans="1:8" s="21" customFormat="1" x14ac:dyDescent="0.3">
      <c r="A130" s="22" t="s">
        <v>467</v>
      </c>
      <c r="B130" s="2">
        <f>(B104/1000)*B115</f>
        <v>191.59499999999997</v>
      </c>
      <c r="C130" s="21" t="s">
        <v>98</v>
      </c>
      <c r="D130" s="21" t="s">
        <v>243</v>
      </c>
      <c r="F130" s="21" t="s">
        <v>91</v>
      </c>
      <c r="H130" s="22" t="s">
        <v>467</v>
      </c>
    </row>
    <row r="131" spans="1:8" x14ac:dyDescent="0.3">
      <c r="B131" s="6"/>
    </row>
    <row r="132" spans="1:8" ht="15.6" x14ac:dyDescent="0.3">
      <c r="A132" s="11" t="s">
        <v>72</v>
      </c>
      <c r="B132" s="9" t="str">
        <f>B134&amp;", "&amp;B136</f>
        <v>Kick Scooter, electric, &lt;1kW, 2050</v>
      </c>
    </row>
    <row r="133" spans="1:8" x14ac:dyDescent="0.3">
      <c r="A133" t="s">
        <v>73</v>
      </c>
      <c r="B133" t="s">
        <v>37</v>
      </c>
    </row>
    <row r="134" spans="1:8" x14ac:dyDescent="0.3">
      <c r="A134" t="s">
        <v>87</v>
      </c>
      <c r="B134" s="12" t="s">
        <v>688</v>
      </c>
    </row>
    <row r="135" spans="1:8" x14ac:dyDescent="0.3">
      <c r="A135" t="s">
        <v>88</v>
      </c>
      <c r="B135" s="12"/>
    </row>
    <row r="136" spans="1:8" x14ac:dyDescent="0.3">
      <c r="A136" t="s">
        <v>89</v>
      </c>
      <c r="B136" s="12">
        <v>2050</v>
      </c>
    </row>
    <row r="137" spans="1:8" x14ac:dyDescent="0.3">
      <c r="A137" t="s">
        <v>131</v>
      </c>
      <c r="B137" s="12" t="str">
        <f>B134&amp;" - "&amp;B136&amp;" - "&amp;B133</f>
        <v>Kick Scooter, electric, &lt;1kW - 2050 - CH</v>
      </c>
    </row>
    <row r="138" spans="1:8" x14ac:dyDescent="0.3">
      <c r="A138" t="s">
        <v>74</v>
      </c>
      <c r="B138" s="12" t="str">
        <f>B134</f>
        <v>Kick Scooter, electric, &lt;1kW</v>
      </c>
    </row>
    <row r="139" spans="1:8" x14ac:dyDescent="0.3">
      <c r="A139" t="s">
        <v>75</v>
      </c>
      <c r="B139" t="s">
        <v>76</v>
      </c>
    </row>
    <row r="140" spans="1:8" x14ac:dyDescent="0.3">
      <c r="A140" t="s">
        <v>77</v>
      </c>
      <c r="B140" t="s">
        <v>77</v>
      </c>
    </row>
    <row r="141" spans="1:8" x14ac:dyDescent="0.3">
      <c r="A141" t="s">
        <v>79</v>
      </c>
      <c r="B141" t="s">
        <v>90</v>
      </c>
    </row>
    <row r="142" spans="1:8" x14ac:dyDescent="0.3">
      <c r="A142" t="s">
        <v>132</v>
      </c>
      <c r="B142">
        <f>INDEX('vehicles specifications'!$B$3:$CK$86,MATCH('lci-kick scooter'!B137,'vehicles specifications'!$A$3:$A$86,0),MATCH("Lifetime [km]",'vehicles specifications'!$B$2:$CK$2,0))</f>
        <v>1785</v>
      </c>
    </row>
    <row r="143" spans="1:8" x14ac:dyDescent="0.3">
      <c r="A143" t="s">
        <v>133</v>
      </c>
      <c r="B143">
        <f>INDEX('vehicles specifications'!$B$3:$CK$86,MATCH('lci-kick scooter'!B137,'vehicles specifications'!$A$3:$A$86,0),MATCH("Passengers [unit]",'vehicles specifications'!$B$2:$CK$2,0))</f>
        <v>1</v>
      </c>
    </row>
    <row r="144" spans="1:8" x14ac:dyDescent="0.3">
      <c r="A144" t="s">
        <v>134</v>
      </c>
      <c r="B144">
        <f>INDEX('vehicles specifications'!$B$3:$CK$86,MATCH('lci-kick scooter'!B137,'vehicles specifications'!$A$3:$A$86,0),MATCH("Servicing [unit]",'vehicles specifications'!$B$2:$CK$2,0))</f>
        <v>0.44624999999999998</v>
      </c>
    </row>
    <row r="145" spans="1:2" x14ac:dyDescent="0.3">
      <c r="A145" t="s">
        <v>135</v>
      </c>
      <c r="B145">
        <f>INDEX('vehicles specifications'!$B$3:$CK$86,MATCH('lci-kick scooter'!B137,'vehicles specifications'!$A$3:$A$86,0),MATCH("Energy battery replacement [unit]",'vehicles specifications'!$B$2:$CK$2,0))</f>
        <v>0</v>
      </c>
    </row>
    <row r="146" spans="1:2" x14ac:dyDescent="0.3">
      <c r="A146" t="s">
        <v>136</v>
      </c>
      <c r="B146">
        <f>INDEX('vehicles specifications'!$B$3:$CK$86,MATCH('lci-kick scooter'!B137,'vehicles specifications'!$A$3:$A$86,0),MATCH("Annual kilometers [km]",'vehicles specifications'!$B$2:$CK$2,0))</f>
        <v>890</v>
      </c>
    </row>
    <row r="147" spans="1:2" x14ac:dyDescent="0.3">
      <c r="A147" t="s">
        <v>137</v>
      </c>
      <c r="B147">
        <f>INDEX('vehicles specifications'!$B$3:$CK$86,MATCH('lci-kick scooter'!B137,'vehicles specifications'!$A$3:$A$86,0),MATCH("Curb mass [kg]",'vehicles specifications'!$B$2:$CK$2,0))</f>
        <v>11.81</v>
      </c>
    </row>
    <row r="148" spans="1:2" x14ac:dyDescent="0.3">
      <c r="A148" t="s">
        <v>138</v>
      </c>
      <c r="B148">
        <f>INDEX('vehicles specifications'!$B$3:$CK$86,MATCH('lci-kick scooter'!B137,'vehicles specifications'!$A$3:$A$86,0),MATCH("Power [kW]",'vehicles specifications'!$B$2:$CK$2,0))</f>
        <v>0.25</v>
      </c>
    </row>
    <row r="149" spans="1:2" x14ac:dyDescent="0.3">
      <c r="A149" t="s">
        <v>139</v>
      </c>
      <c r="B149">
        <f>INDEX('vehicles specifications'!$B$3:$CK$86,MATCH('lci-kick scooter'!B137,'vehicles specifications'!$A$3:$A$86,0),MATCH("Energy battery mass [kg]",'vehicles specifications'!$B$2:$CK$2,0))</f>
        <v>2.6</v>
      </c>
    </row>
    <row r="150" spans="1:2" x14ac:dyDescent="0.3">
      <c r="A150" t="s">
        <v>140</v>
      </c>
      <c r="B150" s="21">
        <f>INDEX('vehicles specifications'!$B$3:$CK$86,MATCH('lci-kick scooter'!B137,'vehicles specifications'!$A$3:$A$86,0),MATCH("Electric energy stored [kWh]",'vehicles specifications'!$B$2:$CK$2,0))</f>
        <v>1</v>
      </c>
    </row>
    <row r="151" spans="1:2" s="21" customFormat="1" x14ac:dyDescent="0.3">
      <c r="A151" s="21" t="s">
        <v>654</v>
      </c>
      <c r="B151" s="21">
        <f>INDEX('vehicles specifications'!$B$3:$CK$86,MATCH('lci-kick scooter'!B137,'vehicles specifications'!$A$3:$A$86,0),MATCH("Electric energy available [kWh]",'vehicles specifications'!$B$2:$CK$2,0))</f>
        <v>0.8</v>
      </c>
    </row>
    <row r="152" spans="1:2" x14ac:dyDescent="0.3">
      <c r="A152" t="s">
        <v>143</v>
      </c>
      <c r="B152">
        <f>INDEX('vehicles specifications'!$B$3:$CK$86,MATCH('lci-kick scooter'!B137,'vehicles specifications'!$A$3:$A$86,0),MATCH("Oxydation energy stored [kWh]",'vehicles specifications'!$B$2:$CK$2,0))</f>
        <v>0</v>
      </c>
    </row>
    <row r="153" spans="1:2" x14ac:dyDescent="0.3">
      <c r="A153" t="s">
        <v>145</v>
      </c>
      <c r="B153">
        <f>INDEX('vehicles specifications'!$B$3:$CK$86,MATCH('lci-kick scooter'!B137,'vehicles specifications'!$A$3:$A$86,0),MATCH("Fuel mass [kg]",'vehicles specifications'!$B$2:$CK$2,0))</f>
        <v>0</v>
      </c>
    </row>
    <row r="154" spans="1:2" x14ac:dyDescent="0.3">
      <c r="A154" t="s">
        <v>141</v>
      </c>
      <c r="B154">
        <f>INDEX('vehicles specifications'!$B$3:$CK$86,MATCH('lci-kick scooter'!B137,'vehicles specifications'!$A$3:$A$86,0),MATCH("Range [km]",'vehicles specifications'!$B$2:$CK$2,0))</f>
        <v>33.439252336448597</v>
      </c>
    </row>
    <row r="155" spans="1:2" x14ac:dyDescent="0.3">
      <c r="A155" t="s">
        <v>142</v>
      </c>
      <c r="B155" t="str">
        <f>INDEX('vehicles specifications'!$B$3:$CK$86,MATCH('lci-kick scooter'!B137,'vehicles specifications'!$A$3:$A$86,0),MATCH("Emission standard",'vehicles specifications'!$B$2:$CK$2,0))</f>
        <v>None</v>
      </c>
    </row>
    <row r="156" spans="1:2" x14ac:dyDescent="0.3">
      <c r="A156" t="s">
        <v>144</v>
      </c>
      <c r="B156" s="6">
        <f>INDEX('vehicles specifications'!$B$3:$CK$86,MATCH('lci-kick scooter'!B137,'vehicles specifications'!$A$3:$A$86,0),MATCH("Lightweighting rate [%]",'vehicles specifications'!$B$2:$CK$2,0))</f>
        <v>7.0000000000000007E-2</v>
      </c>
    </row>
    <row r="157" spans="1:2" s="21" customFormat="1" x14ac:dyDescent="0.3">
      <c r="A157" s="21" t="s">
        <v>513</v>
      </c>
      <c r="B157" s="6" t="s">
        <v>514</v>
      </c>
    </row>
    <row r="158" spans="1:2" s="21" customFormat="1" x14ac:dyDescent="0.3">
      <c r="A158" s="21" t="s">
        <v>515</v>
      </c>
      <c r="B158" s="2">
        <v>15900</v>
      </c>
    </row>
    <row r="159" spans="1:2" s="21" customFormat="1" x14ac:dyDescent="0.3">
      <c r="A159" s="21" t="s">
        <v>516</v>
      </c>
      <c r="B159" s="2">
        <v>1000</v>
      </c>
    </row>
    <row r="160" spans="1:2" s="21" customFormat="1" x14ac:dyDescent="0.3">
      <c r="A160" s="21" t="s">
        <v>84</v>
      </c>
      <c r="B160" s="21" t="str">
        <f>"Power: "&amp;B148&amp;" kW. Lifetime: "&amp;B142&amp;" km. Annual kilometers: "&amp;ROUND(B146,0)&amp;" km. Number of passengers: "&amp;ROUND(B143,1)&amp;". Curb mass: "&amp;ROUND(B147,1)&amp;" kg. Lightweighting of glider: "&amp;ROUND(B156*100,0)&amp;"%. Emission standard: "&amp;B155&amp;". Service visits throughout lifetime: "&amp;ROUND(B144,1)&amp;". Range: "&amp;ROUND(B154,0)&amp;" km. Battery capacity: "&amp;ROUND(B150,1)&amp;" kWh. Available battery capacity: "&amp;B151&amp;" kWh. Battery mass: "&amp;ROUND(B149,1)&amp; " kg. Battery replacement throughout lifetime: "&amp;ROUND(B145,1)&amp;". Fuel tank capacity: "&amp;ROUND(B152,1)&amp;" kWh. Fuel mass: "&amp;ROUND(B153,1)&amp;" kg. Origin of manufacture: "&amp;B157&amp;". Shipping distance: "&amp;B158&amp;" km. Lorry distribution distance: "&amp;B159&amp;" km. Documentation: "&amp;Readmefirst!$B$2&amp;", "&amp;Readmefirst!$B$3&amp;". "&amp;'lci-kick scooter'!B141</f>
        <v>Power: 0.25 kW. Lifetime: 1785 km. Annual kilometers: 890 km. Number of passengers: 1. Curb mass: 11.8 kg. Lightweighting of glider: 7%. Emission standard: None. Service visits throughout lifetime: 0.4. Range: 33 km. Battery capacity: 1 kWh. Available battery capacity: 0.8 kWh. Battery mass: 2.6 kg. Battery replacement throughout lifetime: 0.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161" spans="1:8" ht="15.6" x14ac:dyDescent="0.3">
      <c r="A161" s="11" t="s">
        <v>80</v>
      </c>
    </row>
    <row r="162" spans="1:8" x14ac:dyDescent="0.3">
      <c r="A162" t="s">
        <v>81</v>
      </c>
      <c r="B162" t="s">
        <v>82</v>
      </c>
      <c r="C162" t="s">
        <v>73</v>
      </c>
      <c r="D162" t="s">
        <v>77</v>
      </c>
      <c r="E162" t="s">
        <v>83</v>
      </c>
      <c r="F162" t="s">
        <v>75</v>
      </c>
      <c r="G162" t="s">
        <v>84</v>
      </c>
      <c r="H162" t="s">
        <v>74</v>
      </c>
    </row>
    <row r="163" spans="1:8" x14ac:dyDescent="0.3">
      <c r="A163" s="12" t="str">
        <f>B132</f>
        <v>Kick Scooter, electric, &lt;1kW, 2050</v>
      </c>
      <c r="B163" s="12">
        <v>1</v>
      </c>
      <c r="C163" s="12" t="str">
        <f>B133</f>
        <v>CH</v>
      </c>
      <c r="D163" s="12" t="str">
        <f>B140</f>
        <v>unit</v>
      </c>
      <c r="E163" s="12"/>
      <c r="F163" s="12" t="s">
        <v>85</v>
      </c>
      <c r="G163" s="12" t="s">
        <v>86</v>
      </c>
      <c r="H163" s="12" t="str">
        <f>B138</f>
        <v>Kick Scooter, electric, &lt;1kW</v>
      </c>
    </row>
    <row r="164" spans="1:8" x14ac:dyDescent="0.3">
      <c r="A164" s="12" t="str">
        <f>INDEX('ei names mapping'!$B$4:$R$33,MATCH('lci-kick scooter'!$B$5,'ei names mapping'!$A$4:$A$33,0),MATCH('lci-kick scooter'!$G164,'ei names mapping'!$B$3:$R$3,0))</f>
        <v>bicycle production</v>
      </c>
      <c r="B164" s="14">
        <f>INDEX('vehicles specifications'!$B$3:$CK$86,MATCH(B137,'vehicles specifications'!$A$3:$A$86,0),MATCH(G164,'vehicles specifications'!$B$2:$CK$2,0))*INDEX('ei names mapping'!$B$137:$BK$220,MATCH(B137,'ei names mapping'!$A$137:$A$220,0),MATCH(G164,'ei names mapping'!$B$136:$BK$136,0))</f>
        <v>0.41176470588235292</v>
      </c>
      <c r="C164" s="12" t="str">
        <f>INDEX('ei names mapping'!$B$38:$R$67,MATCH('lci-kick scooter'!$B$5,'ei names mapping'!$A$4:$A$33,0),MATCH('lci-kick scooter'!$G164,'ei names mapping'!$B$3:$R$3,0))</f>
        <v>RER</v>
      </c>
      <c r="D164" s="12" t="str">
        <f>INDEX('ei names mapping'!$B$104:$R$133,MATCH('lci-kick scooter'!$B$5,'ei names mapping'!$A$4:$A$33,0),MATCH('lci-kick scooter'!$G164,'ei names mapping'!$B$3:$R$3,0))</f>
        <v>unit</v>
      </c>
      <c r="E164" s="12"/>
      <c r="F164" s="12" t="s">
        <v>91</v>
      </c>
      <c r="G164" s="21" t="s">
        <v>15</v>
      </c>
      <c r="H164" s="12" t="str">
        <f>INDEX('ei names mapping'!$B$71:$R$100,MATCH('lci-kick scooter'!$B$5,'ei names mapping'!$A$4:$A$33,0),MATCH('lci-kick scooter'!$G164,'ei names mapping'!$B$3:$R$3,0))</f>
        <v>bicycle</v>
      </c>
    </row>
    <row r="165" spans="1:8" x14ac:dyDescent="0.3">
      <c r="A165" s="12" t="str">
        <f>INDEX('ei names mapping'!$B$4:$R$33,MATCH('lci-kick scooter'!$B$5,'ei names mapping'!$A$4:$A$33,0),MATCH('lci-kick scooter'!$G165,'ei names mapping'!$B$3:$R$3,0))</f>
        <v>market for electric motor, vehicle</v>
      </c>
      <c r="B165" s="14">
        <f>INDEX('vehicles specifications'!$B$3:$CK$86,MATCH(B137,'vehicles specifications'!$A$3:$A$86,0),MATCH(G165,'vehicles specifications'!$B$2:$CK$2,0))*INDEX('ei names mapping'!$B$137:$BK$220,MATCH(B137,'ei names mapping'!$A$137:$A$220,0),MATCH(G165,'ei names mapping'!$B$136:$BK$136,0))</f>
        <v>2.7</v>
      </c>
      <c r="C165" s="12" t="str">
        <f>INDEX('ei names mapping'!$B$38:$R$67,MATCH('lci-kick scooter'!$B$5,'ei names mapping'!$A$4:$A$33,0),MATCH('lci-kick scooter'!$G165,'ei names mapping'!$B$3:$R$3,0))</f>
        <v>GLO</v>
      </c>
      <c r="D165" s="12" t="str">
        <f>INDEX('ei names mapping'!$B$104:$R$133,MATCH('lci-kick scooter'!$B$5,'ei names mapping'!$A$4:$A$33,0),MATCH('lci-kick scooter'!$G165,'ei names mapping'!$B$3:$R$3,0))</f>
        <v>kilogram</v>
      </c>
      <c r="E165" s="12"/>
      <c r="F165" s="12" t="s">
        <v>91</v>
      </c>
      <c r="G165" s="12" t="s">
        <v>557</v>
      </c>
      <c r="H165" s="12" t="str">
        <f>INDEX('ei names mapping'!$B$71:$R$100,MATCH('lci-kick scooter'!$B$5,'ei names mapping'!$A$4:$A$33,0),MATCH('lci-kick scooter'!$G165,'ei names mapping'!$B$3:$R$3,0))</f>
        <v>electric motor, vehicle</v>
      </c>
    </row>
    <row r="166" spans="1:8" s="21" customFormat="1" x14ac:dyDescent="0.3">
      <c r="A166" s="12" t="str">
        <f>INDEX('ei names mapping'!$B$4:$R$33,MATCH(B134,'ei names mapping'!$A$4:$A$33,0),MATCH(G166,'ei names mapping'!$B$3:$R$3,0))</f>
        <v>glider lightweighting</v>
      </c>
      <c r="B166" s="16">
        <f>INDEX('vehicles specifications'!$B$3:$CK$86,MATCH(B137,'vehicles specifications'!$A$3:$A$86,0),MATCH(G166,'vehicles specifications'!$B$2:$CK$2,0))*INDEX('ei names mapping'!$B$137:$BK$220,MATCH(B137,'ei names mapping'!$A$137:$A$220,0),MATCH(G166,'ei names mapping'!$B$136:$BK$136,0))</f>
        <v>0.49000000000000005</v>
      </c>
      <c r="C166" s="12" t="str">
        <f>INDEX('ei names mapping'!$B$38:$R$67,MATCH(B134,'ei names mapping'!$A$4:$A$33,0),MATCH(G166,'ei names mapping'!$B$3:$R$3,0))</f>
        <v>GLO</v>
      </c>
      <c r="D166" s="12" t="str">
        <f>INDEX('ei names mapping'!$B$104:$R$133,MATCH(B134,'ei names mapping'!$A$4:$A$33,0),MATCH(G166,'ei names mapping'!$B$3:$R$3,0))</f>
        <v>kilogram</v>
      </c>
      <c r="E166" s="12"/>
      <c r="F166" s="12" t="s">
        <v>91</v>
      </c>
      <c r="G166" s="21" t="s">
        <v>14</v>
      </c>
      <c r="H166" s="12" t="str">
        <f>INDEX('ei names mapping'!$B$71:$R$100,MATCH(B134,'ei names mapping'!$A$4:$A$33,0),MATCH(G166,'ei names mapping'!$B$3:$R$3,0))</f>
        <v>glider lightweighting</v>
      </c>
    </row>
    <row r="167" spans="1:8" x14ac:dyDescent="0.3">
      <c r="A167" s="12" t="str">
        <f>INDEX('ei names mapping'!$B$4:$R$33,MATCH('lci-kick scooter'!$B$5,'ei names mapping'!$A$4:$A$33,0),MATCH('lci-kick scooter'!$G167,'ei names mapping'!$B$3:$R$3,0))</f>
        <v>Battery cell, NMC</v>
      </c>
      <c r="B167" s="14">
        <f>INDEX('vehicles specifications'!$B$3:$CK$86,MATCH(B137,'vehicles specifications'!$A$3:$A$86,0),MATCH(G167,'vehicles specifications'!$B$2:$CK$2,0))*INDEX('ei names mapping'!$B$137:$BK$220,MATCH(B137,'ei names mapping'!$A$137:$A$220,0),MATCH(G167,'ei names mapping'!$B$136:$BK$136,0))</f>
        <v>2</v>
      </c>
      <c r="C167" s="12" t="str">
        <f>INDEX('ei names mapping'!$B$38:$R$67,MATCH('lci-kick scooter'!$B$5,'ei names mapping'!$A$4:$A$33,0),MATCH('lci-kick scooter'!$G167,'ei names mapping'!$B$3:$R$3,0))</f>
        <v>GLO</v>
      </c>
      <c r="D167" s="12" t="str">
        <f>INDEX('ei names mapping'!$B$104:$R$133,MATCH('lci-kick scooter'!$B$5,'ei names mapping'!$A$4:$A$33,0),MATCH('lci-kick scooter'!$G167,'ei names mapping'!$B$3:$R$3,0))</f>
        <v>kilogram</v>
      </c>
      <c r="E167" s="12"/>
      <c r="F167" s="12" t="s">
        <v>91</v>
      </c>
      <c r="G167" s="12" t="s">
        <v>19</v>
      </c>
      <c r="H167" s="12" t="str">
        <f>INDEX('ei names mapping'!$B$71:$R$100,MATCH('lci-kick scooter'!$B$5,'ei names mapping'!$A$4:$A$33,0),MATCH('lci-kick scooter'!$G167,'ei names mapping'!$B$3:$R$3,0))</f>
        <v>Battery cell</v>
      </c>
    </row>
    <row r="168" spans="1:8" x14ac:dyDescent="0.3">
      <c r="A168" s="12" t="str">
        <f>INDEX('ei names mapping'!$B$4:$R$33,MATCH('lci-kick scooter'!$B$5,'ei names mapping'!$A$4:$A$33,0),MATCH('lci-kick scooter'!$G168,'ei names mapping'!$B$3:$R$3,0))</f>
        <v>Battery BoP</v>
      </c>
      <c r="B168" s="14">
        <f>INDEX('vehicles specifications'!$B$3:$CK$86,MATCH(B137,'vehicles specifications'!$A$3:$A$86,0),MATCH(G168,'vehicles specifications'!$B$2:$CK$2,0))*INDEX('ei names mapping'!$B$137:$BK$220,MATCH(B137,'ei names mapping'!$A$137:$A$220,0),MATCH(G168,'ei names mapping'!$B$136:$BK$136,0))</f>
        <v>0.6</v>
      </c>
      <c r="C168" s="12" t="str">
        <f>INDEX('ei names mapping'!$B$38:$R$67,MATCH('lci-kick scooter'!$B$5,'ei names mapping'!$A$4:$A$33,0),MATCH('lci-kick scooter'!$G168,'ei names mapping'!$B$3:$R$3,0))</f>
        <v>GLO</v>
      </c>
      <c r="D168" s="12" t="str">
        <f>INDEX('ei names mapping'!$B$104:$R$133,MATCH('lci-kick scooter'!$B$5,'ei names mapping'!$A$4:$A$33,0),MATCH('lci-kick scooter'!$G168,'ei names mapping'!$B$3:$R$3,0))</f>
        <v>kilogram</v>
      </c>
      <c r="E168" s="12"/>
      <c r="F168" s="12" t="s">
        <v>91</v>
      </c>
      <c r="G168" s="12" t="s">
        <v>20</v>
      </c>
      <c r="H168" s="12" t="str">
        <f>INDEX('ei names mapping'!$B$71:$R$100,MATCH('lci-kick scooter'!$B$5,'ei names mapping'!$A$4:$A$33,0),MATCH('lci-kick scooter'!$G168,'ei names mapping'!$B$3:$R$3,0))</f>
        <v>Battery BoP</v>
      </c>
    </row>
    <row r="169" spans="1:8" x14ac:dyDescent="0.3">
      <c r="A169" s="12" t="str">
        <f>INDEX('ei names mapping'!$B$4:$R$33,MATCH('lci-kick scooter'!$B$5,'ei names mapping'!$A$4:$A$33,0),MATCH('lci-kick scooter'!$G169,'ei names mapping'!$B$3:$R$3,0))</f>
        <v>charging station, 100W</v>
      </c>
      <c r="B169" s="14">
        <f>INDEX('vehicles specifications'!$B$3:$CK$86,MATCH(B137,'vehicles specifications'!$A$3:$A$86,0),MATCH(G169,'vehicles specifications'!$B$2:$CK$2,0))*INDEX('ei names mapping'!$B$137:$BK$220,MATCH(B137,'ei names mapping'!$A$137:$A$220,0),MATCH(G169,'ei names mapping'!$B$136:$BK$136,0))</f>
        <v>1</v>
      </c>
      <c r="C169" s="12" t="str">
        <f>INDEX('ei names mapping'!$B$38:$R$67,MATCH('lci-kick scooter'!$B$5,'ei names mapping'!$A$4:$A$33,0),MATCH('lci-kick scooter'!$G169,'ei names mapping'!$B$3:$R$3,0))</f>
        <v>GLO</v>
      </c>
      <c r="D169" s="12" t="str">
        <f>INDEX('ei names mapping'!$B$104:$R$133,MATCH('lci-kick scooter'!$B$5,'ei names mapping'!$A$4:$A$33,0),MATCH('lci-kick scooter'!$G169,'ei names mapping'!$B$3:$R$3,0))</f>
        <v>unit</v>
      </c>
      <c r="F169" s="12" t="s">
        <v>91</v>
      </c>
      <c r="G169" t="s">
        <v>53</v>
      </c>
      <c r="H169" s="12" t="str">
        <f>INDEX('ei names mapping'!$B$71:$R$100,MATCH('lci-kick scooter'!$B$5,'ei names mapping'!$A$4:$A$33,0),MATCH('lci-kick scooter'!$G169,'ei names mapping'!$B$3:$R$3,0))</f>
        <v>charging station, 100W</v>
      </c>
    </row>
    <row r="170" spans="1:8" x14ac:dyDescent="0.3">
      <c r="A170" s="12" t="str">
        <f>INDEX('ei names mapping'!$B$4:$R$33,MATCH('lci-kick scooter'!$B$5,'ei names mapping'!$A$4:$A$33,0),MATCH('lci-kick scooter'!$G170,'ei names mapping'!$B$3:$R$3,0))</f>
        <v>treatment of used electric bicycle</v>
      </c>
      <c r="B170" s="14">
        <f>INDEX('vehicles specifications'!$B$3:$CK$86,MATCH(B137,'vehicles specifications'!$A$3:$A$86,0),MATCH(G170,'vehicles specifications'!$B$2:$CK$2,0))*INDEX('ei names mapping'!$B$137:$BK$220,MATCH(B137,'ei names mapping'!$A$137:$A$220,0),MATCH(G170,'ei names mapping'!$B$136:$BK$136,0))</f>
        <v>-0.1125</v>
      </c>
      <c r="C170" s="12" t="str">
        <f>INDEX('ei names mapping'!$B$38:$R$67,MATCH('lci-kick scooter'!$B$5,'ei names mapping'!$A$4:$A$33,0),MATCH('lci-kick scooter'!$G170,'ei names mapping'!$B$3:$R$3,0))</f>
        <v>CH</v>
      </c>
      <c r="D170" s="12" t="str">
        <f>INDEX('ei names mapping'!$B$104:$R$133,MATCH('lci-kick scooter'!$B$5,'ei names mapping'!$A$4:$A$33,0),MATCH('lci-kick scooter'!$G170,'ei names mapping'!$B$3:$R$3,0))</f>
        <v>unit</v>
      </c>
      <c r="F170" s="12" t="s">
        <v>91</v>
      </c>
      <c r="G170" t="s">
        <v>151</v>
      </c>
      <c r="H170" s="12" t="str">
        <f>INDEX('ei names mapping'!$B$71:$R$100,MATCH('lci-kick scooter'!$B$5,'ei names mapping'!$A$4:$A$33,0),MATCH('lci-kick scooter'!$G170,'ei names mapping'!$B$3:$R$3,0))</f>
        <v>used electric bicycle</v>
      </c>
    </row>
    <row r="171" spans="1:8" x14ac:dyDescent="0.3">
      <c r="A171" s="12" t="str">
        <f>INDEX('ei names mapping'!$B$4:$R$33,MATCH('lci-kick scooter'!$B$5,'ei names mapping'!$A$4:$A$33,0),MATCH('lci-kick scooter'!$G171,'ei names mapping'!$B$3:$R$3,0))</f>
        <v>market for used Li-ion battery</v>
      </c>
      <c r="B171" s="14">
        <f>INDEX('vehicles specifications'!$B$3:$CK$86,MATCH(B137,'vehicles specifications'!$A$3:$A$86,0),MATCH(G171,'vehicles specifications'!$B$2:$CK$2,0))*INDEX('ei names mapping'!$B$137:$BK$220,MATCH(B137,'ei names mapping'!$A$137:$A$220,0),MATCH(G171,'ei names mapping'!$B$136:$BK$136,0))</f>
        <v>-2.6</v>
      </c>
      <c r="C171" s="12" t="str">
        <f>INDEX('ei names mapping'!$B$38:$R$67,MATCH('lci-kick scooter'!$B$5,'ei names mapping'!$A$4:$A$33,0),MATCH('lci-kick scooter'!$G171,'ei names mapping'!$B$3:$R$3,0))</f>
        <v>GLO</v>
      </c>
      <c r="D171" s="12" t="str">
        <f>INDEX('ei names mapping'!$B$104:$R$133,MATCH('lci-kick scooter'!$B$5,'ei names mapping'!$A$4:$A$33,0),MATCH('lci-kick scooter'!$G171,'ei names mapping'!$B$3:$R$3,0))</f>
        <v>kilogram</v>
      </c>
      <c r="F171" s="12" t="s">
        <v>91</v>
      </c>
      <c r="G171" t="s">
        <v>152</v>
      </c>
      <c r="H171" s="12" t="str">
        <f>INDEX('ei names mapping'!$B$71:$R$100,MATCH('lci-kick scooter'!$B$5,'ei names mapping'!$A$4:$A$33,0),MATCH('lci-kick scooter'!$G171,'ei names mapping'!$B$3:$R$3,0))</f>
        <v>used Li-ion battery</v>
      </c>
    </row>
    <row r="172" spans="1:8" s="21" customFormat="1" x14ac:dyDescent="0.3">
      <c r="A172" s="22" t="s">
        <v>468</v>
      </c>
      <c r="B172" s="21">
        <f>(B147/1000)*B159</f>
        <v>11.81</v>
      </c>
      <c r="C172" s="21" t="s">
        <v>94</v>
      </c>
      <c r="D172" s="21" t="s">
        <v>243</v>
      </c>
      <c r="F172" s="21" t="s">
        <v>91</v>
      </c>
      <c r="H172" s="22" t="s">
        <v>469</v>
      </c>
    </row>
    <row r="173" spans="1:8" s="21" customFormat="1" x14ac:dyDescent="0.3">
      <c r="A173" s="22" t="s">
        <v>467</v>
      </c>
      <c r="B173" s="2">
        <f>(B147/1000)*B158</f>
        <v>187.77900000000002</v>
      </c>
      <c r="C173" s="21" t="s">
        <v>98</v>
      </c>
      <c r="D173" s="21" t="s">
        <v>243</v>
      </c>
      <c r="F173" s="21" t="s">
        <v>91</v>
      </c>
      <c r="H173" s="22" t="s">
        <v>467</v>
      </c>
    </row>
    <row r="175" spans="1:8" ht="15.6" x14ac:dyDescent="0.3">
      <c r="A175" s="11" t="s">
        <v>72</v>
      </c>
      <c r="B175" s="9" t="str">
        <f>"transport, "&amp;B177&amp;", "&amp;B179</f>
        <v>transport, Kick Scooter, electric, &lt;1kW, 2020</v>
      </c>
    </row>
    <row r="176" spans="1:8" x14ac:dyDescent="0.3">
      <c r="A176" t="s">
        <v>73</v>
      </c>
      <c r="B176" t="s">
        <v>37</v>
      </c>
    </row>
    <row r="177" spans="1:2" x14ac:dyDescent="0.3">
      <c r="A177" t="s">
        <v>87</v>
      </c>
      <c r="B177" s="12" t="s">
        <v>688</v>
      </c>
    </row>
    <row r="178" spans="1:2" x14ac:dyDescent="0.3">
      <c r="A178" t="s">
        <v>88</v>
      </c>
      <c r="B178" s="12"/>
    </row>
    <row r="179" spans="1:2" x14ac:dyDescent="0.3">
      <c r="A179" t="s">
        <v>89</v>
      </c>
      <c r="B179" s="12">
        <v>2020</v>
      </c>
    </row>
    <row r="180" spans="1:2" x14ac:dyDescent="0.3">
      <c r="A180" t="s">
        <v>131</v>
      </c>
      <c r="B180" s="12" t="str">
        <f>B177&amp;" - "&amp;B179&amp;" - "&amp;B176</f>
        <v>Kick Scooter, electric, &lt;1kW - 2020 - CH</v>
      </c>
    </row>
    <row r="181" spans="1:2" x14ac:dyDescent="0.3">
      <c r="A181" t="s">
        <v>74</v>
      </c>
      <c r="B181" s="12" t="str">
        <f>"transport, "&amp;B177</f>
        <v>transport, Kick Scooter, electric, &lt;1kW</v>
      </c>
    </row>
    <row r="182" spans="1:2" x14ac:dyDescent="0.3">
      <c r="A182" t="s">
        <v>75</v>
      </c>
      <c r="B182" t="s">
        <v>76</v>
      </c>
    </row>
    <row r="183" spans="1:2" x14ac:dyDescent="0.3">
      <c r="A183" t="s">
        <v>77</v>
      </c>
      <c r="B183" t="s">
        <v>172</v>
      </c>
    </row>
    <row r="184" spans="1:2" x14ac:dyDescent="0.3">
      <c r="A184" t="s">
        <v>79</v>
      </c>
      <c r="B184" t="s">
        <v>90</v>
      </c>
    </row>
    <row r="185" spans="1:2" x14ac:dyDescent="0.3">
      <c r="A185" t="s">
        <v>132</v>
      </c>
      <c r="B185">
        <f>INDEX('vehicles specifications'!$B$3:$CK$86,MATCH('lci-kick scooter'!B180,'vehicles specifications'!$A$3:$A$86,0),MATCH("Lifetime [km]",'vehicles specifications'!$B$2:$CK$2,0))</f>
        <v>1785</v>
      </c>
    </row>
    <row r="186" spans="1:2" x14ac:dyDescent="0.3">
      <c r="A186" t="s">
        <v>133</v>
      </c>
      <c r="B186">
        <f>INDEX('vehicles specifications'!$B$3:$CK$86,MATCH('lci-kick scooter'!B180,'vehicles specifications'!$A$3:$A$86,0),MATCH("Passengers [unit]",'vehicles specifications'!$B$2:$CK$2,0))</f>
        <v>1</v>
      </c>
    </row>
    <row r="187" spans="1:2" x14ac:dyDescent="0.3">
      <c r="A187" t="s">
        <v>134</v>
      </c>
      <c r="B187">
        <f>INDEX('vehicles specifications'!$B$3:$CK$86,MATCH('lci-kick scooter'!B180,'vehicles specifications'!$A$3:$A$86,0),MATCH("Servicing [unit]",'vehicles specifications'!$B$2:$CK$2,0))</f>
        <v>0.44624999999999998</v>
      </c>
    </row>
    <row r="188" spans="1:2" x14ac:dyDescent="0.3">
      <c r="A188" t="s">
        <v>135</v>
      </c>
      <c r="B188">
        <f>INDEX('vehicles specifications'!$B$3:$CK$86,MATCH('lci-kick scooter'!B180,'vehicles specifications'!$A$3:$A$86,0),MATCH("Energy battery replacement [unit]",'vehicles specifications'!$B$2:$CK$2,0))</f>
        <v>0</v>
      </c>
    </row>
    <row r="189" spans="1:2" x14ac:dyDescent="0.3">
      <c r="A189" t="s">
        <v>136</v>
      </c>
      <c r="B189">
        <f>INDEX('vehicles specifications'!$B$3:$CK$86,MATCH('lci-kick scooter'!B180,'vehicles specifications'!$A$3:$A$86,0),MATCH("Annual kilometers [km]",'vehicles specifications'!$B$2:$CK$2,0))</f>
        <v>890</v>
      </c>
    </row>
    <row r="190" spans="1:2" x14ac:dyDescent="0.3">
      <c r="A190" t="s">
        <v>137</v>
      </c>
      <c r="B190">
        <f>INDEX('vehicles specifications'!$B$3:$CK$86,MATCH('lci-kick scooter'!B180,'vehicles specifications'!$A$3:$A$86,0),MATCH("Curb mass [kg]",'vehicles specifications'!$B$2:$CK$2,0))</f>
        <v>12.274999999999999</v>
      </c>
    </row>
    <row r="191" spans="1:2" x14ac:dyDescent="0.3">
      <c r="A191" t="s">
        <v>138</v>
      </c>
      <c r="B191">
        <f>INDEX('vehicles specifications'!$B$3:$CK$86,MATCH('lci-kick scooter'!B180,'vehicles specifications'!$A$3:$A$86,0),MATCH("Power [kW]",'vehicles specifications'!$B$2:$CK$2,0))</f>
        <v>0.25</v>
      </c>
    </row>
    <row r="192" spans="1:2" x14ac:dyDescent="0.3">
      <c r="A192" t="s">
        <v>139</v>
      </c>
      <c r="B192">
        <f>INDEX('vehicles specifications'!$B$3:$CK$86,MATCH('lci-kick scooter'!B180,'vehicles specifications'!$A$3:$A$86,0),MATCH("Energy battery mass [kg]",'vehicles specifications'!$B$2:$CK$2,0))</f>
        <v>2.2749999999999995</v>
      </c>
    </row>
    <row r="193" spans="1:8" x14ac:dyDescent="0.3">
      <c r="A193" t="s">
        <v>140</v>
      </c>
      <c r="B193" s="21">
        <f>INDEX('vehicles specifications'!$B$3:$CK$86,MATCH('lci-kick scooter'!B180,'vehicles specifications'!$A$3:$A$86,0),MATCH("Electric energy stored [kWh]",'vehicles specifications'!$B$2:$CK$2,0))</f>
        <v>0.35</v>
      </c>
    </row>
    <row r="194" spans="1:8" s="21" customFormat="1" x14ac:dyDescent="0.3">
      <c r="A194" s="21" t="s">
        <v>654</v>
      </c>
      <c r="B194" s="21">
        <f>INDEX('vehicles specifications'!$B$3:$CK$86,MATCH('lci-kick scooter'!B180,'vehicles specifications'!$A$3:$A$86,0),MATCH("Electric energy available [kWh]",'vehicles specifications'!$B$2:$CK$2,0))</f>
        <v>0.27999999999999997</v>
      </c>
    </row>
    <row r="195" spans="1:8" x14ac:dyDescent="0.3">
      <c r="A195" t="s">
        <v>143</v>
      </c>
      <c r="B195">
        <f>INDEX('vehicles specifications'!$B$3:$CK$86,MATCH('lci-kick scooter'!B180,'vehicles specifications'!$A$3:$A$86,0),MATCH("Oxydation energy stored [kWh]",'vehicles specifications'!$B$2:$CK$2,0))</f>
        <v>0</v>
      </c>
    </row>
    <row r="196" spans="1:8" x14ac:dyDescent="0.3">
      <c r="A196" t="s">
        <v>145</v>
      </c>
      <c r="B196">
        <f>INDEX('vehicles specifications'!$B$3:$CK$86,MATCH('lci-kick scooter'!B180,'vehicles specifications'!$A$3:$A$86,0),MATCH("Fuel mass [kg]",'vehicles specifications'!$B$2:$CK$2,0))</f>
        <v>0</v>
      </c>
    </row>
    <row r="197" spans="1:8" x14ac:dyDescent="0.3">
      <c r="A197" t="s">
        <v>141</v>
      </c>
      <c r="B197">
        <f>INDEX('vehicles specifications'!$B$3:$CK$86,MATCH('lci-kick scooter'!B180,'vehicles specifications'!$A$3:$A$86,0),MATCH("Range [km]",'vehicles specifications'!$B$2:$CK$2,0))</f>
        <v>11.703738317757008</v>
      </c>
    </row>
    <row r="198" spans="1:8" x14ac:dyDescent="0.3">
      <c r="A198" t="s">
        <v>142</v>
      </c>
      <c r="B198" t="str">
        <f>INDEX('vehicles specifications'!$B$3:$CK$86,MATCH('lci-kick scooter'!B180,'vehicles specifications'!$A$3:$A$86,0),MATCH("Emission standard",'vehicles specifications'!$B$2:$CK$2,0))</f>
        <v>None</v>
      </c>
    </row>
    <row r="199" spans="1:8" x14ac:dyDescent="0.3">
      <c r="A199" t="s">
        <v>144</v>
      </c>
      <c r="B199" s="6">
        <f>INDEX('vehicles specifications'!$B$3:$CK$86,MATCH('lci-kick scooter'!B180,'vehicles specifications'!$A$3:$A$86,0),MATCH("Lightweighting rate [%]",'vehicles specifications'!$B$2:$CK$2,0))</f>
        <v>0</v>
      </c>
    </row>
    <row r="200" spans="1:8" x14ac:dyDescent="0.3">
      <c r="A200" t="s">
        <v>84</v>
      </c>
      <c r="B200" s="21" t="str">
        <f>"Power: "&amp;B191&amp;" kW. Lifetime: "&amp;B185&amp;" km. Annual kilometers: "&amp;B189&amp;" km. Number of passengers: "&amp;B186&amp;". Curb mass: "&amp;ROUND(B190,1)&amp;" kg. Lightweighting of glider: "&amp;ROUND(B199*100,0)&amp;"%. Emission standard: "&amp;B198&amp;". Service visits throughout lifetime: "&amp;ROUND(B187,1)&amp;". Range: "&amp;ROUND(B197,0)&amp;" km. Battery capacity: "&amp;ROUND(B193,1)&amp;" kWh. Available battery capacity: "&amp;B194&amp;" kWh. Battery mass: "&amp;ROUND(B192,1)&amp; " kg. Battery replacement throughout lifetime: "&amp;ROUND(B188,1)&amp;". Fuel tank capacity: "&amp;ROUND(B195,1)&amp;" kWh. Fuel mass: "&amp;ROUND(B196,1)&amp;" kg. Documentation: "&amp;Readmefirst!$B$2&amp;", "&amp;Readmefirst!$B$3&amp;". "&amp;'lci-kick scooter'!B139</f>
        <v>Power: 0.25 kW. Lifetime: 1785 km. Annual kilometers: 890 km. Number of passengers: 1. Curb mass: 12.3 kg. Lightweighting of glider: 0%. Emission standard: None. Service visits throughout lifetime: 0.4. Range: 12 km. Battery capacity: 0.4 kWh. Available battery capacity: 0.28 kWh. Battery mass: 2.3 kg. Battery replacement throughout lifetime: 0. Fuel tank capacity: 0 kWh. Fuel mass: 0 kg. Documentation: 2021 UVEK life-cycle inventories update of on-road vehicles, Sacchi R. (PSI), Bauer C. (PSI), 2021. process</v>
      </c>
    </row>
    <row r="201" spans="1:8" ht="15.6" x14ac:dyDescent="0.3">
      <c r="A201" s="11" t="s">
        <v>80</v>
      </c>
    </row>
    <row r="202" spans="1:8" x14ac:dyDescent="0.3">
      <c r="A202" t="s">
        <v>81</v>
      </c>
      <c r="B202" t="s">
        <v>82</v>
      </c>
      <c r="C202" t="s">
        <v>73</v>
      </c>
      <c r="D202" t="s">
        <v>77</v>
      </c>
      <c r="E202" t="s">
        <v>83</v>
      </c>
      <c r="F202" t="s">
        <v>75</v>
      </c>
      <c r="G202" t="s">
        <v>84</v>
      </c>
      <c r="H202" t="s">
        <v>74</v>
      </c>
    </row>
    <row r="203" spans="1:8" x14ac:dyDescent="0.3">
      <c r="A203" s="12" t="str">
        <f>B175</f>
        <v>transport, Kick Scooter, electric, &lt;1kW, 2020</v>
      </c>
      <c r="B203" s="12">
        <v>1</v>
      </c>
      <c r="C203" s="12" t="str">
        <f>B176</f>
        <v>CH</v>
      </c>
      <c r="D203" s="12" t="s">
        <v>172</v>
      </c>
      <c r="E203" s="12"/>
      <c r="F203" s="12" t="s">
        <v>85</v>
      </c>
      <c r="G203" s="12" t="s">
        <v>86</v>
      </c>
      <c r="H203" s="12" t="str">
        <f>B181</f>
        <v>transport, Kick Scooter, electric, &lt;1kW</v>
      </c>
    </row>
    <row r="204" spans="1:8" x14ac:dyDescent="0.3">
      <c r="A204" s="12" t="str">
        <f>RIGHT(A203,LEN(A203)-11)</f>
        <v>Kick Scooter, electric, &lt;1kW, 2020</v>
      </c>
      <c r="B204" s="14">
        <f>1/B185</f>
        <v>5.602240896358543E-4</v>
      </c>
      <c r="C204" s="12" t="str">
        <f>B176</f>
        <v>CH</v>
      </c>
      <c r="D204" s="12" t="s">
        <v>77</v>
      </c>
      <c r="E204" s="12"/>
      <c r="F204" s="12" t="s">
        <v>91</v>
      </c>
      <c r="G204" s="12"/>
      <c r="H204" s="12" t="str">
        <f>RIGHT(H203,LEN(H203)-11)</f>
        <v>Kick Scooter, electric, &lt;1kW</v>
      </c>
    </row>
    <row r="205" spans="1:8" x14ac:dyDescent="0.3">
      <c r="A205" s="12" t="str">
        <f>INDEX('ei names mapping'!$B$4:$R$33,MATCH('lci-kick scooter'!$B$5,'ei names mapping'!$A$4:$A$33,0),MATCH('lci-kick scooter'!$G205,'ei names mapping'!$B$3:$R$3,0))</f>
        <v>market for electricity, low voltage</v>
      </c>
      <c r="B205" s="14">
        <f>INDEX('vehicles specifications'!$B$3:$CK$86,MATCH(B180,'vehicles specifications'!$A$3:$A$86,0),MATCH(G205,'vehicles specifications'!$B$2:$CK$2,0))*INDEX('ei names mapping'!$B$137:$BK$220,MATCH(B180,'ei names mapping'!$A$137:$A$220,0),MATCH(G205,'ei names mapping'!$B$136:$BK$136,0))</f>
        <v>2.6316377864728905E-2</v>
      </c>
      <c r="C205" s="12" t="str">
        <f>INDEX('ei names mapping'!$B$38:$R$67,MATCH('lci-kick scooter'!$B$5,'ei names mapping'!$A$4:$A$33,0),MATCH('lci-kick scooter'!$G205,'ei names mapping'!$B$3:$R$3,0))</f>
        <v>CH</v>
      </c>
      <c r="D205" s="12" t="str">
        <f>INDEX('ei names mapping'!$B$104:$R$133,MATCH('lci-kick scooter'!$B$5,'ei names mapping'!$A$4:$A$33,0),MATCH('lci-kick scooter'!$G205,'ei names mapping'!$B$3:$R$3,0))</f>
        <v>kilowatt hour</v>
      </c>
      <c r="F205" s="12" t="s">
        <v>91</v>
      </c>
      <c r="G205" t="s">
        <v>28</v>
      </c>
      <c r="H205" s="12" t="str">
        <f>INDEX('ei names mapping'!$B$71:$R$100,MATCH('lci-kick scooter'!$B$5,'ei names mapping'!$A$4:$A$33,0),MATCH('lci-kick scooter'!$G205,'ei names mapping'!$B$3:$R$3,0))</f>
        <v>electricity, low voltage</v>
      </c>
    </row>
    <row r="206" spans="1:8" x14ac:dyDescent="0.3">
      <c r="A206" s="12" t="str">
        <f>INDEX('ei names mapping'!$B$4:$R$33,MATCH('lci-kick scooter'!$B$5,'ei names mapping'!$A$4:$A$33,0),MATCH('lci-kick scooter'!$G206,'ei names mapping'!$B$3:$R$3,0))</f>
        <v>maintenance, bicycle</v>
      </c>
      <c r="B206" s="14">
        <f>INDEX('vehicles specifications'!$B$3:$CK$86,MATCH(B180,'vehicles specifications'!$A$3:$A$86,0),MATCH(G206,'vehicles specifications'!$B$2:$CK$2,0))*INDEX('ei names mapping'!$B$137:$BK$220,MATCH(B180,'ei names mapping'!$A$137:$A$220,0),MATCH(G206,'ei names mapping'!$B$136:$BK$136,0))</f>
        <v>2.4999999999999995E-4</v>
      </c>
      <c r="C206" s="12" t="str">
        <f>INDEX('ei names mapping'!$B$38:$R$67,MATCH('lci-kick scooter'!$B$5,'ei names mapping'!$A$4:$A$33,0),MATCH('lci-kick scooter'!$G206,'ei names mapping'!$B$3:$R$3,0))</f>
        <v>CH</v>
      </c>
      <c r="D206" s="12" t="str">
        <f>INDEX('ei names mapping'!$B$104:$R$133,MATCH('lci-kick scooter'!$B$5,'ei names mapping'!$A$4:$A$33,0),MATCH('lci-kick scooter'!$G206,'ei names mapping'!$B$3:$R$3,0))</f>
        <v>unit</v>
      </c>
      <c r="F206" s="12" t="s">
        <v>91</v>
      </c>
      <c r="G206" t="s">
        <v>123</v>
      </c>
      <c r="H206" s="12" t="str">
        <f>INDEX('ei names mapping'!$B$71:$R$100,MATCH('lci-kick scooter'!$B$5,'ei names mapping'!$A$4:$A$33,0),MATCH('lci-kick scooter'!$G206,'ei names mapping'!$B$3:$R$3,0))</f>
        <v>maintenance, bicycle</v>
      </c>
    </row>
    <row r="207" spans="1:8" s="21" customFormat="1" x14ac:dyDescent="0.3">
      <c r="A207" s="12" t="str">
        <f>INDEX('ei names mapping'!$B$4:$R$33,MATCH(B177,'ei names mapping'!$A$4:$A$33,0),MATCH(G207,'ei names mapping'!$B$3:$R$3,0))</f>
        <v>road construction</v>
      </c>
      <c r="B207" s="16">
        <f>INDEX('vehicles specifications'!$B$3:$CK$86,MATCH(B180,'vehicles specifications'!$A$3:$A$86,0),MATCH(G207,'vehicles specifications'!$B$2:$CK$2,0))*INDEX('ei names mapping'!$B$137:$BK$220,MATCH(B180,'ei names mapping'!$A$137:$A$220,0),MATCH(G207,'ei names mapping'!$B$136:$BK$136,0))</f>
        <v>4.4181675000000002E-5</v>
      </c>
      <c r="C207" s="12" t="str">
        <f>INDEX('ei names mapping'!$B$38:$R$67,MATCH(B177,'ei names mapping'!$A$4:$A$33,0),MATCH(G207,'ei names mapping'!$B$3:$R$3,0))</f>
        <v>CH</v>
      </c>
      <c r="D207" s="12" t="str">
        <f>INDEX('ei names mapping'!$B$104:$R$133,MATCH(B177,'ei names mapping'!$A$104:$A$133,0),MATCH(G207,'ei names mapping'!$B$3:$R$3,0))</f>
        <v>meter-year</v>
      </c>
      <c r="E207" s="12"/>
      <c r="F207" s="12" t="s">
        <v>91</v>
      </c>
      <c r="G207" s="21" t="s">
        <v>108</v>
      </c>
      <c r="H207" s="12" t="str">
        <f>INDEX('ei names mapping'!$B$71:$R$100,MATCH(B177,'ei names mapping'!$A$4:$A$33,0),MATCH(G207,'ei names mapping'!$B$3:$R$3,0))</f>
        <v>road</v>
      </c>
    </row>
    <row r="208" spans="1:8" x14ac:dyDescent="0.3">
      <c r="A208" s="12" t="str">
        <f>INDEX('ei names mapping'!$B$4:$BK$33,MATCH('lci-kick scooter'!$B$5,'ei names mapping'!$A$4:$A$33,0),MATCH('lci-kick scooter'!$G208,'ei names mapping'!$B$3:$BK$3,0))</f>
        <v>treatment of road wear emissions, passenger car</v>
      </c>
      <c r="B208" s="15">
        <f>INDEX('vehicles specifications'!$B$3:$CK$86,MATCH(B180,'vehicles specifications'!$A$3:$A$86,0),MATCH(G208,'vehicles specifications'!$B$2:$CK$2,0))*INDEX('ei names mapping'!$B$137:$BK$220,MATCH(B180,'ei names mapping'!$A$137:$A$220,0),MATCH(G208,'ei names mapping'!$B$136:$BK$136,0))</f>
        <v>-3.0000000000000001E-6</v>
      </c>
      <c r="C208" s="12" t="str">
        <f>INDEX('ei names mapping'!$B$38:$BK$67,MATCH('lci-kick scooter'!$B$5,'ei names mapping'!$A$4:$A$33,0),MATCH('lci-kick scooter'!$G208,'ei names mapping'!$B$3:$BK$3,0))</f>
        <v>RER</v>
      </c>
      <c r="D208" s="12" t="str">
        <f>INDEX('ei names mapping'!$B$104:$BK$133,MATCH('lci-kick scooter'!$B$5,'ei names mapping'!$A$4:$A$33,0),MATCH('lci-kick scooter'!$G208,'ei names mapping'!$B$3:$BK$3,0))</f>
        <v>kilogram</v>
      </c>
      <c r="E208" s="12"/>
      <c r="F208" s="12" t="s">
        <v>91</v>
      </c>
      <c r="G208" t="s">
        <v>29</v>
      </c>
      <c r="H208" s="12" t="str">
        <f>INDEX('ei names mapping'!$B$71:$BK$100,MATCH('lci-kick scooter'!$B$5,'ei names mapping'!$A$4:$A$33,0),MATCH('lci-kick scooter'!$G208,'ei names mapping'!$B$3:$BK$3,0))</f>
        <v>road wear emissions, passenger car</v>
      </c>
    </row>
    <row r="209" spans="1:8" x14ac:dyDescent="0.3">
      <c r="A209" s="12" t="str">
        <f>INDEX('ei names mapping'!$B$4:$BK$33,MATCH('lci-kick scooter'!$B$5,'ei names mapping'!$A$4:$A$33,0),MATCH('lci-kick scooter'!$G209,'ei names mapping'!$B$3:$BK$3,0))</f>
        <v>treatment of tyre wear emissions, passenger car</v>
      </c>
      <c r="B209" s="15">
        <f>INDEX('vehicles specifications'!$B$3:$CK$86,MATCH(B180,'vehicles specifications'!$A$3:$A$86,0),MATCH(G209,'vehicles specifications'!$B$2:$CK$2,0))*INDEX('ei names mapping'!$B$137:$BK$220,MATCH(B180,'ei names mapping'!$A$137:$A$220,0),MATCH(G209,'ei names mapping'!$B$136:$BK$136,0))</f>
        <v>-2.9189999999999999E-6</v>
      </c>
      <c r="C209" s="12" t="str">
        <f>INDEX('ei names mapping'!$B$38:$BK$67,MATCH('lci-kick scooter'!$B$5,'ei names mapping'!$A$4:$A$33,0),MATCH('lci-kick scooter'!$G209,'ei names mapping'!$B$3:$BK$3,0))</f>
        <v>RER</v>
      </c>
      <c r="D209" s="12" t="str">
        <f>INDEX('ei names mapping'!$B$104:$BK$133,MATCH('lci-kick scooter'!$B$5,'ei names mapping'!$A$4:$A$33,0),MATCH('lci-kick scooter'!$G209,'ei names mapping'!$B$3:$BK$3,0))</f>
        <v>kilogram</v>
      </c>
      <c r="E209" s="12"/>
      <c r="F209" s="12" t="s">
        <v>91</v>
      </c>
      <c r="G209" t="s">
        <v>30</v>
      </c>
      <c r="H209" s="12" t="str">
        <f>INDEX('ei names mapping'!$B$71:$BK$100,MATCH('lci-kick scooter'!$B$5,'ei names mapping'!$A$4:$A$33,0),MATCH('lci-kick scooter'!$G209,'ei names mapping'!$B$3:$BK$3,0))</f>
        <v>tyre wear emissions, passenger car</v>
      </c>
    </row>
    <row r="210" spans="1:8" x14ac:dyDescent="0.3">
      <c r="A210" s="12" t="str">
        <f>INDEX('ei names mapping'!$B$4:$BK$33,MATCH('lci-kick scooter'!$B$5,'ei names mapping'!$A$4:$A$33,0),MATCH('lci-kick scooter'!$G210,'ei names mapping'!$B$3:$BK$3,0))</f>
        <v>treatment of brake wear emissions, passenger car</v>
      </c>
      <c r="B210" s="15">
        <f>INDEX('vehicles specifications'!$B$3:$CK$86,MATCH(B180,'vehicles specifications'!$A$3:$A$86,0),MATCH(G210,'vehicles specifications'!$B$2:$CK$2,0))*INDEX('ei names mapping'!$B$137:$BK$220,MATCH(B180,'ei names mapping'!$A$137:$A$220,0),MATCH(G210,'ei names mapping'!$B$136:$BK$136,0))</f>
        <v>-1.8370000000000002E-6</v>
      </c>
      <c r="C210" s="12" t="str">
        <f>INDEX('ei names mapping'!$B$38:$BK$67,MATCH('lci-kick scooter'!$B$5,'ei names mapping'!$A$4:$A$33,0),MATCH('lci-kick scooter'!$G210,'ei names mapping'!$B$3:$BK$3,0))</f>
        <v>RER</v>
      </c>
      <c r="D210" s="12" t="str">
        <f>INDEX('ei names mapping'!$B$104:$BK$133,MATCH('lci-kick scooter'!$B$5,'ei names mapping'!$A$4:$A$33,0),MATCH('lci-kick scooter'!$G210,'ei names mapping'!$B$3:$BK$3,0))</f>
        <v>kilogram</v>
      </c>
      <c r="E210" s="12"/>
      <c r="F210" s="12" t="s">
        <v>91</v>
      </c>
      <c r="G210" t="s">
        <v>31</v>
      </c>
      <c r="H210" s="12" t="str">
        <f>INDEX('ei names mapping'!$B$71:$BK$100,MATCH('lci-kick scooter'!$B$5,'ei names mapping'!$A$4:$A$33,0),MATCH('lci-kick scooter'!$G210,'ei names mapping'!$B$3:$BK$3,0))</f>
        <v>brake wear emissions, passenger car</v>
      </c>
    </row>
    <row r="212" spans="1:8" ht="15.6" x14ac:dyDescent="0.3">
      <c r="A212" s="11" t="s">
        <v>72</v>
      </c>
      <c r="B212" s="9" t="str">
        <f>"transport, "&amp;B214&amp;", "&amp;B216</f>
        <v>transport, Kick Scooter, electric, &lt;1kW, 2030</v>
      </c>
    </row>
    <row r="213" spans="1:8" x14ac:dyDescent="0.3">
      <c r="A213" t="s">
        <v>73</v>
      </c>
      <c r="B213" t="s">
        <v>37</v>
      </c>
    </row>
    <row r="214" spans="1:8" x14ac:dyDescent="0.3">
      <c r="A214" t="s">
        <v>87</v>
      </c>
      <c r="B214" s="12" t="s">
        <v>688</v>
      </c>
    </row>
    <row r="215" spans="1:8" x14ac:dyDescent="0.3">
      <c r="A215" t="s">
        <v>88</v>
      </c>
      <c r="B215" s="12"/>
    </row>
    <row r="216" spans="1:8" x14ac:dyDescent="0.3">
      <c r="A216" t="s">
        <v>89</v>
      </c>
      <c r="B216" s="12">
        <v>2030</v>
      </c>
    </row>
    <row r="217" spans="1:8" x14ac:dyDescent="0.3">
      <c r="A217" t="s">
        <v>131</v>
      </c>
      <c r="B217" s="12" t="str">
        <f>B214&amp;" - "&amp;B216&amp;" - "&amp;B213</f>
        <v>Kick Scooter, electric, &lt;1kW - 2030 - CH</v>
      </c>
    </row>
    <row r="218" spans="1:8" x14ac:dyDescent="0.3">
      <c r="A218" t="s">
        <v>74</v>
      </c>
      <c r="B218" s="12" t="str">
        <f>"transport, "&amp;B214</f>
        <v>transport, Kick Scooter, electric, &lt;1kW</v>
      </c>
    </row>
    <row r="219" spans="1:8" x14ac:dyDescent="0.3">
      <c r="A219" t="s">
        <v>75</v>
      </c>
      <c r="B219" t="s">
        <v>76</v>
      </c>
    </row>
    <row r="220" spans="1:8" x14ac:dyDescent="0.3">
      <c r="A220" t="s">
        <v>77</v>
      </c>
      <c r="B220" t="s">
        <v>172</v>
      </c>
    </row>
    <row r="221" spans="1:8" x14ac:dyDescent="0.3">
      <c r="A221" t="s">
        <v>79</v>
      </c>
      <c r="B221" t="s">
        <v>90</v>
      </c>
    </row>
    <row r="222" spans="1:8" x14ac:dyDescent="0.3">
      <c r="A222" t="s">
        <v>132</v>
      </c>
      <c r="B222">
        <f>INDEX('vehicles specifications'!$B$3:$CK$86,MATCH('lci-kick scooter'!B217,'vehicles specifications'!$A$3:$A$86,0),MATCH("Lifetime [km]",'vehicles specifications'!$B$2:$CK$2,0))</f>
        <v>1785</v>
      </c>
    </row>
    <row r="223" spans="1:8" x14ac:dyDescent="0.3">
      <c r="A223" t="s">
        <v>133</v>
      </c>
      <c r="B223">
        <f>INDEX('vehicles specifications'!$B$3:$CK$86,MATCH('lci-kick scooter'!B217,'vehicles specifications'!$A$3:$A$86,0),MATCH("Passengers [unit]",'vehicles specifications'!$B$2:$CK$2,0))</f>
        <v>1</v>
      </c>
    </row>
    <row r="224" spans="1:8" x14ac:dyDescent="0.3">
      <c r="A224" t="s">
        <v>134</v>
      </c>
      <c r="B224">
        <f>INDEX('vehicles specifications'!$B$3:$CK$86,MATCH('lci-kick scooter'!B217,'vehicles specifications'!$A$3:$A$86,0),MATCH("Servicing [unit]",'vehicles specifications'!$B$2:$CK$2,0))</f>
        <v>0.44624999999999998</v>
      </c>
    </row>
    <row r="225" spans="1:8" x14ac:dyDescent="0.3">
      <c r="A225" t="s">
        <v>135</v>
      </c>
      <c r="B225">
        <f>INDEX('vehicles specifications'!$B$3:$CK$86,MATCH('lci-kick scooter'!B217,'vehicles specifications'!$A$3:$A$86,0),MATCH("Energy battery replacement [unit]",'vehicles specifications'!$B$2:$CK$2,0))</f>
        <v>0</v>
      </c>
    </row>
    <row r="226" spans="1:8" x14ac:dyDescent="0.3">
      <c r="A226" t="s">
        <v>136</v>
      </c>
      <c r="B226">
        <f>INDEX('vehicles specifications'!$B$3:$CK$86,MATCH('lci-kick scooter'!B217,'vehicles specifications'!$A$3:$A$86,0),MATCH("Annual kilometers [km]",'vehicles specifications'!$B$2:$CK$2,0))</f>
        <v>890</v>
      </c>
    </row>
    <row r="227" spans="1:8" x14ac:dyDescent="0.3">
      <c r="A227" t="s">
        <v>137</v>
      </c>
      <c r="B227">
        <f>INDEX('vehicles specifications'!$B$3:$CK$86,MATCH('lci-kick scooter'!B217,'vehicles specifications'!$A$3:$A$86,0),MATCH("Curb mass [kg]",'vehicles specifications'!$B$2:$CK$2,0))</f>
        <v>11.856666666666666</v>
      </c>
    </row>
    <row r="228" spans="1:8" x14ac:dyDescent="0.3">
      <c r="A228" t="s">
        <v>138</v>
      </c>
      <c r="B228">
        <f>INDEX('vehicles specifications'!$B$3:$CK$86,MATCH('lci-kick scooter'!B217,'vehicles specifications'!$A$3:$A$86,0),MATCH("Power [kW]",'vehicles specifications'!$B$2:$CK$2,0))</f>
        <v>0.25</v>
      </c>
    </row>
    <row r="229" spans="1:8" x14ac:dyDescent="0.3">
      <c r="A229" t="s">
        <v>139</v>
      </c>
      <c r="B229">
        <f>INDEX('vehicles specifications'!$B$3:$CK$86,MATCH('lci-kick scooter'!B217,'vehicles specifications'!$A$3:$A$86,0),MATCH("Energy battery mass [kg]",'vehicles specifications'!$B$2:$CK$2,0))</f>
        <v>2.166666666666667</v>
      </c>
    </row>
    <row r="230" spans="1:8" x14ac:dyDescent="0.3">
      <c r="A230" t="s">
        <v>140</v>
      </c>
      <c r="B230" s="21">
        <f>INDEX('vehicles specifications'!$B$3:$CK$86,MATCH('lci-kick scooter'!B217,'vehicles specifications'!$A$3:$A$86,0),MATCH("Electric energy stored [kWh]",'vehicles specifications'!$B$2:$CK$2,0))</f>
        <v>0.5</v>
      </c>
    </row>
    <row r="231" spans="1:8" s="21" customFormat="1" x14ac:dyDescent="0.3">
      <c r="A231" s="21" t="s">
        <v>654</v>
      </c>
      <c r="B231" s="21">
        <f>INDEX('vehicles specifications'!$B$3:$CK$86,MATCH('lci-kick scooter'!B217,'vehicles specifications'!$A$3:$A$86,0),MATCH("Electric energy available [kWh]",'vehicles specifications'!$B$2:$CK$2,0))</f>
        <v>0.4</v>
      </c>
    </row>
    <row r="232" spans="1:8" x14ac:dyDescent="0.3">
      <c r="A232" t="s">
        <v>143</v>
      </c>
      <c r="B232">
        <f>INDEX('vehicles specifications'!$B$3:$CK$86,MATCH('lci-kick scooter'!B217,'vehicles specifications'!$A$3:$A$86,0),MATCH("Oxydation energy stored [kWh]",'vehicles specifications'!$B$2:$CK$2,0))</f>
        <v>0</v>
      </c>
    </row>
    <row r="233" spans="1:8" x14ac:dyDescent="0.3">
      <c r="A233" t="s">
        <v>145</v>
      </c>
      <c r="B233">
        <f>INDEX('vehicles specifications'!$B$3:$CK$86,MATCH('lci-kick scooter'!B217,'vehicles specifications'!$A$3:$A$86,0),MATCH("Fuel mass [kg]",'vehicles specifications'!$B$2:$CK$2,0))</f>
        <v>0</v>
      </c>
    </row>
    <row r="234" spans="1:8" x14ac:dyDescent="0.3">
      <c r="A234" t="s">
        <v>141</v>
      </c>
      <c r="B234">
        <f>INDEX('vehicles specifications'!$B$3:$CK$86,MATCH('lci-kick scooter'!B217,'vehicles specifications'!$A$3:$A$86,0),MATCH("Range [km]",'vehicles specifications'!$B$2:$CK$2,0))</f>
        <v>16.719626168224298</v>
      </c>
    </row>
    <row r="235" spans="1:8" x14ac:dyDescent="0.3">
      <c r="A235" t="s">
        <v>142</v>
      </c>
      <c r="B235" t="str">
        <f>INDEX('vehicles specifications'!$B$3:$CK$86,MATCH('lci-kick scooter'!B217,'vehicles specifications'!$A$3:$A$86,0),MATCH("Emission standard",'vehicles specifications'!$B$2:$CK$2,0))</f>
        <v>None</v>
      </c>
    </row>
    <row r="236" spans="1:8" x14ac:dyDescent="0.3">
      <c r="A236" t="s">
        <v>144</v>
      </c>
      <c r="B236" s="6">
        <f>INDEX('vehicles specifications'!$B$3:$CK$86,MATCH('lci-kick scooter'!B217,'vehicles specifications'!$A$3:$A$86,0),MATCH("Lightweighting rate [%]",'vehicles specifications'!$B$2:$CK$2,0))</f>
        <v>0.03</v>
      </c>
    </row>
    <row r="237" spans="1:8" x14ac:dyDescent="0.3">
      <c r="A237" t="s">
        <v>84</v>
      </c>
      <c r="B237" s="21" t="str">
        <f>"Power: "&amp;B228&amp;" kW. Lifetime: "&amp;B222&amp;" km. Annual kilometers: "&amp;B226&amp;" km. Number of passengers: "&amp;B223&amp;". Curb mass: "&amp;ROUND(B227,1)&amp;" kg. Lightweighting of glider: "&amp;ROUND(B236*100,0)&amp;"%. Emission standard: "&amp;B235&amp;". Service visits throughout lifetime: "&amp;ROUND(B224,1)&amp;". Range: "&amp;ROUND(B234,0)&amp;" km. Battery capacity: "&amp;ROUND(B230,1)&amp;" kWh. Available battery capacity: "&amp;B231&amp;" kWh. Battery mass: "&amp;ROUND(B229,1)&amp; " kg. Battery replacement throughout lifetime: "&amp;ROUND(B225,1)&amp;". Fuel tank capacity: "&amp;ROUND(B232,1)&amp;" kWh. Fuel mass: "&amp;ROUND(B233,1)&amp;" kg. Documentation: "&amp;Readmefirst!$B$2&amp;", "&amp;Readmefirst!$B$3&amp;". "&amp;'lci-kick scooter'!B176</f>
        <v>Power: 0.25 kW. Lifetime: 1785 km. Annual kilometers: 890 km. Number of passengers: 1. Curb mass: 11.9 kg. Lightweighting of glider: 3%. Emission standard: None. Service visits throughout lifetime: 0.4. Range: 17 km. Battery capacity: 0.5 kWh. Available battery capacity: 0.4 kWh. Battery mass: 2.2 kg. Battery replacement throughout lifetime: 0. Fuel tank capacity: 0 kWh. Fuel mass: 0 kg. Documentation: 2021 UVEK life-cycle inventories update of on-road vehicles, Sacchi R. (PSI), Bauer C. (PSI), 2021. CH</v>
      </c>
    </row>
    <row r="238" spans="1:8" ht="15.6" x14ac:dyDescent="0.3">
      <c r="A238" s="11" t="s">
        <v>80</v>
      </c>
    </row>
    <row r="239" spans="1:8" x14ac:dyDescent="0.3">
      <c r="A239" t="s">
        <v>81</v>
      </c>
      <c r="B239" t="s">
        <v>82</v>
      </c>
      <c r="C239" t="s">
        <v>73</v>
      </c>
      <c r="D239" t="s">
        <v>77</v>
      </c>
      <c r="E239" t="s">
        <v>83</v>
      </c>
      <c r="F239" t="s">
        <v>75</v>
      </c>
      <c r="G239" t="s">
        <v>84</v>
      </c>
      <c r="H239" t="s">
        <v>74</v>
      </c>
    </row>
    <row r="240" spans="1:8" x14ac:dyDescent="0.3">
      <c r="A240" s="12" t="str">
        <f>B212</f>
        <v>transport, Kick Scooter, electric, &lt;1kW, 2030</v>
      </c>
      <c r="B240" s="12">
        <v>1</v>
      </c>
      <c r="C240" s="12" t="str">
        <f>B213</f>
        <v>CH</v>
      </c>
      <c r="D240" s="12" t="s">
        <v>172</v>
      </c>
      <c r="E240" s="12"/>
      <c r="F240" s="12" t="s">
        <v>85</v>
      </c>
      <c r="G240" s="12" t="s">
        <v>86</v>
      </c>
      <c r="H240" s="12" t="str">
        <f>B218</f>
        <v>transport, Kick Scooter, electric, &lt;1kW</v>
      </c>
    </row>
    <row r="241" spans="1:8" x14ac:dyDescent="0.3">
      <c r="A241" s="12" t="str">
        <f>RIGHT(A240,LEN(A240)-11)</f>
        <v>Kick Scooter, electric, &lt;1kW, 2030</v>
      </c>
      <c r="B241" s="12">
        <f>1/B222</f>
        <v>5.602240896358543E-4</v>
      </c>
      <c r="C241" s="12" t="str">
        <f>B213</f>
        <v>CH</v>
      </c>
      <c r="D241" s="12" t="s">
        <v>77</v>
      </c>
      <c r="E241" s="12"/>
      <c r="F241" s="12" t="s">
        <v>91</v>
      </c>
      <c r="G241" s="12"/>
      <c r="H241" s="12" t="str">
        <f>RIGHT(H240,LEN(H240)-11)</f>
        <v>Kick Scooter, electric, &lt;1kW</v>
      </c>
    </row>
    <row r="242" spans="1:8" x14ac:dyDescent="0.3">
      <c r="A242" s="12" t="str">
        <f>INDEX('ei names mapping'!$B$4:$R$33,MATCH('lci-kick scooter'!$B$5,'ei names mapping'!$A$4:$A$33,0),MATCH('lci-kick scooter'!$G242,'ei names mapping'!$B$3:$R$3,0))</f>
        <v>market for electricity, low voltage</v>
      </c>
      <c r="B242" s="14">
        <f>INDEX('vehicles specifications'!$B$3:$CK$86,MATCH(B217,'vehicles specifications'!$A$3:$A$86,0),MATCH(G242,'vehicles specifications'!$B$2:$CK$2,0))*INDEX('ei names mapping'!$B$137:$BK$220,MATCH(B217,'ei names mapping'!$A$137:$A$220,0),MATCH(G242,'ei names mapping'!$B$136:$BK$136,0))</f>
        <v>2.6316377864728905E-2</v>
      </c>
      <c r="C242" s="12" t="str">
        <f>INDEX('ei names mapping'!$B$38:$R$67,MATCH('lci-kick scooter'!$B$5,'ei names mapping'!$A$4:$A$33,0),MATCH('lci-kick scooter'!$G242,'ei names mapping'!$B$3:$R$3,0))</f>
        <v>CH</v>
      </c>
      <c r="D242" s="12" t="str">
        <f>INDEX('ei names mapping'!$B$104:$R$133,MATCH('lci-kick scooter'!$B$5,'ei names mapping'!$A$4:$A$33,0),MATCH('lci-kick scooter'!$G242,'ei names mapping'!$B$3:$R$3,0))</f>
        <v>kilowatt hour</v>
      </c>
      <c r="F242" s="12" t="s">
        <v>91</v>
      </c>
      <c r="G242" t="s">
        <v>28</v>
      </c>
      <c r="H242" s="12" t="str">
        <f>INDEX('ei names mapping'!$B$71:$R$100,MATCH('lci-kick scooter'!$B$5,'ei names mapping'!$A$4:$A$33,0),MATCH('lci-kick scooter'!$G242,'ei names mapping'!$B$3:$R$3,0))</f>
        <v>electricity, low voltage</v>
      </c>
    </row>
    <row r="243" spans="1:8" x14ac:dyDescent="0.3">
      <c r="A243" s="12" t="str">
        <f>INDEX('ei names mapping'!$B$4:$R$33,MATCH('lci-kick scooter'!$B$5,'ei names mapping'!$A$4:$A$33,0),MATCH('lci-kick scooter'!$G243,'ei names mapping'!$B$3:$R$3,0))</f>
        <v>maintenance, bicycle</v>
      </c>
      <c r="B243" s="14">
        <f>INDEX('vehicles specifications'!$B$3:$CK$86,MATCH(B217,'vehicles specifications'!$A$3:$A$86,0),MATCH(G243,'vehicles specifications'!$B$2:$CK$2,0))*INDEX('ei names mapping'!$B$137:$BK$220,MATCH(B217,'ei names mapping'!$A$137:$A$220,0),MATCH(G243,'ei names mapping'!$B$136:$BK$136,0))</f>
        <v>2.4999999999999995E-4</v>
      </c>
      <c r="C243" s="12" t="str">
        <f>INDEX('ei names mapping'!$B$38:$R$67,MATCH('lci-kick scooter'!$B$5,'ei names mapping'!$A$4:$A$33,0),MATCH('lci-kick scooter'!$G243,'ei names mapping'!$B$3:$R$3,0))</f>
        <v>CH</v>
      </c>
      <c r="D243" s="12" t="str">
        <f>INDEX('ei names mapping'!$B$104:$R$133,MATCH('lci-kick scooter'!$B$5,'ei names mapping'!$A$4:$A$33,0),MATCH('lci-kick scooter'!$G243,'ei names mapping'!$B$3:$R$3,0))</f>
        <v>unit</v>
      </c>
      <c r="F243" s="12" t="s">
        <v>91</v>
      </c>
      <c r="G243" t="s">
        <v>123</v>
      </c>
      <c r="H243" s="12" t="str">
        <f>INDEX('ei names mapping'!$B$71:$R$100,MATCH('lci-kick scooter'!$B$5,'ei names mapping'!$A$4:$A$33,0),MATCH('lci-kick scooter'!$G243,'ei names mapping'!$B$3:$R$3,0))</f>
        <v>maintenance, bicycle</v>
      </c>
    </row>
    <row r="244" spans="1:8" s="21" customFormat="1" x14ac:dyDescent="0.3">
      <c r="A244" s="12" t="str">
        <f>INDEX('ei names mapping'!$B$4:$R$33,MATCH(B214,'ei names mapping'!$A$4:$A$33,0),MATCH(G244,'ei names mapping'!$B$3:$R$3,0))</f>
        <v>road construction</v>
      </c>
      <c r="B244" s="16">
        <f>INDEX('vehicles specifications'!$B$3:$CK$86,MATCH(B217,'vehicles specifications'!$A$3:$A$86,0),MATCH(G244,'vehicles specifications'!$B$2:$CK$2,0))*INDEX('ei names mapping'!$B$137:$BK$220,MATCH(B217,'ei names mapping'!$A$137:$A$220,0),MATCH(G244,'ei names mapping'!$B$136:$BK$136,0))</f>
        <v>4.3957030000000002E-5</v>
      </c>
      <c r="C244" s="12" t="str">
        <f>INDEX('ei names mapping'!$B$38:$R$67,MATCH(B214,'ei names mapping'!$A$4:$A$33,0),MATCH(G244,'ei names mapping'!$B$3:$R$3,0))</f>
        <v>CH</v>
      </c>
      <c r="D244" s="12" t="str">
        <f>INDEX('ei names mapping'!$B$104:$R$133,MATCH(B214,'ei names mapping'!$A$104:$A$133,0),MATCH(G244,'ei names mapping'!$B$3:$R$3,0))</f>
        <v>meter-year</v>
      </c>
      <c r="E244" s="12"/>
      <c r="F244" s="12" t="s">
        <v>91</v>
      </c>
      <c r="G244" s="21" t="s">
        <v>108</v>
      </c>
      <c r="H244" s="12" t="str">
        <f>INDEX('ei names mapping'!$B$71:$R$100,MATCH(B214,'ei names mapping'!$A$4:$A$33,0),MATCH(G244,'ei names mapping'!$B$3:$R$3,0))</f>
        <v>road</v>
      </c>
    </row>
    <row r="245" spans="1:8" x14ac:dyDescent="0.3">
      <c r="A245" s="12" t="str">
        <f>INDEX('ei names mapping'!$B$4:$BK$33,MATCH('lci-kick scooter'!$B$5,'ei names mapping'!$A$4:$A$33,0),MATCH('lci-kick scooter'!$G245,'ei names mapping'!$B$3:$BK$3,0))</f>
        <v>treatment of road wear emissions, passenger car</v>
      </c>
      <c r="B245" s="14">
        <f>INDEX('vehicles specifications'!$B$3:$CK$86,MATCH(B217,'vehicles specifications'!$A$3:$A$86,0),MATCH(G245,'vehicles specifications'!$B$2:$CK$2,0))*INDEX('ei names mapping'!$B$137:$BK$220,MATCH(B217,'ei names mapping'!$A$137:$A$220,0),MATCH(G245,'ei names mapping'!$B$136:$BK$136,0))</f>
        <v>-3.0000000000000001E-6</v>
      </c>
      <c r="C245" s="12" t="str">
        <f>INDEX('ei names mapping'!$B$38:$BK$67,MATCH('lci-kick scooter'!$B$5,'ei names mapping'!$A$4:$A$33,0),MATCH('lci-kick scooter'!$G245,'ei names mapping'!$B$3:$BK$3,0))</f>
        <v>RER</v>
      </c>
      <c r="D245" s="12" t="str">
        <f>INDEX('ei names mapping'!$B$104:$BK$133,MATCH('lci-kick scooter'!$B$5,'ei names mapping'!$A$4:$A$33,0),MATCH('lci-kick scooter'!$G245,'ei names mapping'!$B$3:$BK$3,0))</f>
        <v>kilogram</v>
      </c>
      <c r="E245" s="12"/>
      <c r="F245" s="12" t="s">
        <v>91</v>
      </c>
      <c r="G245" t="s">
        <v>29</v>
      </c>
      <c r="H245" s="12" t="str">
        <f>INDEX('ei names mapping'!$B$71:$BK$100,MATCH('lci-kick scooter'!$B$5,'ei names mapping'!$A$4:$A$33,0),MATCH('lci-kick scooter'!$G245,'ei names mapping'!$B$3:$BK$3,0))</f>
        <v>road wear emissions, passenger car</v>
      </c>
    </row>
    <row r="246" spans="1:8" x14ac:dyDescent="0.3">
      <c r="A246" s="12" t="str">
        <f>INDEX('ei names mapping'!$B$4:$BK$33,MATCH('lci-kick scooter'!$B$5,'ei names mapping'!$A$4:$A$33,0),MATCH('lci-kick scooter'!$G246,'ei names mapping'!$B$3:$BK$3,0))</f>
        <v>treatment of tyre wear emissions, passenger car</v>
      </c>
      <c r="B246" s="14">
        <f>INDEX('vehicles specifications'!$B$3:$CK$86,MATCH(B217,'vehicles specifications'!$A$3:$A$86,0),MATCH(G246,'vehicles specifications'!$B$2:$CK$2,0))*INDEX('ei names mapping'!$B$137:$BK$220,MATCH(B217,'ei names mapping'!$A$137:$A$220,0),MATCH(G246,'ei names mapping'!$B$136:$BK$136,0))</f>
        <v>-2.9189999999999999E-6</v>
      </c>
      <c r="C246" s="12" t="str">
        <f>INDEX('ei names mapping'!$B$38:$BK$67,MATCH('lci-kick scooter'!$B$5,'ei names mapping'!$A$4:$A$33,0),MATCH('lci-kick scooter'!$G246,'ei names mapping'!$B$3:$BK$3,0))</f>
        <v>RER</v>
      </c>
      <c r="D246" s="12" t="str">
        <f>INDEX('ei names mapping'!$B$104:$BK$133,MATCH('lci-kick scooter'!$B$5,'ei names mapping'!$A$4:$A$33,0),MATCH('lci-kick scooter'!$G246,'ei names mapping'!$B$3:$BK$3,0))</f>
        <v>kilogram</v>
      </c>
      <c r="E246" s="12"/>
      <c r="F246" s="12" t="s">
        <v>91</v>
      </c>
      <c r="G246" t="s">
        <v>30</v>
      </c>
      <c r="H246" s="12" t="str">
        <f>INDEX('ei names mapping'!$B$71:$BK$100,MATCH('lci-kick scooter'!$B$5,'ei names mapping'!$A$4:$A$33,0),MATCH('lci-kick scooter'!$G246,'ei names mapping'!$B$3:$BK$3,0))</f>
        <v>tyre wear emissions, passenger car</v>
      </c>
    </row>
    <row r="247" spans="1:8" x14ac:dyDescent="0.3">
      <c r="A247" s="12" t="str">
        <f>INDEX('ei names mapping'!$B$4:$BK$33,MATCH('lci-kick scooter'!$B$5,'ei names mapping'!$A$4:$A$33,0),MATCH('lci-kick scooter'!$G247,'ei names mapping'!$B$3:$BK$3,0))</f>
        <v>treatment of brake wear emissions, passenger car</v>
      </c>
      <c r="B247" s="14">
        <f>INDEX('vehicles specifications'!$B$3:$CK$86,MATCH(B217,'vehicles specifications'!$A$3:$A$86,0),MATCH(G247,'vehicles specifications'!$B$2:$CK$2,0))*INDEX('ei names mapping'!$B$137:$BK$220,MATCH(B217,'ei names mapping'!$A$137:$A$220,0),MATCH(G247,'ei names mapping'!$B$136:$BK$136,0))</f>
        <v>-1.8370000000000002E-6</v>
      </c>
      <c r="C247" s="12" t="str">
        <f>INDEX('ei names mapping'!$B$38:$BK$67,MATCH('lci-kick scooter'!$B$5,'ei names mapping'!$A$4:$A$33,0),MATCH('lci-kick scooter'!$G247,'ei names mapping'!$B$3:$BK$3,0))</f>
        <v>RER</v>
      </c>
      <c r="D247" s="12" t="str">
        <f>INDEX('ei names mapping'!$B$104:$BK$133,MATCH('lci-kick scooter'!$B$5,'ei names mapping'!$A$4:$A$33,0),MATCH('lci-kick scooter'!$G247,'ei names mapping'!$B$3:$BK$3,0))</f>
        <v>kilogram</v>
      </c>
      <c r="E247" s="12"/>
      <c r="F247" s="12" t="s">
        <v>91</v>
      </c>
      <c r="G247" t="s">
        <v>31</v>
      </c>
      <c r="H247" s="12" t="str">
        <f>INDEX('ei names mapping'!$B$71:$BK$100,MATCH('lci-kick scooter'!$B$5,'ei names mapping'!$A$4:$A$33,0),MATCH('lci-kick scooter'!$G247,'ei names mapping'!$B$3:$BK$3,0))</f>
        <v>brake wear emissions, passenger car</v>
      </c>
    </row>
    <row r="249" spans="1:8" ht="15.6" x14ac:dyDescent="0.3">
      <c r="A249" s="11" t="s">
        <v>72</v>
      </c>
      <c r="B249" s="9" t="str">
        <f>"transport, "&amp;B251&amp;", "&amp;B253</f>
        <v>transport, Kick Scooter, electric, &lt;1kW, 2040</v>
      </c>
    </row>
    <row r="250" spans="1:8" x14ac:dyDescent="0.3">
      <c r="A250" t="s">
        <v>73</v>
      </c>
      <c r="B250" t="s">
        <v>37</v>
      </c>
    </row>
    <row r="251" spans="1:8" x14ac:dyDescent="0.3">
      <c r="A251" t="s">
        <v>87</v>
      </c>
      <c r="B251" s="12" t="s">
        <v>688</v>
      </c>
    </row>
    <row r="252" spans="1:8" x14ac:dyDescent="0.3">
      <c r="A252" t="s">
        <v>88</v>
      </c>
      <c r="B252" s="12"/>
    </row>
    <row r="253" spans="1:8" x14ac:dyDescent="0.3">
      <c r="A253" t="s">
        <v>89</v>
      </c>
      <c r="B253" s="12">
        <v>2040</v>
      </c>
    </row>
    <row r="254" spans="1:8" x14ac:dyDescent="0.3">
      <c r="A254" t="s">
        <v>131</v>
      </c>
      <c r="B254" s="12" t="str">
        <f>B251&amp;" - "&amp;B253&amp;" - "&amp;B250</f>
        <v>Kick Scooter, electric, &lt;1kW - 2040 - CH</v>
      </c>
    </row>
    <row r="255" spans="1:8" x14ac:dyDescent="0.3">
      <c r="A255" t="s">
        <v>74</v>
      </c>
      <c r="B255" s="12" t="str">
        <f>"transport, "&amp;B251</f>
        <v>transport, Kick Scooter, electric, &lt;1kW</v>
      </c>
    </row>
    <row r="256" spans="1:8" x14ac:dyDescent="0.3">
      <c r="A256" t="s">
        <v>75</v>
      </c>
      <c r="B256" t="s">
        <v>76</v>
      </c>
    </row>
    <row r="257" spans="1:2" x14ac:dyDescent="0.3">
      <c r="A257" t="s">
        <v>77</v>
      </c>
      <c r="B257" t="s">
        <v>172</v>
      </c>
    </row>
    <row r="258" spans="1:2" x14ac:dyDescent="0.3">
      <c r="A258" t="s">
        <v>79</v>
      </c>
      <c r="B258" t="s">
        <v>90</v>
      </c>
    </row>
    <row r="259" spans="1:2" x14ac:dyDescent="0.3">
      <c r="A259" t="s">
        <v>132</v>
      </c>
      <c r="B259">
        <f>INDEX('vehicles specifications'!$B$3:$CK$86,MATCH('lci-kick scooter'!B254,'vehicles specifications'!$A$3:$A$86,0),MATCH("Lifetime [km]",'vehicles specifications'!$B$2:$CK$2,0))</f>
        <v>1785</v>
      </c>
    </row>
    <row r="260" spans="1:2" x14ac:dyDescent="0.3">
      <c r="A260" t="s">
        <v>133</v>
      </c>
      <c r="B260">
        <f>INDEX('vehicles specifications'!$B$3:$CK$86,MATCH('lci-kick scooter'!B254,'vehicles specifications'!$A$3:$A$86,0),MATCH("Passengers [unit]",'vehicles specifications'!$B$2:$CK$2,0))</f>
        <v>1</v>
      </c>
    </row>
    <row r="261" spans="1:2" x14ac:dyDescent="0.3">
      <c r="A261" t="s">
        <v>134</v>
      </c>
      <c r="B261">
        <f>INDEX('vehicles specifications'!$B$3:$CK$86,MATCH('lci-kick scooter'!B254,'vehicles specifications'!$A$3:$A$86,0),MATCH("Servicing [unit]",'vehicles specifications'!$B$2:$CK$2,0))</f>
        <v>0.44624999999999998</v>
      </c>
    </row>
    <row r="262" spans="1:2" x14ac:dyDescent="0.3">
      <c r="A262" t="s">
        <v>135</v>
      </c>
      <c r="B262">
        <f>INDEX('vehicles specifications'!$B$3:$CK$86,MATCH('lci-kick scooter'!B254,'vehicles specifications'!$A$3:$A$86,0),MATCH("Energy battery replacement [unit]",'vehicles specifications'!$B$2:$CK$2,0))</f>
        <v>0</v>
      </c>
    </row>
    <row r="263" spans="1:2" x14ac:dyDescent="0.3">
      <c r="A263" t="s">
        <v>136</v>
      </c>
      <c r="B263">
        <f>INDEX('vehicles specifications'!$B$3:$CK$86,MATCH('lci-kick scooter'!B254,'vehicles specifications'!$A$3:$A$86,0),MATCH("Annual kilometers [km]",'vehicles specifications'!$B$2:$CK$2,0))</f>
        <v>890</v>
      </c>
    </row>
    <row r="264" spans="1:2" x14ac:dyDescent="0.3">
      <c r="A264" t="s">
        <v>137</v>
      </c>
      <c r="B264">
        <f>INDEX('vehicles specifications'!$B$3:$CK$86,MATCH('lci-kick scooter'!B254,'vehicles specifications'!$A$3:$A$86,0),MATCH("Curb mass [kg]",'vehicles specifications'!$B$2:$CK$2,0))</f>
        <v>12.049999999999999</v>
      </c>
    </row>
    <row r="265" spans="1:2" x14ac:dyDescent="0.3">
      <c r="A265" t="s">
        <v>138</v>
      </c>
      <c r="B265">
        <f>INDEX('vehicles specifications'!$B$3:$CK$86,MATCH('lci-kick scooter'!B254,'vehicles specifications'!$A$3:$A$86,0),MATCH("Power [kW]",'vehicles specifications'!$B$2:$CK$2,0))</f>
        <v>0.25</v>
      </c>
    </row>
    <row r="266" spans="1:2" x14ac:dyDescent="0.3">
      <c r="A266" t="s">
        <v>139</v>
      </c>
      <c r="B266">
        <f>INDEX('vehicles specifications'!$B$3:$CK$86,MATCH('lci-kick scooter'!B254,'vehicles specifications'!$A$3:$A$86,0),MATCH("Energy battery mass [kg]",'vehicles specifications'!$B$2:$CK$2,0))</f>
        <v>2.6</v>
      </c>
    </row>
    <row r="267" spans="1:2" x14ac:dyDescent="0.3">
      <c r="A267" t="s">
        <v>140</v>
      </c>
      <c r="B267" s="21">
        <f>INDEX('vehicles specifications'!$B$3:$CK$86,MATCH('lci-kick scooter'!B254,'vehicles specifications'!$A$3:$A$86,0),MATCH("Electric energy stored [kWh]",'vehicles specifications'!$B$2:$CK$2,0))</f>
        <v>0.8</v>
      </c>
    </row>
    <row r="268" spans="1:2" s="21" customFormat="1" x14ac:dyDescent="0.3">
      <c r="A268" s="21" t="s">
        <v>654</v>
      </c>
      <c r="B268" s="21">
        <f>INDEX('vehicles specifications'!$B$3:$CK$86,MATCH('lci-kick scooter'!B254,'vehicles specifications'!$A$3:$A$86,0),MATCH("Electric energy available [kWh]",'vehicles specifications'!$B$2:$CK$2,0))</f>
        <v>0.64000000000000012</v>
      </c>
    </row>
    <row r="269" spans="1:2" x14ac:dyDescent="0.3">
      <c r="A269" t="s">
        <v>143</v>
      </c>
      <c r="B269">
        <f>INDEX('vehicles specifications'!$B$3:$CK$86,MATCH('lci-kick scooter'!B254,'vehicles specifications'!$A$3:$A$86,0),MATCH("Oxydation energy stored [kWh]",'vehicles specifications'!$B$2:$CK$2,0))</f>
        <v>0</v>
      </c>
    </row>
    <row r="270" spans="1:2" x14ac:dyDescent="0.3">
      <c r="A270" t="s">
        <v>145</v>
      </c>
      <c r="B270">
        <f>INDEX('vehicles specifications'!$B$3:$CK$86,MATCH('lci-kick scooter'!B254,'vehicles specifications'!$A$3:$A$86,0),MATCH("Fuel mass [kg]",'vehicles specifications'!$B$2:$CK$2,0))</f>
        <v>0</v>
      </c>
    </row>
    <row r="271" spans="1:2" x14ac:dyDescent="0.3">
      <c r="A271" t="s">
        <v>141</v>
      </c>
      <c r="B271">
        <f>INDEX('vehicles specifications'!$B$3:$CK$86,MATCH('lci-kick scooter'!B254,'vehicles specifications'!$A$3:$A$86,0),MATCH("Range [km]",'vehicles specifications'!$B$2:$CK$2,0))</f>
        <v>26.751401869158883</v>
      </c>
    </row>
    <row r="272" spans="1:2" x14ac:dyDescent="0.3">
      <c r="A272" t="s">
        <v>142</v>
      </c>
      <c r="B272" t="str">
        <f>INDEX('vehicles specifications'!$B$3:$CK$86,MATCH('lci-kick scooter'!B254,'vehicles specifications'!$A$3:$A$86,0),MATCH("Emission standard",'vehicles specifications'!$B$2:$CK$2,0))</f>
        <v>None</v>
      </c>
    </row>
    <row r="273" spans="1:8" x14ac:dyDescent="0.3">
      <c r="A273" t="s">
        <v>144</v>
      </c>
      <c r="B273" s="6">
        <f>INDEX('vehicles specifications'!$B$3:$CK$86,MATCH('lci-kick scooter'!B254,'vehicles specifications'!$A$3:$A$86,0),MATCH("Lightweighting rate [%]",'vehicles specifications'!$B$2:$CK$2,0))</f>
        <v>0.05</v>
      </c>
    </row>
    <row r="274" spans="1:8" x14ac:dyDescent="0.3">
      <c r="A274" t="s">
        <v>84</v>
      </c>
      <c r="B274" s="21" t="str">
        <f>"Power: "&amp;B265&amp;" kW. Lifetime: "&amp;B259&amp;" km. Annual kilometers: "&amp;B263&amp;" km. Number of passengers: "&amp;B260&amp;". Curb mass: "&amp;ROUND(B264,1)&amp;" kg. Lightweighting of glider: "&amp;ROUND(B273*100,0)&amp;"%. Emission standard: "&amp;B272&amp;". Service visits throughout lifetime: "&amp;ROUND(B261,1)&amp;". Range: "&amp;ROUND(B271,0)&amp;" km. Battery capacity: "&amp;ROUND(B267,1)&amp;" kWh. Available battery capacity: "&amp;B268&amp;" kWh. Battery mass: "&amp;ROUND(B266,1)&amp; " kg. Battery replacement throughout lifetime: "&amp;ROUND(B262,1)&amp;". Fuel tank capacity: "&amp;ROUND(B269,1)&amp;" kWh. Fuel mass: "&amp;ROUND(B270,1)&amp;" kg. Documentation: "&amp;Readmefirst!$B$2&amp;", "&amp;Readmefirst!$B$3&amp;". "&amp;'lci-kick scooter'!B213</f>
        <v>Power: 0.25 kW. Lifetime: 1785 km. Annual kilometers: 890 km. Number of passengers: 1. Curb mass: 12.1 kg. Lightweighting of glider: 5%. Emission standard: None. Service visits throughout lifetime: 0.4. Range: 27 km. Battery capacity: 0.8 kWh. Available battery capacity: 0.64 kWh. Battery mass: 2.6 kg. Battery replacement throughout lifetime: 0. Fuel tank capacity: 0 kWh. Fuel mass: 0 kg. Documentation: 2021 UVEK life-cycle inventories update of on-road vehicles, Sacchi R. (PSI), Bauer C. (PSI), 2021. CH</v>
      </c>
    </row>
    <row r="275" spans="1:8" ht="15.6" x14ac:dyDescent="0.3">
      <c r="A275" s="11" t="s">
        <v>80</v>
      </c>
    </row>
    <row r="276" spans="1:8" x14ac:dyDescent="0.3">
      <c r="A276" t="s">
        <v>81</v>
      </c>
      <c r="B276" t="s">
        <v>82</v>
      </c>
      <c r="C276" t="s">
        <v>73</v>
      </c>
      <c r="D276" t="s">
        <v>77</v>
      </c>
      <c r="E276" t="s">
        <v>83</v>
      </c>
      <c r="F276" t="s">
        <v>75</v>
      </c>
      <c r="G276" t="s">
        <v>84</v>
      </c>
      <c r="H276" t="s">
        <v>74</v>
      </c>
    </row>
    <row r="277" spans="1:8" x14ac:dyDescent="0.3">
      <c r="A277" s="12" t="str">
        <f>B249</f>
        <v>transport, Kick Scooter, electric, &lt;1kW, 2040</v>
      </c>
      <c r="B277" s="12">
        <v>1</v>
      </c>
      <c r="C277" s="12" t="str">
        <f>B250</f>
        <v>CH</v>
      </c>
      <c r="D277" s="12" t="s">
        <v>172</v>
      </c>
      <c r="E277" s="12"/>
      <c r="F277" s="12" t="s">
        <v>85</v>
      </c>
      <c r="G277" s="12" t="s">
        <v>86</v>
      </c>
      <c r="H277" s="12" t="str">
        <f>B255</f>
        <v>transport, Kick Scooter, electric, &lt;1kW</v>
      </c>
    </row>
    <row r="278" spans="1:8" x14ac:dyDescent="0.3">
      <c r="A278" s="12" t="str">
        <f>RIGHT(A277,LEN(A277)-11)</f>
        <v>Kick Scooter, electric, &lt;1kW, 2040</v>
      </c>
      <c r="B278" s="12">
        <f>1/B259</f>
        <v>5.602240896358543E-4</v>
      </c>
      <c r="C278" s="12" t="str">
        <f>B250</f>
        <v>CH</v>
      </c>
      <c r="D278" s="12" t="s">
        <v>77</v>
      </c>
      <c r="E278" s="12"/>
      <c r="F278" s="12" t="s">
        <v>91</v>
      </c>
      <c r="G278" s="12"/>
      <c r="H278" s="12" t="str">
        <f>RIGHT(H277,LEN(H277)-11)</f>
        <v>Kick Scooter, electric, &lt;1kW</v>
      </c>
    </row>
    <row r="279" spans="1:8" x14ac:dyDescent="0.3">
      <c r="A279" s="12" t="str">
        <f>INDEX('ei names mapping'!$B$4:$R$33,MATCH('lci-kick scooter'!$B$5,'ei names mapping'!$A$4:$A$33,0),MATCH('lci-kick scooter'!$G279,'ei names mapping'!$B$3:$R$3,0))</f>
        <v>market for electricity, low voltage</v>
      </c>
      <c r="B279" s="14">
        <f>INDEX('vehicles specifications'!$B$3:$CK$86,MATCH(B254,'vehicles specifications'!$A$3:$A$86,0),MATCH(G279,'vehicles specifications'!$B$2:$CK$2,0))*INDEX('ei names mapping'!$B$137:$BK$220,MATCH(B254,'ei names mapping'!$A$137:$A$220,0),MATCH(G279,'ei names mapping'!$B$136:$BK$136,0))</f>
        <v>2.6316377864728905E-2</v>
      </c>
      <c r="C279" s="12" t="str">
        <f>INDEX('ei names mapping'!$B$38:$R$67,MATCH('lci-kick scooter'!$B$5,'ei names mapping'!$A$4:$A$33,0),MATCH('lci-kick scooter'!$G279,'ei names mapping'!$B$3:$R$3,0))</f>
        <v>CH</v>
      </c>
      <c r="D279" s="12" t="str">
        <f>INDEX('ei names mapping'!$B$104:$R$133,MATCH('lci-kick scooter'!$B$5,'ei names mapping'!$A$4:$A$33,0),MATCH('lci-kick scooter'!$G279,'ei names mapping'!$B$3:$R$3,0))</f>
        <v>kilowatt hour</v>
      </c>
      <c r="F279" s="12" t="s">
        <v>91</v>
      </c>
      <c r="G279" t="s">
        <v>28</v>
      </c>
      <c r="H279" s="12" t="str">
        <f>INDEX('ei names mapping'!$B$71:$R$100,MATCH('lci-kick scooter'!$B$5,'ei names mapping'!$A$4:$A$33,0),MATCH('lci-kick scooter'!$G279,'ei names mapping'!$B$3:$R$3,0))</f>
        <v>electricity, low voltage</v>
      </c>
    </row>
    <row r="280" spans="1:8" x14ac:dyDescent="0.3">
      <c r="A280" s="12" t="str">
        <f>INDEX('ei names mapping'!$B$4:$R$33,MATCH('lci-kick scooter'!$B$5,'ei names mapping'!$A$4:$A$33,0),MATCH('lci-kick scooter'!$G280,'ei names mapping'!$B$3:$R$3,0))</f>
        <v>maintenance, bicycle</v>
      </c>
      <c r="B280" s="14">
        <f>INDEX('vehicles specifications'!$B$3:$CK$86,MATCH(B254,'vehicles specifications'!$A$3:$A$86,0),MATCH(G280,'vehicles specifications'!$B$2:$CK$2,0))*INDEX('ei names mapping'!$B$137:$BK$220,MATCH(B254,'ei names mapping'!$A$137:$A$220,0),MATCH(G280,'ei names mapping'!$B$136:$BK$136,0))</f>
        <v>2.4999999999999995E-4</v>
      </c>
      <c r="C280" s="12" t="str">
        <f>INDEX('ei names mapping'!$B$38:$R$67,MATCH('lci-kick scooter'!$B$5,'ei names mapping'!$A$4:$A$33,0),MATCH('lci-kick scooter'!$G280,'ei names mapping'!$B$3:$R$3,0))</f>
        <v>CH</v>
      </c>
      <c r="D280" s="12" t="str">
        <f>INDEX('ei names mapping'!$B$104:$R$133,MATCH('lci-kick scooter'!$B$5,'ei names mapping'!$A$4:$A$33,0),MATCH('lci-kick scooter'!$G280,'ei names mapping'!$B$3:$R$3,0))</f>
        <v>unit</v>
      </c>
      <c r="F280" s="12" t="s">
        <v>91</v>
      </c>
      <c r="G280" t="s">
        <v>123</v>
      </c>
      <c r="H280" s="12" t="str">
        <f>INDEX('ei names mapping'!$B$71:$R$100,MATCH('lci-kick scooter'!$B$5,'ei names mapping'!$A$4:$A$33,0),MATCH('lci-kick scooter'!$G280,'ei names mapping'!$B$3:$R$3,0))</f>
        <v>maintenance, bicycle</v>
      </c>
    </row>
    <row r="281" spans="1:8" s="21" customFormat="1" x14ac:dyDescent="0.3">
      <c r="A281" s="12" t="str">
        <f>INDEX('ei names mapping'!$B$4:$R$33,MATCH(B251,'ei names mapping'!$A$4:$A$33,0),MATCH(G281,'ei names mapping'!$B$3:$R$3,0))</f>
        <v>road construction</v>
      </c>
      <c r="B281" s="16">
        <f>INDEX('vehicles specifications'!$B$3:$CK$86,MATCH(B254,'vehicles specifications'!$A$3:$A$86,0),MATCH(G281,'vehicles specifications'!$B$2:$CK$2,0))*INDEX('ei names mapping'!$B$137:$BK$220,MATCH(B254,'ei names mapping'!$A$137:$A$220,0),MATCH(G281,'ei names mapping'!$B$136:$BK$136,0))</f>
        <v>4.406085E-5</v>
      </c>
      <c r="C281" s="12" t="str">
        <f>INDEX('ei names mapping'!$B$38:$R$67,MATCH(B251,'ei names mapping'!$A$4:$A$33,0),MATCH(G281,'ei names mapping'!$B$3:$R$3,0))</f>
        <v>CH</v>
      </c>
      <c r="D281" s="12" t="str">
        <f>INDEX('ei names mapping'!$B$104:$R$133,MATCH(B251,'ei names mapping'!$A$104:$A$133,0),MATCH(G281,'ei names mapping'!$B$3:$R$3,0))</f>
        <v>meter-year</v>
      </c>
      <c r="E281" s="12"/>
      <c r="F281" s="12" t="s">
        <v>91</v>
      </c>
      <c r="G281" s="21" t="s">
        <v>108</v>
      </c>
      <c r="H281" s="12" t="str">
        <f>INDEX('ei names mapping'!$B$71:$R$100,MATCH(B251,'ei names mapping'!$A$4:$A$33,0),MATCH(G281,'ei names mapping'!$B$3:$R$3,0))</f>
        <v>road</v>
      </c>
    </row>
    <row r="282" spans="1:8" x14ac:dyDescent="0.3">
      <c r="A282" s="12" t="str">
        <f>INDEX('ei names mapping'!$B$4:$BK$33,MATCH('lci-kick scooter'!$B$5,'ei names mapping'!$A$4:$A$33,0),MATCH('lci-kick scooter'!$G282,'ei names mapping'!$B$3:$BK$3,0))</f>
        <v>treatment of road wear emissions, passenger car</v>
      </c>
      <c r="B282" s="14">
        <f>INDEX('vehicles specifications'!$B$3:$CK$86,MATCH(B254,'vehicles specifications'!$A$3:$A$86,0),MATCH(G282,'vehicles specifications'!$B$2:$CK$2,0))*INDEX('ei names mapping'!$B$137:$BK$220,MATCH(B254,'ei names mapping'!$A$137:$A$220,0),MATCH(G282,'ei names mapping'!$B$136:$BK$136,0))</f>
        <v>-3.0000000000000001E-6</v>
      </c>
      <c r="C282" s="12" t="str">
        <f>INDEX('ei names mapping'!$B$38:$BK$67,MATCH('lci-kick scooter'!$B$5,'ei names mapping'!$A$4:$A$33,0),MATCH('lci-kick scooter'!$G282,'ei names mapping'!$B$3:$BK$3,0))</f>
        <v>RER</v>
      </c>
      <c r="D282" s="12" t="str">
        <f>INDEX('ei names mapping'!$B$104:$BK$133,MATCH('lci-kick scooter'!$B$5,'ei names mapping'!$A$4:$A$33,0),MATCH('lci-kick scooter'!$G282,'ei names mapping'!$B$3:$BK$3,0))</f>
        <v>kilogram</v>
      </c>
      <c r="E282" s="12"/>
      <c r="F282" s="12" t="s">
        <v>91</v>
      </c>
      <c r="G282" t="s">
        <v>29</v>
      </c>
      <c r="H282" s="12" t="str">
        <f>INDEX('ei names mapping'!$B$71:$BK$100,MATCH('lci-kick scooter'!$B$5,'ei names mapping'!$A$4:$A$33,0),MATCH('lci-kick scooter'!$G282,'ei names mapping'!$B$3:$BK$3,0))</f>
        <v>road wear emissions, passenger car</v>
      </c>
    </row>
    <row r="283" spans="1:8" x14ac:dyDescent="0.3">
      <c r="A283" s="12" t="str">
        <f>INDEX('ei names mapping'!$B$4:$BK$33,MATCH('lci-kick scooter'!$B$5,'ei names mapping'!$A$4:$A$33,0),MATCH('lci-kick scooter'!$G283,'ei names mapping'!$B$3:$BK$3,0))</f>
        <v>treatment of tyre wear emissions, passenger car</v>
      </c>
      <c r="B283" s="14">
        <f>INDEX('vehicles specifications'!$B$3:$CK$86,MATCH(B254,'vehicles specifications'!$A$3:$A$86,0),MATCH(G283,'vehicles specifications'!$B$2:$CK$2,0))*INDEX('ei names mapping'!$B$137:$BK$220,MATCH(B254,'ei names mapping'!$A$137:$A$220,0),MATCH(G283,'ei names mapping'!$B$136:$BK$136,0))</f>
        <v>-2.9189999999999999E-6</v>
      </c>
      <c r="C283" s="12" t="str">
        <f>INDEX('ei names mapping'!$B$38:$BK$67,MATCH('lci-kick scooter'!$B$5,'ei names mapping'!$A$4:$A$33,0),MATCH('lci-kick scooter'!$G283,'ei names mapping'!$B$3:$BK$3,0))</f>
        <v>RER</v>
      </c>
      <c r="D283" s="12" t="str">
        <f>INDEX('ei names mapping'!$B$104:$BK$133,MATCH('lci-kick scooter'!$B$5,'ei names mapping'!$A$4:$A$33,0),MATCH('lci-kick scooter'!$G283,'ei names mapping'!$B$3:$BK$3,0))</f>
        <v>kilogram</v>
      </c>
      <c r="E283" s="12"/>
      <c r="F283" s="12" t="s">
        <v>91</v>
      </c>
      <c r="G283" t="s">
        <v>30</v>
      </c>
      <c r="H283" s="12" t="str">
        <f>INDEX('ei names mapping'!$B$71:$BK$100,MATCH('lci-kick scooter'!$B$5,'ei names mapping'!$A$4:$A$33,0),MATCH('lci-kick scooter'!$G283,'ei names mapping'!$B$3:$BK$3,0))</f>
        <v>tyre wear emissions, passenger car</v>
      </c>
    </row>
    <row r="284" spans="1:8" x14ac:dyDescent="0.3">
      <c r="A284" s="12" t="str">
        <f>INDEX('ei names mapping'!$B$4:$BK$33,MATCH('lci-kick scooter'!$B$5,'ei names mapping'!$A$4:$A$33,0),MATCH('lci-kick scooter'!$G284,'ei names mapping'!$B$3:$BK$3,0))</f>
        <v>treatment of brake wear emissions, passenger car</v>
      </c>
      <c r="B284" s="14">
        <f>INDEX('vehicles specifications'!$B$3:$CK$86,MATCH(B254,'vehicles specifications'!$A$3:$A$86,0),MATCH(G284,'vehicles specifications'!$B$2:$CK$2,0))*INDEX('ei names mapping'!$B$137:$BK$220,MATCH(B254,'ei names mapping'!$A$137:$A$220,0),MATCH(G284,'ei names mapping'!$B$136:$BK$136,0))</f>
        <v>-1.8370000000000002E-6</v>
      </c>
      <c r="C284" s="12" t="str">
        <f>INDEX('ei names mapping'!$B$38:$BK$67,MATCH('lci-kick scooter'!$B$5,'ei names mapping'!$A$4:$A$33,0),MATCH('lci-kick scooter'!$G284,'ei names mapping'!$B$3:$BK$3,0))</f>
        <v>RER</v>
      </c>
      <c r="D284" s="12" t="str">
        <f>INDEX('ei names mapping'!$B$104:$BK$133,MATCH('lci-kick scooter'!$B$5,'ei names mapping'!$A$4:$A$33,0),MATCH('lci-kick scooter'!$G284,'ei names mapping'!$B$3:$BK$3,0))</f>
        <v>kilogram</v>
      </c>
      <c r="E284" s="12"/>
      <c r="F284" s="12" t="s">
        <v>91</v>
      </c>
      <c r="G284" t="s">
        <v>31</v>
      </c>
      <c r="H284" s="12" t="str">
        <f>INDEX('ei names mapping'!$B$71:$BK$100,MATCH('lci-kick scooter'!$B$5,'ei names mapping'!$A$4:$A$33,0),MATCH('lci-kick scooter'!$G284,'ei names mapping'!$B$3:$BK$3,0))</f>
        <v>brake wear emissions, passenger car</v>
      </c>
    </row>
    <row r="286" spans="1:8" ht="15.6" x14ac:dyDescent="0.3">
      <c r="A286" s="11" t="s">
        <v>72</v>
      </c>
      <c r="B286" s="9" t="str">
        <f>"transport, "&amp;B288&amp;", "&amp;B290</f>
        <v>transport, Kick Scooter, electric, &lt;1kW, 2050</v>
      </c>
    </row>
    <row r="287" spans="1:8" x14ac:dyDescent="0.3">
      <c r="A287" t="s">
        <v>73</v>
      </c>
      <c r="B287" t="s">
        <v>37</v>
      </c>
    </row>
    <row r="288" spans="1:8" x14ac:dyDescent="0.3">
      <c r="A288" t="s">
        <v>87</v>
      </c>
      <c r="B288" s="12" t="s">
        <v>688</v>
      </c>
    </row>
    <row r="289" spans="1:2" x14ac:dyDescent="0.3">
      <c r="A289" t="s">
        <v>88</v>
      </c>
      <c r="B289" s="12"/>
    </row>
    <row r="290" spans="1:2" x14ac:dyDescent="0.3">
      <c r="A290" t="s">
        <v>89</v>
      </c>
      <c r="B290" s="12">
        <v>2050</v>
      </c>
    </row>
    <row r="291" spans="1:2" x14ac:dyDescent="0.3">
      <c r="A291" t="s">
        <v>131</v>
      </c>
      <c r="B291" s="12" t="str">
        <f>B288&amp;" - "&amp;B290&amp;" - "&amp;B287</f>
        <v>Kick Scooter, electric, &lt;1kW - 2050 - CH</v>
      </c>
    </row>
    <row r="292" spans="1:2" x14ac:dyDescent="0.3">
      <c r="A292" t="s">
        <v>74</v>
      </c>
      <c r="B292" s="12" t="str">
        <f>"transport, "&amp;B288</f>
        <v>transport, Kick Scooter, electric, &lt;1kW</v>
      </c>
    </row>
    <row r="293" spans="1:2" x14ac:dyDescent="0.3">
      <c r="A293" t="s">
        <v>75</v>
      </c>
      <c r="B293" t="s">
        <v>76</v>
      </c>
    </row>
    <row r="294" spans="1:2" x14ac:dyDescent="0.3">
      <c r="A294" t="s">
        <v>77</v>
      </c>
      <c r="B294" t="s">
        <v>172</v>
      </c>
    </row>
    <row r="295" spans="1:2" x14ac:dyDescent="0.3">
      <c r="A295" t="s">
        <v>79</v>
      </c>
      <c r="B295" t="s">
        <v>90</v>
      </c>
    </row>
    <row r="296" spans="1:2" x14ac:dyDescent="0.3">
      <c r="A296" t="s">
        <v>132</v>
      </c>
      <c r="B296">
        <f>INDEX('vehicles specifications'!$B$3:$CK$86,MATCH('lci-kick scooter'!B291,'vehicles specifications'!$A$3:$A$86,0),MATCH("Lifetime [km]",'vehicles specifications'!$B$2:$CK$2,0))</f>
        <v>1785</v>
      </c>
    </row>
    <row r="297" spans="1:2" x14ac:dyDescent="0.3">
      <c r="A297" t="s">
        <v>133</v>
      </c>
      <c r="B297">
        <f>INDEX('vehicles specifications'!$B$3:$CK$86,MATCH('lci-kick scooter'!B291,'vehicles specifications'!$A$3:$A$86,0),MATCH("Passengers [unit]",'vehicles specifications'!$B$2:$CK$2,0))</f>
        <v>1</v>
      </c>
    </row>
    <row r="298" spans="1:2" x14ac:dyDescent="0.3">
      <c r="A298" t="s">
        <v>134</v>
      </c>
      <c r="B298">
        <f>INDEX('vehicles specifications'!$B$3:$CK$86,MATCH('lci-kick scooter'!B291,'vehicles specifications'!$A$3:$A$86,0),MATCH("Servicing [unit]",'vehicles specifications'!$B$2:$CK$2,0))</f>
        <v>0.44624999999999998</v>
      </c>
    </row>
    <row r="299" spans="1:2" x14ac:dyDescent="0.3">
      <c r="A299" t="s">
        <v>135</v>
      </c>
      <c r="B299">
        <f>INDEX('vehicles specifications'!$B$3:$CK$86,MATCH('lci-kick scooter'!B291,'vehicles specifications'!$A$3:$A$86,0),MATCH("Energy battery replacement [unit]",'vehicles specifications'!$B$2:$CK$2,0))</f>
        <v>0</v>
      </c>
    </row>
    <row r="300" spans="1:2" x14ac:dyDescent="0.3">
      <c r="A300" t="s">
        <v>136</v>
      </c>
      <c r="B300">
        <f>INDEX('vehicles specifications'!$B$3:$CK$86,MATCH('lci-kick scooter'!B291,'vehicles specifications'!$A$3:$A$86,0),MATCH("Annual kilometers [km]",'vehicles specifications'!$B$2:$CK$2,0))</f>
        <v>890</v>
      </c>
    </row>
    <row r="301" spans="1:2" x14ac:dyDescent="0.3">
      <c r="A301" t="s">
        <v>137</v>
      </c>
      <c r="B301">
        <f>INDEX('vehicles specifications'!$B$3:$CK$86,MATCH('lci-kick scooter'!B291,'vehicles specifications'!$A$3:$A$86,0),MATCH("Curb mass [kg]",'vehicles specifications'!$B$2:$CK$2,0))</f>
        <v>11.81</v>
      </c>
    </row>
    <row r="302" spans="1:2" x14ac:dyDescent="0.3">
      <c r="A302" t="s">
        <v>138</v>
      </c>
      <c r="B302">
        <f>INDEX('vehicles specifications'!$B$3:$CK$86,MATCH('lci-kick scooter'!B291,'vehicles specifications'!$A$3:$A$86,0),MATCH("Power [kW]",'vehicles specifications'!$B$2:$CK$2,0))</f>
        <v>0.25</v>
      </c>
    </row>
    <row r="303" spans="1:2" x14ac:dyDescent="0.3">
      <c r="A303" t="s">
        <v>139</v>
      </c>
      <c r="B303">
        <f>INDEX('vehicles specifications'!$B$3:$CK$86,MATCH('lci-kick scooter'!B291,'vehicles specifications'!$A$3:$A$86,0),MATCH("Energy battery mass [kg]",'vehicles specifications'!$B$2:$CK$2,0))</f>
        <v>2.6</v>
      </c>
    </row>
    <row r="304" spans="1:2" x14ac:dyDescent="0.3">
      <c r="A304" t="s">
        <v>140</v>
      </c>
      <c r="B304" s="21">
        <f>INDEX('vehicles specifications'!$B$3:$CK$86,MATCH('lci-kick scooter'!B291,'vehicles specifications'!$A$3:$A$86,0),MATCH("Electric energy stored [kWh]",'vehicles specifications'!$B$2:$CK$2,0))</f>
        <v>1</v>
      </c>
    </row>
    <row r="305" spans="1:8" s="21" customFormat="1" x14ac:dyDescent="0.3">
      <c r="A305" s="21" t="s">
        <v>654</v>
      </c>
      <c r="B305" s="21">
        <f>INDEX('vehicles specifications'!$B$3:$CK$86,MATCH('lci-kick scooter'!B291,'vehicles specifications'!$A$3:$A$86,0),MATCH("Electric energy available [kWh]",'vehicles specifications'!$B$2:$CK$2,0))</f>
        <v>0.8</v>
      </c>
    </row>
    <row r="306" spans="1:8" x14ac:dyDescent="0.3">
      <c r="A306" t="s">
        <v>143</v>
      </c>
      <c r="B306">
        <f>INDEX('vehicles specifications'!$B$3:$CK$86,MATCH('lci-kick scooter'!B291,'vehicles specifications'!$A$3:$A$86,0),MATCH("Oxydation energy stored [kWh]",'vehicles specifications'!$B$2:$CK$2,0))</f>
        <v>0</v>
      </c>
    </row>
    <row r="307" spans="1:8" x14ac:dyDescent="0.3">
      <c r="A307" t="s">
        <v>145</v>
      </c>
      <c r="B307">
        <f>INDEX('vehicles specifications'!$B$3:$CK$86,MATCH('lci-kick scooter'!B291,'vehicles specifications'!$A$3:$A$86,0),MATCH("Fuel mass [kg]",'vehicles specifications'!$B$2:$CK$2,0))</f>
        <v>0</v>
      </c>
    </row>
    <row r="308" spans="1:8" x14ac:dyDescent="0.3">
      <c r="A308" t="s">
        <v>141</v>
      </c>
      <c r="B308">
        <f>INDEX('vehicles specifications'!$B$3:$CK$86,MATCH('lci-kick scooter'!B291,'vehicles specifications'!$A$3:$A$86,0),MATCH("Range [km]",'vehicles specifications'!$B$2:$CK$2,0))</f>
        <v>33.439252336448597</v>
      </c>
    </row>
    <row r="309" spans="1:8" x14ac:dyDescent="0.3">
      <c r="A309" t="s">
        <v>142</v>
      </c>
      <c r="B309" t="str">
        <f>INDEX('vehicles specifications'!$B$3:$CK$86,MATCH('lci-kick scooter'!B291,'vehicles specifications'!$A$3:$A$86,0),MATCH("Emission standard",'vehicles specifications'!$B$2:$CK$2,0))</f>
        <v>None</v>
      </c>
    </row>
    <row r="310" spans="1:8" x14ac:dyDescent="0.3">
      <c r="A310" t="s">
        <v>144</v>
      </c>
      <c r="B310" s="6">
        <f>INDEX('vehicles specifications'!$B$3:$CK$86,MATCH('lci-kick scooter'!B291,'vehicles specifications'!$A$3:$A$86,0),MATCH("Lightweighting rate [%]",'vehicles specifications'!$B$2:$CK$2,0))</f>
        <v>7.0000000000000007E-2</v>
      </c>
    </row>
    <row r="311" spans="1:8" x14ac:dyDescent="0.3">
      <c r="A311" t="s">
        <v>84</v>
      </c>
      <c r="B311" s="21" t="str">
        <f>"Power: "&amp;B302&amp;" kW. Lifetime: "&amp;B296&amp;" km. Annual kilometers: "&amp;B300&amp;" km. Number of passengers: "&amp;B297&amp;". Curb mass: "&amp;ROUND(B301,1)&amp;" kg. Lightweighting of glider: "&amp;ROUND(B310*100,0)&amp;"%. Emission standard: "&amp;B309&amp;". Service visits throughout lifetime: "&amp;ROUND(B298,1)&amp;". Range: "&amp;ROUND(B308,0)&amp;" km. Battery capacity: "&amp;ROUND(B304,1)&amp;" kWh. Available battery capacity: "&amp;B305&amp;" kWh. Battery mass: "&amp;ROUND(B303,1)&amp; " kg. Battery replacement throughout lifetime: "&amp;ROUND(B299,1)&amp;". Fuel tank capacity: "&amp;ROUND(B306,1)&amp;" kWh. Fuel mass: "&amp;ROUND(B307,1)&amp;" kg. Documentation: "&amp;Readmefirst!$B$2&amp;", "&amp;Readmefirst!$B$3&amp;". "&amp;'lci-kick scooter'!B250</f>
        <v>Power: 0.25 kW. Lifetime: 1785 km. Annual kilometers: 890 km. Number of passengers: 1. Curb mass: 11.8 kg. Lightweighting of glider: 7%. Emission standard: None. Service visits throughout lifetime: 0.4. Range: 33 km. Battery capacity: 1 kWh. Available battery capacity: 0.8 kWh. Battery mass: 2.6 kg. Battery replacement throughout lifetime: 0. Fuel tank capacity: 0 kWh. Fuel mass: 0 kg. Documentation: 2021 UVEK life-cycle inventories update of on-road vehicles, Sacchi R. (PSI), Bauer C. (PSI), 2021. CH</v>
      </c>
    </row>
    <row r="312" spans="1:8" ht="15.6" x14ac:dyDescent="0.3">
      <c r="A312" s="11" t="s">
        <v>80</v>
      </c>
    </row>
    <row r="313" spans="1:8" x14ac:dyDescent="0.3">
      <c r="A313" t="s">
        <v>81</v>
      </c>
      <c r="B313" t="s">
        <v>82</v>
      </c>
      <c r="C313" t="s">
        <v>73</v>
      </c>
      <c r="D313" t="s">
        <v>77</v>
      </c>
      <c r="E313" t="s">
        <v>83</v>
      </c>
      <c r="F313" t="s">
        <v>75</v>
      </c>
      <c r="G313" t="s">
        <v>84</v>
      </c>
      <c r="H313" t="s">
        <v>74</v>
      </c>
    </row>
    <row r="314" spans="1:8" x14ac:dyDescent="0.3">
      <c r="A314" s="12" t="str">
        <f>B286</f>
        <v>transport, Kick Scooter, electric, &lt;1kW, 2050</v>
      </c>
      <c r="B314" s="12">
        <v>1</v>
      </c>
      <c r="C314" s="12" t="str">
        <f>B287</f>
        <v>CH</v>
      </c>
      <c r="D314" s="12" t="s">
        <v>172</v>
      </c>
      <c r="E314" s="12"/>
      <c r="F314" s="12" t="s">
        <v>85</v>
      </c>
      <c r="G314" s="12" t="s">
        <v>86</v>
      </c>
      <c r="H314" s="12" t="str">
        <f>B292</f>
        <v>transport, Kick Scooter, electric, &lt;1kW</v>
      </c>
    </row>
    <row r="315" spans="1:8" x14ac:dyDescent="0.3">
      <c r="A315" s="12" t="str">
        <f>RIGHT(A314,LEN(A314)-11)</f>
        <v>Kick Scooter, electric, &lt;1kW, 2050</v>
      </c>
      <c r="B315" s="12">
        <f>1/B296</f>
        <v>5.602240896358543E-4</v>
      </c>
      <c r="C315" s="12" t="str">
        <f>B287</f>
        <v>CH</v>
      </c>
      <c r="D315" s="12" t="s">
        <v>77</v>
      </c>
      <c r="E315" s="12"/>
      <c r="F315" s="12" t="s">
        <v>91</v>
      </c>
      <c r="G315" s="12"/>
      <c r="H315" s="12" t="str">
        <f>RIGHT(H314,LEN(H314)-11)</f>
        <v>Kick Scooter, electric, &lt;1kW</v>
      </c>
    </row>
    <row r="316" spans="1:8" x14ac:dyDescent="0.3">
      <c r="A316" s="12" t="str">
        <f>INDEX('ei names mapping'!$B$4:$R$33,MATCH('lci-kick scooter'!$B$5,'ei names mapping'!$A$4:$A$33,0),MATCH('lci-kick scooter'!$G316,'ei names mapping'!$B$3:$R$3,0))</f>
        <v>market for electricity, low voltage</v>
      </c>
      <c r="B316" s="14">
        <f>INDEX('vehicles specifications'!$B$3:$CK$86,MATCH(B291,'vehicles specifications'!$A$3:$A$86,0),MATCH(G316,'vehicles specifications'!$B$2:$CK$2,0))*INDEX('ei names mapping'!$B$137:$BK$220,MATCH(B291,'ei names mapping'!$A$137:$A$220,0),MATCH(G316,'ei names mapping'!$B$136:$BK$136,0))</f>
        <v>2.6316377864728905E-2</v>
      </c>
      <c r="C316" s="12" t="str">
        <f>INDEX('ei names mapping'!$B$38:$R$67,MATCH('lci-kick scooter'!$B$5,'ei names mapping'!$A$4:$A$33,0),MATCH('lci-kick scooter'!$G316,'ei names mapping'!$B$3:$R$3,0))</f>
        <v>CH</v>
      </c>
      <c r="D316" s="12" t="str">
        <f>INDEX('ei names mapping'!$B$104:$R$133,MATCH('lci-kick scooter'!$B$5,'ei names mapping'!$A$4:$A$33,0),MATCH('lci-kick scooter'!$G316,'ei names mapping'!$B$3:$R$3,0))</f>
        <v>kilowatt hour</v>
      </c>
      <c r="F316" s="12" t="s">
        <v>91</v>
      </c>
      <c r="G316" t="s">
        <v>28</v>
      </c>
      <c r="H316" s="12" t="str">
        <f>INDEX('ei names mapping'!$B$71:$R$100,MATCH('lci-kick scooter'!$B$5,'ei names mapping'!$A$4:$A$33,0),MATCH('lci-kick scooter'!$G316,'ei names mapping'!$B$3:$R$3,0))</f>
        <v>electricity, low voltage</v>
      </c>
    </row>
    <row r="317" spans="1:8" x14ac:dyDescent="0.3">
      <c r="A317" s="12" t="str">
        <f>INDEX('ei names mapping'!$B$4:$R$33,MATCH('lci-kick scooter'!$B$5,'ei names mapping'!$A$4:$A$33,0),MATCH('lci-kick scooter'!$G317,'ei names mapping'!$B$3:$R$3,0))</f>
        <v>maintenance, bicycle</v>
      </c>
      <c r="B317" s="14">
        <f>INDEX('vehicles specifications'!$B$3:$CK$86,MATCH(B291,'vehicles specifications'!$A$3:$A$86,0),MATCH(G317,'vehicles specifications'!$B$2:$CK$2,0))*INDEX('ei names mapping'!$B$137:$BK$220,MATCH(B291,'ei names mapping'!$A$137:$A$220,0),MATCH(G317,'ei names mapping'!$B$136:$BK$136,0))</f>
        <v>2.4999999999999995E-4</v>
      </c>
      <c r="C317" s="12" t="str">
        <f>INDEX('ei names mapping'!$B$38:$R$67,MATCH('lci-kick scooter'!$B$5,'ei names mapping'!$A$4:$A$33,0),MATCH('lci-kick scooter'!$G317,'ei names mapping'!$B$3:$R$3,0))</f>
        <v>CH</v>
      </c>
      <c r="D317" s="12" t="str">
        <f>INDEX('ei names mapping'!$B$104:$R$133,MATCH('lci-kick scooter'!$B$5,'ei names mapping'!$A$4:$A$33,0),MATCH('lci-kick scooter'!$G317,'ei names mapping'!$B$3:$R$3,0))</f>
        <v>unit</v>
      </c>
      <c r="F317" s="12" t="s">
        <v>91</v>
      </c>
      <c r="G317" t="s">
        <v>123</v>
      </c>
      <c r="H317" s="12" t="str">
        <f>INDEX('ei names mapping'!$B$71:$R$100,MATCH('lci-kick scooter'!$B$5,'ei names mapping'!$A$4:$A$33,0),MATCH('lci-kick scooter'!$G317,'ei names mapping'!$B$3:$R$3,0))</f>
        <v>maintenance, bicycle</v>
      </c>
    </row>
    <row r="318" spans="1:8" s="21" customFormat="1" x14ac:dyDescent="0.3">
      <c r="A318" s="12" t="str">
        <f>INDEX('ei names mapping'!$B$4:$R$33,MATCH(B288,'ei names mapping'!$A$4:$A$33,0),MATCH(G318,'ei names mapping'!$B$3:$R$3,0))</f>
        <v>road construction</v>
      </c>
      <c r="B318" s="16">
        <f>INDEX('vehicles specifications'!$B$3:$CK$86,MATCH(B291,'vehicles specifications'!$A$3:$A$86,0),MATCH(G318,'vehicles specifications'!$B$2:$CK$2,0))*INDEX('ei names mapping'!$B$137:$BK$220,MATCH(B291,'ei names mapping'!$A$137:$A$220,0),MATCH(G318,'ei names mapping'!$B$136:$BK$136,0))</f>
        <v>4.3931970000000004E-5</v>
      </c>
      <c r="C318" s="12" t="str">
        <f>INDEX('ei names mapping'!$B$38:$R$67,MATCH(B288,'ei names mapping'!$A$4:$A$33,0),MATCH(G318,'ei names mapping'!$B$3:$R$3,0))</f>
        <v>CH</v>
      </c>
      <c r="D318" s="12" t="str">
        <f>INDEX('ei names mapping'!$B$104:$R$133,MATCH(B288,'ei names mapping'!$A$104:$A$133,0),MATCH(G318,'ei names mapping'!$B$3:$R$3,0))</f>
        <v>meter-year</v>
      </c>
      <c r="E318" s="12"/>
      <c r="F318" s="12" t="s">
        <v>91</v>
      </c>
      <c r="G318" s="21" t="s">
        <v>108</v>
      </c>
      <c r="H318" s="12" t="str">
        <f>INDEX('ei names mapping'!$B$71:$R$100,MATCH(B288,'ei names mapping'!$A$4:$A$33,0),MATCH(G318,'ei names mapping'!$B$3:$R$3,0))</f>
        <v>road</v>
      </c>
    </row>
    <row r="319" spans="1:8" x14ac:dyDescent="0.3">
      <c r="A319" s="12" t="str">
        <f>INDEX('ei names mapping'!$B$4:$BK$33,MATCH('lci-kick scooter'!$B$5,'ei names mapping'!$A$4:$A$33,0),MATCH('lci-kick scooter'!$G319,'ei names mapping'!$B$3:$BK$3,0))</f>
        <v>treatment of road wear emissions, passenger car</v>
      </c>
      <c r="B319" s="14">
        <f>INDEX('vehicles specifications'!$B$3:$CK$86,MATCH(B291,'vehicles specifications'!$A$3:$A$86,0),MATCH(G319,'vehicles specifications'!$B$2:$CK$2,0))*INDEX('ei names mapping'!$B$137:$BK$220,MATCH(B291,'ei names mapping'!$A$137:$A$220,0),MATCH(G319,'ei names mapping'!$B$136:$BK$136,0))</f>
        <v>-3.0000000000000001E-6</v>
      </c>
      <c r="C319" s="12" t="str">
        <f>INDEX('ei names mapping'!$B$38:$BK$67,MATCH('lci-kick scooter'!$B$5,'ei names mapping'!$A$4:$A$33,0),MATCH('lci-kick scooter'!$G319,'ei names mapping'!$B$3:$BK$3,0))</f>
        <v>RER</v>
      </c>
      <c r="D319" s="12" t="str">
        <f>INDEX('ei names mapping'!$B$104:$BK$133,MATCH('lci-kick scooter'!$B$5,'ei names mapping'!$A$4:$A$33,0),MATCH('lci-kick scooter'!$G319,'ei names mapping'!$B$3:$BK$3,0))</f>
        <v>kilogram</v>
      </c>
      <c r="E319" s="12"/>
      <c r="F319" s="12" t="s">
        <v>91</v>
      </c>
      <c r="G319" t="s">
        <v>29</v>
      </c>
      <c r="H319" s="12" t="str">
        <f>INDEX('ei names mapping'!$B$71:$BK$100,MATCH('lci-kick scooter'!$B$5,'ei names mapping'!$A$4:$A$33,0),MATCH('lci-kick scooter'!$G319,'ei names mapping'!$B$3:$BK$3,0))</f>
        <v>road wear emissions, passenger car</v>
      </c>
    </row>
    <row r="320" spans="1:8" x14ac:dyDescent="0.3">
      <c r="A320" s="12" t="str">
        <f>INDEX('ei names mapping'!$B$4:$BK$33,MATCH('lci-kick scooter'!$B$5,'ei names mapping'!$A$4:$A$33,0),MATCH('lci-kick scooter'!$G320,'ei names mapping'!$B$3:$BK$3,0))</f>
        <v>treatment of tyre wear emissions, passenger car</v>
      </c>
      <c r="B320" s="14">
        <f>INDEX('vehicles specifications'!$B$3:$CK$86,MATCH(B291,'vehicles specifications'!$A$3:$A$86,0),MATCH(G320,'vehicles specifications'!$B$2:$CK$2,0))*INDEX('ei names mapping'!$B$137:$BK$220,MATCH(B291,'ei names mapping'!$A$137:$A$220,0),MATCH(G320,'ei names mapping'!$B$136:$BK$136,0))</f>
        <v>-2.9189999999999999E-6</v>
      </c>
      <c r="C320" s="12" t="str">
        <f>INDEX('ei names mapping'!$B$38:$BK$67,MATCH('lci-kick scooter'!$B$5,'ei names mapping'!$A$4:$A$33,0),MATCH('lci-kick scooter'!$G320,'ei names mapping'!$B$3:$BK$3,0))</f>
        <v>RER</v>
      </c>
      <c r="D320" s="12" t="str">
        <f>INDEX('ei names mapping'!$B$104:$BK$133,MATCH('lci-kick scooter'!$B$5,'ei names mapping'!$A$4:$A$33,0),MATCH('lci-kick scooter'!$G320,'ei names mapping'!$B$3:$BK$3,0))</f>
        <v>kilogram</v>
      </c>
      <c r="E320" s="12"/>
      <c r="F320" s="12" t="s">
        <v>91</v>
      </c>
      <c r="G320" t="s">
        <v>30</v>
      </c>
      <c r="H320" s="12" t="str">
        <f>INDEX('ei names mapping'!$B$71:$BK$100,MATCH('lci-kick scooter'!$B$5,'ei names mapping'!$A$4:$A$33,0),MATCH('lci-kick scooter'!$G320,'ei names mapping'!$B$3:$BK$3,0))</f>
        <v>tyre wear emissions, passenger car</v>
      </c>
    </row>
    <row r="321" spans="1:8" x14ac:dyDescent="0.3">
      <c r="A321" s="12" t="str">
        <f>INDEX('ei names mapping'!$B$4:$BK$33,MATCH('lci-kick scooter'!$B$5,'ei names mapping'!$A$4:$A$33,0),MATCH('lci-kick scooter'!$G321,'ei names mapping'!$B$3:$BK$3,0))</f>
        <v>treatment of brake wear emissions, passenger car</v>
      </c>
      <c r="B321" s="14">
        <f>INDEX('vehicles specifications'!$B$3:$CK$86,MATCH(B291,'vehicles specifications'!$A$3:$A$86,0),MATCH(G321,'vehicles specifications'!$B$2:$CK$2,0))*INDEX('ei names mapping'!$B$137:$BK$220,MATCH(B291,'ei names mapping'!$A$137:$A$220,0),MATCH(G321,'ei names mapping'!$B$136:$BK$136,0))</f>
        <v>-1.8370000000000002E-6</v>
      </c>
      <c r="C321" s="12" t="str">
        <f>INDEX('ei names mapping'!$B$38:$BK$67,MATCH('lci-kick scooter'!$B$5,'ei names mapping'!$A$4:$A$33,0),MATCH('lci-kick scooter'!$G321,'ei names mapping'!$B$3:$BK$3,0))</f>
        <v>RER</v>
      </c>
      <c r="D321" s="12" t="str">
        <f>INDEX('ei names mapping'!$B$104:$BK$133,MATCH('lci-kick scooter'!$B$5,'ei names mapping'!$A$4:$A$33,0),MATCH('lci-kick scooter'!$G321,'ei names mapping'!$B$3:$BK$3,0))</f>
        <v>kilogram</v>
      </c>
      <c r="E321" s="12"/>
      <c r="F321" s="12" t="s">
        <v>91</v>
      </c>
      <c r="G321" t="s">
        <v>31</v>
      </c>
      <c r="H321" s="12" t="str">
        <f>INDEX('ei names mapping'!$B$71:$BK$100,MATCH('lci-kick scooter'!$B$5,'ei names mapping'!$A$4:$A$33,0),MATCH('lci-kick scooter'!$G321,'ei names mapping'!$B$3:$BK$3,0))</f>
        <v>brake wear emissions, passenger car</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3"/>
  <sheetViews>
    <sheetView topLeftCell="A88" workbookViewId="0">
      <selection activeCell="B215" sqref="B215"/>
    </sheetView>
  </sheetViews>
  <sheetFormatPr defaultRowHeight="14.4" x14ac:dyDescent="0.3"/>
  <cols>
    <col min="1" max="1" width="67.6640625" customWidth="1"/>
    <col min="2" max="2" width="15.6640625" bestFit="1" customWidth="1"/>
    <col min="7" max="7" width="32" bestFit="1" customWidth="1"/>
  </cols>
  <sheetData>
    <row r="1" spans="1:2" ht="15.6" x14ac:dyDescent="0.3">
      <c r="A1" s="11" t="s">
        <v>72</v>
      </c>
      <c r="B1" s="9" t="str">
        <f>B3&amp;", "&amp;B5</f>
        <v>Motorbike, electric, &lt;4kW, 2020</v>
      </c>
    </row>
    <row r="2" spans="1:2" x14ac:dyDescent="0.3">
      <c r="A2" t="s">
        <v>73</v>
      </c>
      <c r="B2" t="s">
        <v>37</v>
      </c>
    </row>
    <row r="3" spans="1:2" x14ac:dyDescent="0.3">
      <c r="A3" t="s">
        <v>87</v>
      </c>
      <c r="B3" t="s">
        <v>520</v>
      </c>
    </row>
    <row r="4" spans="1:2" x14ac:dyDescent="0.3">
      <c r="A4" t="s">
        <v>88</v>
      </c>
      <c r="B4" s="12"/>
    </row>
    <row r="5" spans="1:2" x14ac:dyDescent="0.3">
      <c r="A5" t="s">
        <v>89</v>
      </c>
      <c r="B5" s="12">
        <v>2020</v>
      </c>
    </row>
    <row r="6" spans="1:2" x14ac:dyDescent="0.3">
      <c r="A6" t="s">
        <v>131</v>
      </c>
      <c r="B6" s="12" t="str">
        <f>B3&amp;" - "&amp;B5&amp;" - "&amp;B2</f>
        <v>Motorbike, electric, &lt;4kW - 2020 - CH</v>
      </c>
    </row>
    <row r="7" spans="1:2" x14ac:dyDescent="0.3">
      <c r="A7" t="s">
        <v>74</v>
      </c>
      <c r="B7" t="str">
        <f>B3</f>
        <v>Motorbike, electric, &lt;4kW</v>
      </c>
    </row>
    <row r="8" spans="1:2" x14ac:dyDescent="0.3">
      <c r="A8" t="s">
        <v>75</v>
      </c>
      <c r="B8" t="s">
        <v>76</v>
      </c>
    </row>
    <row r="9" spans="1:2" x14ac:dyDescent="0.3">
      <c r="A9" t="s">
        <v>77</v>
      </c>
      <c r="B9" t="s">
        <v>77</v>
      </c>
    </row>
    <row r="10" spans="1:2" x14ac:dyDescent="0.3">
      <c r="A10" t="s">
        <v>79</v>
      </c>
      <c r="B10" t="s">
        <v>90</v>
      </c>
    </row>
    <row r="11" spans="1:2" x14ac:dyDescent="0.3">
      <c r="A11" t="s">
        <v>132</v>
      </c>
      <c r="B11">
        <f>INDEX('vehicles specifications'!$B$3:$CK$86,MATCH(B6,'vehicles specifications'!$A$3:$A$86,0),MATCH("Lifetime [km]",'vehicles specifications'!$B$2:$CK$2,0))</f>
        <v>33400</v>
      </c>
    </row>
    <row r="12" spans="1:2" x14ac:dyDescent="0.3">
      <c r="A12" t="s">
        <v>133</v>
      </c>
      <c r="B12">
        <f>INDEX('vehicles specifications'!$B$3:$CK$86,MATCH(B6,'vehicles specifications'!$A$3:$A$86,0),MATCH("Passengers [unit]",'vehicles specifications'!$B$2:$CK$2,0))</f>
        <v>1.1000000000000001</v>
      </c>
    </row>
    <row r="13" spans="1:2" x14ac:dyDescent="0.3">
      <c r="A13" t="s">
        <v>134</v>
      </c>
      <c r="B13">
        <f>INDEX('vehicles specifications'!$B$3:$CK$86,MATCH(B6,'vehicles specifications'!$A$3:$A$86,0),MATCH("Servicing [unit]",'vehicles specifications'!$B$2:$CK$2,0))</f>
        <v>0.66800000000000004</v>
      </c>
    </row>
    <row r="14" spans="1:2" x14ac:dyDescent="0.3">
      <c r="A14" t="s">
        <v>135</v>
      </c>
      <c r="B14">
        <f>INDEX('vehicles specifications'!$B$3:$CK$86,MATCH(B6,'vehicles specifications'!$A$3:$A$86,0),MATCH("Energy battery replacement [unit]",'vehicles specifications'!$B$2:$CK$2,0))</f>
        <v>1</v>
      </c>
    </row>
    <row r="15" spans="1:2" x14ac:dyDescent="0.3">
      <c r="A15" t="s">
        <v>136</v>
      </c>
      <c r="B15">
        <f>INDEX('vehicles specifications'!$B$3:$CK$86,MATCH(B6,'vehicles specifications'!$A$3:$A$86,0),MATCH("Annual kilometers [km]",'vehicles specifications'!$B$2:$CK$2,0))</f>
        <v>2553</v>
      </c>
    </row>
    <row r="16" spans="1:2" x14ac:dyDescent="0.3">
      <c r="A16" t="s">
        <v>137</v>
      </c>
      <c r="B16" s="2">
        <f>INDEX('vehicles specifications'!$B$3:$CK$86,MATCH(B6,'vehicles specifications'!$A$3:$A$86,0),MATCH("Curb mass [kg]",'vehicles specifications'!$B$2:$CK$2,0))</f>
        <v>75.8</v>
      </c>
    </row>
    <row r="17" spans="1:8" x14ac:dyDescent="0.3">
      <c r="A17" t="s">
        <v>138</v>
      </c>
      <c r="B17">
        <f>INDEX('vehicles specifications'!$B$3:$CK$86,MATCH(B6,'vehicles specifications'!$A$3:$A$86,0),MATCH("Power [kW]",'vehicles specifications'!$B$2:$CK$2,0))</f>
        <v>2.5</v>
      </c>
    </row>
    <row r="18" spans="1:8" x14ac:dyDescent="0.3">
      <c r="A18" t="s">
        <v>139</v>
      </c>
      <c r="B18">
        <f>INDEX('vehicles specifications'!$B$3:$CK$86,MATCH(B6,'vehicles specifications'!$A$3:$A$86,0),MATCH("Energy battery mass [kg]",'vehicles specifications'!$B$2:$CK$2,0))</f>
        <v>10.8</v>
      </c>
    </row>
    <row r="19" spans="1:8" x14ac:dyDescent="0.3">
      <c r="A19" t="s">
        <v>140</v>
      </c>
      <c r="B19">
        <f>INDEX('vehicles specifications'!$B$3:$CK$86,MATCH(B6,'vehicles specifications'!$A$3:$A$86,0),MATCH("Electric energy stored [kWh]",'vehicles specifications'!$B$2:$CK$2,0))</f>
        <v>1.8</v>
      </c>
    </row>
    <row r="20" spans="1:8" s="21" customFormat="1" x14ac:dyDescent="0.3">
      <c r="A20" s="21" t="s">
        <v>654</v>
      </c>
      <c r="B20" s="21">
        <f>INDEX('vehicles specifications'!$B$3:$CK$86,MATCH(B6,'vehicles specifications'!$A$3:$A$86,0),MATCH("Electric energy available [kWh]",'vehicles specifications'!$B$2:$CK$2,0))</f>
        <v>1.4400000000000002</v>
      </c>
    </row>
    <row r="21" spans="1:8" x14ac:dyDescent="0.3">
      <c r="A21" t="s">
        <v>143</v>
      </c>
      <c r="B21" s="2">
        <f>INDEX('vehicles specifications'!$B$3:$CK$86,MATCH(B6,'vehicles specifications'!$A$3:$A$86,0),MATCH("Oxydation energy stored [kWh]",'vehicles specifications'!$B$2:$CK$2,0))</f>
        <v>0</v>
      </c>
    </row>
    <row r="22" spans="1:8" x14ac:dyDescent="0.3">
      <c r="A22" t="s">
        <v>145</v>
      </c>
      <c r="B22">
        <f>INDEX('vehicles specifications'!$B$3:$CK$86,MATCH(B6,'vehicles specifications'!$A$3:$A$86,0),MATCH("Fuel mass [kg]",'vehicles specifications'!$B$2:$CK$2,0))</f>
        <v>0</v>
      </c>
    </row>
    <row r="23" spans="1:8" x14ac:dyDescent="0.3">
      <c r="A23" t="s">
        <v>141</v>
      </c>
      <c r="B23" s="2">
        <f>INDEX('vehicles specifications'!$B$3:$CK$86,MATCH(B6,'vehicles specifications'!$A$3:$A$86,0),MATCH("Range [km]",'vehicles specifications'!$B$2:$CK$2,0))</f>
        <v>42.842975206611577</v>
      </c>
    </row>
    <row r="24" spans="1:8" x14ac:dyDescent="0.3">
      <c r="A24" t="s">
        <v>142</v>
      </c>
      <c r="B24" t="str">
        <f>INDEX('vehicles specifications'!$B$3:$CK$86,MATCH(B6,'vehicles specifications'!$A$3:$A$86,0),MATCH("Emission standard",'vehicles specifications'!$B$2:$CK$2,0))</f>
        <v>None</v>
      </c>
    </row>
    <row r="25" spans="1:8" x14ac:dyDescent="0.3">
      <c r="A25" t="s">
        <v>144</v>
      </c>
      <c r="B25" s="6">
        <f>INDEX('vehicles specifications'!$B$3:$CK$86,MATCH(B6,'vehicles specifications'!$A$3:$A$86,0),MATCH("Lightweighting rate [%]",'vehicles specifications'!$B$2:$CK$2,0))</f>
        <v>0</v>
      </c>
    </row>
    <row r="26" spans="1:8" s="21" customFormat="1" x14ac:dyDescent="0.3">
      <c r="A26" s="21" t="s">
        <v>513</v>
      </c>
      <c r="B26" s="6" t="s">
        <v>514</v>
      </c>
    </row>
    <row r="27" spans="1:8" s="21" customFormat="1" x14ac:dyDescent="0.3">
      <c r="A27" s="21" t="s">
        <v>515</v>
      </c>
      <c r="B27" s="2">
        <v>15900</v>
      </c>
    </row>
    <row r="28" spans="1:8" s="21" customFormat="1" x14ac:dyDescent="0.3">
      <c r="A28" s="21" t="s">
        <v>516</v>
      </c>
      <c r="B28" s="2">
        <v>1000</v>
      </c>
    </row>
    <row r="29" spans="1:8" x14ac:dyDescent="0.3">
      <c r="A29" t="s">
        <v>84</v>
      </c>
      <c r="B29" s="21" t="str">
        <f>"Power: "&amp;B17&amp;" kW. Lifetime: "&amp;B11&amp;" km. Annual kilometers: "&amp;ROUND(B15,0)&amp;" km. Number of passengers: "&amp;ROUND(B12,1)&amp;". Curb mass: "&amp;ROUND(B16,1)&amp;" kg. Lightweighting of glider: "&amp;ROUND(B25*100,0)&amp;"%. Emission standard: "&amp;B24&amp;". Service visits throughout lifetime: "&amp;ROUND(B13,1)&amp;". Range: "&amp;ROUND(B23,0)&amp;" km. Battery capacity: "&amp;ROUND(B19,1)&amp;" kWh. Available battery capacity: "&amp;B20&amp;" kWh. Battery mass: "&amp;ROUND(B18,1)&amp; " kg. Battery replacement throughout lifetime: "&amp;ROUND(B14,1)&amp;". Fuel tank capacity: "&amp;ROUND(B21,1)&amp;" kWh. Fuel mass: "&amp;ROUND(B22,1)&amp;" kg. Origin of manufacture: "&amp;B26&amp;". Shipping distance: "&amp;B27&amp;" km. Lorry distribution distance: "&amp;B28&amp;" km. Documentation: "&amp;Readmefirst!$B$2&amp;", "&amp;Readmefirst!$B$3&amp;". "&amp;'lci-kick scooter'!B10</f>
        <v>Power: 2.5 kW. Lifetime: 33400 km. Annual kilometers: 2553 km. Number of passengers: 1.1. Curb mass: 75.8 kg. Lightweighting of glider: 0%. Emission standard: None. Service visits throughout lifetime: 0.7. Range: 43 km. Battery capacity: 1.8 kWh. Available battery capacity: 1.44 kWh. Battery mass: 10.8 kg. Battery replacement throughout lifetime: 1. Fuel tank capacity: 0 kWh. Fuel mass: 0 kg. Origin of manufacture: China. Shipping distance: 15900 km. Lorry distribution distance: 1000 km. Documentation: 2021 UVEK life-cycle inventories update of on-road vehicles, Sacchi R. (PSI), Bauer C. (PSI), 2021. process</v>
      </c>
    </row>
    <row r="30" spans="1:8" ht="15.6" x14ac:dyDescent="0.3">
      <c r="A30" s="11" t="s">
        <v>80</v>
      </c>
    </row>
    <row r="31" spans="1:8" x14ac:dyDescent="0.3">
      <c r="A31" t="s">
        <v>81</v>
      </c>
      <c r="B31" t="s">
        <v>82</v>
      </c>
      <c r="C31" t="s">
        <v>73</v>
      </c>
      <c r="D31" t="s">
        <v>77</v>
      </c>
      <c r="E31" t="s">
        <v>83</v>
      </c>
      <c r="F31" t="s">
        <v>75</v>
      </c>
      <c r="G31" t="s">
        <v>84</v>
      </c>
      <c r="H31" t="s">
        <v>74</v>
      </c>
    </row>
    <row r="32" spans="1:8" x14ac:dyDescent="0.3">
      <c r="A32" s="12" t="str">
        <f>B1</f>
        <v>Motorbike, electric, &lt;4kW, 2020</v>
      </c>
      <c r="B32" s="12">
        <v>1</v>
      </c>
      <c r="C32" s="12" t="str">
        <f>B2</f>
        <v>CH</v>
      </c>
      <c r="D32" s="12" t="str">
        <f>B9</f>
        <v>unit</v>
      </c>
      <c r="E32" s="12"/>
      <c r="F32" s="12" t="s">
        <v>85</v>
      </c>
      <c r="G32" s="12" t="s">
        <v>86</v>
      </c>
      <c r="H32" s="12" t="str">
        <f>B3</f>
        <v>Motorbike, electric, &lt;4kW</v>
      </c>
    </row>
    <row r="33" spans="1:8" x14ac:dyDescent="0.3">
      <c r="A33" s="12" t="str">
        <f>INDEX('ei names mapping'!$B$4:$R$33,MATCH(B3,'ei names mapping'!$A$4:$A$33,0),MATCH(G33,'ei names mapping'!$B$3:$R$3,0))</f>
        <v>market for glider, for electric scooter</v>
      </c>
      <c r="B33" s="16">
        <f>INDEX('vehicles specifications'!$B$3:$CK$86,MATCH(B6,'vehicles specifications'!$A$3:$A$86,0),MATCH(G33,'vehicles specifications'!$B$2:$CK$2,0))*INDEX('ei names mapping'!$B$137:$BK$220,MATCH(B6,'ei names mapping'!$A$137:$A$220,0),MATCH(G33,'ei names mapping'!$B$136:$BK$136,0))</f>
        <v>53</v>
      </c>
      <c r="C33" s="12" t="str">
        <f>INDEX('ei names mapping'!$B$38:$R$67,MATCH(B3,'ei names mapping'!$A$4:$A$33,0),MATCH(G33,'ei names mapping'!$B$3:$R$3,0))</f>
        <v>GLO</v>
      </c>
      <c r="D33" s="12" t="str">
        <f>INDEX('ei names mapping'!$B$104:$R$133,MATCH(B3,'ei names mapping'!$A$104:$A$133,0),MATCH(G33,'ei names mapping'!$B$3:$R$3,0))</f>
        <v>kilogram</v>
      </c>
      <c r="E33" s="12"/>
      <c r="F33" s="12" t="s">
        <v>91</v>
      </c>
      <c r="G33" s="21" t="s">
        <v>15</v>
      </c>
      <c r="H33" s="12" t="str">
        <f>INDEX('ei names mapping'!$B$71:$R$100,MATCH(B3,'ei names mapping'!$A$4:$A$33,0),MATCH(G33,'ei names mapping'!$B$3:$R$3,0))</f>
        <v>glider, for electric scooter</v>
      </c>
    </row>
    <row r="34" spans="1:8" s="21" customFormat="1" x14ac:dyDescent="0.3">
      <c r="A34" s="12" t="str">
        <f>INDEX('ei names mapping'!$B$4:$R$33,MATCH(B3,'ei names mapping'!$A$4:$A$33,0),MATCH(G34,'ei names mapping'!$B$3:$R$3,0))</f>
        <v>glider lightweighting</v>
      </c>
      <c r="B34" s="16">
        <f>INDEX('vehicles specifications'!$B$3:$CK$86,MATCH(B6,'vehicles specifications'!$A$3:$A$86,0),MATCH(G34,'vehicles specifications'!$B$2:$CK$2,0))*INDEX('ei names mapping'!$B$137:$BK$220,MATCH(B6,'ei names mapping'!$A$137:$A$220,0),MATCH(G34,'ei names mapping'!$B$136:$BK$136,0))</f>
        <v>0</v>
      </c>
      <c r="C34" s="12" t="str">
        <f>INDEX('ei names mapping'!$B$38:$R$67,MATCH(B3,'ei names mapping'!$A$4:$A$33,0),MATCH(G34,'ei names mapping'!$B$3:$R$3,0))</f>
        <v>GLO</v>
      </c>
      <c r="D34" s="12" t="str">
        <f>INDEX('ei names mapping'!$B$104:$R$133,MATCH(B3,'ei names mapping'!$A$104:$A$133,0),MATCH(G34,'ei names mapping'!$B$3:$R$3,0))</f>
        <v>kilogram</v>
      </c>
      <c r="E34" s="12"/>
      <c r="F34" s="12" t="s">
        <v>91</v>
      </c>
      <c r="G34" s="21" t="s">
        <v>14</v>
      </c>
      <c r="H34" s="12" t="str">
        <f>INDEX('ei names mapping'!$B$71:$R$100,MATCH(B3,'ei names mapping'!$A$4:$A$33,0),MATCH(G34,'ei names mapping'!$B$3:$R$3,0))</f>
        <v>glider lightweighting</v>
      </c>
    </row>
    <row r="35" spans="1:8" x14ac:dyDescent="0.3">
      <c r="A35" s="12" t="str">
        <f>INDEX('ei names mapping'!$B$4:$R$33,MATCH(B3,'ei names mapping'!$A$4:$A$33,0),MATCH(G35,'ei names mapping'!$B$3:$R$3,0))</f>
        <v>market for glider, for electric scooter</v>
      </c>
      <c r="B35" s="16">
        <f>INDEX('vehicles specifications'!$B$3:$CK$86,MATCH(B6,'vehicles specifications'!$A$3:$A$86,0),MATCH(G35,'vehicles specifications'!$B$2:$CK$2,0))*INDEX('ei names mapping'!$B$137:$BK$220,MATCH(B6,'ei names mapping'!$A$137:$A$220,0),MATCH(G35,'ei names mapping'!$B$136:$BK$136,0))</f>
        <v>4.5</v>
      </c>
      <c r="C35" s="12" t="str">
        <f>INDEX('ei names mapping'!$B$38:$R$67,MATCH(B3,'ei names mapping'!$A$4:$A$33,0),MATCH(G35,'ei names mapping'!$B$3:$R$3,0))</f>
        <v>GLO</v>
      </c>
      <c r="D35" s="12" t="str">
        <f>INDEX('ei names mapping'!$B$104:$R$133,MATCH(B3,'ei names mapping'!$A$104:$A$133,0),MATCH(G35,'ei names mapping'!$B$3:$R$3,0))</f>
        <v>kilogram</v>
      </c>
      <c r="E35" s="12"/>
      <c r="F35" s="12" t="s">
        <v>91</v>
      </c>
      <c r="G35" t="s">
        <v>16</v>
      </c>
      <c r="H35" s="12" t="str">
        <f>INDEX('ei names mapping'!$B$71:$R$100,MATCH(B3,'ei names mapping'!$A$4:$A$33,0),MATCH(G35,'ei names mapping'!$B$3:$R$3,0))</f>
        <v>glider, for electric scooter</v>
      </c>
    </row>
    <row r="36" spans="1:8" x14ac:dyDescent="0.3">
      <c r="A36" s="12" t="str">
        <f>INDEX('ei names mapping'!$B$4:$R$33,MATCH(B3,'ei names mapping'!$A$4:$A$33,0),MATCH(G36,'ei names mapping'!$B$3:$R$3,0))</f>
        <v>market for electric powertrain, for electric scooter</v>
      </c>
      <c r="B36" s="16">
        <f>INDEX('vehicles specifications'!$B$3:$CK$86,MATCH(B6,'vehicles specifications'!$A$3:$A$86,0),MATCH(G36,'vehicles specifications'!$B$2:$CK$2,0))*INDEX('ei names mapping'!$B$137:$BK$220,MATCH(B6,'ei names mapping'!$A$137:$A$220,0),MATCH(G36,'ei names mapping'!$B$136:$BK$136,0))</f>
        <v>7.5</v>
      </c>
      <c r="C36" s="12" t="str">
        <f>INDEX('ei names mapping'!$B$38:$R$67,MATCH(B3,'ei names mapping'!$A$4:$A$33,0),MATCH(G36,'ei names mapping'!$B$3:$R$3,0))</f>
        <v>GLO</v>
      </c>
      <c r="D36" s="12" t="str">
        <f>INDEX('ei names mapping'!$B$104:$R$133,MATCH(B3,'ei names mapping'!$A$104:$A$133,0),MATCH(G36,'ei names mapping'!$B$3:$R$3,0))</f>
        <v>kilogram</v>
      </c>
      <c r="E36" s="12"/>
      <c r="F36" s="12" t="s">
        <v>91</v>
      </c>
      <c r="G36" t="s">
        <v>557</v>
      </c>
      <c r="H36" s="12" t="str">
        <f>INDEX('ei names mapping'!$B$71:$R$100,MATCH(B3,'ei names mapping'!$A$4:$A$33,0),MATCH(G36,'ei names mapping'!$B$3:$R$3,0))</f>
        <v>powertrain, for electric scooter</v>
      </c>
    </row>
    <row r="37" spans="1:8" x14ac:dyDescent="0.3">
      <c r="A37" s="12" t="str">
        <f>INDEX('ei names mapping'!$B$4:$R$33,MATCH(B3,'ei names mapping'!$A$4:$A$33,0),MATCH(G37,'ei names mapping'!$B$3:$R$3,0))</f>
        <v>Battery cell, NMC</v>
      </c>
      <c r="B37" s="16">
        <f>INDEX('vehicles specifications'!$B$3:$CK$86,MATCH(B6,'vehicles specifications'!$A$3:$A$86,0),MATCH(G37,'vehicles specifications'!$B$2:$CK$2,0))*INDEX('ei names mapping'!$B$137:$BK$220,MATCH(B6,'ei names mapping'!$A$137:$A$220,0),MATCH(G37,'ei names mapping'!$B$136:$BK$136,0))</f>
        <v>18</v>
      </c>
      <c r="C37" s="12" t="str">
        <f>INDEX('ei names mapping'!$B$38:$R$67,MATCH(B3,'ei names mapping'!$A$4:$A$33,0),MATCH(G37,'ei names mapping'!$B$3:$R$3,0))</f>
        <v>GLO</v>
      </c>
      <c r="D37" s="12" t="str">
        <f>INDEX('ei names mapping'!$B$104:$R$133,MATCH(B3,'ei names mapping'!$A$104:$A$133,0),MATCH(G37,'ei names mapping'!$B$3:$R$3,0))</f>
        <v>kilogram</v>
      </c>
      <c r="E37" s="12"/>
      <c r="F37" s="12" t="s">
        <v>91</v>
      </c>
      <c r="G37" t="s">
        <v>19</v>
      </c>
      <c r="H37" s="12" t="str">
        <f>INDEX('ei names mapping'!$B$71:$R$100,MATCH(B3,'ei names mapping'!$A$4:$A$33,0),MATCH(G37,'ei names mapping'!$B$3:$R$3,0))</f>
        <v>Battery cell</v>
      </c>
    </row>
    <row r="38" spans="1:8" x14ac:dyDescent="0.3">
      <c r="A38" s="12" t="str">
        <f>INDEX('ei names mapping'!$B$4:$R$33,MATCH(B3,'ei names mapping'!$A$4:$A$33,0),MATCH(G38,'ei names mapping'!$B$3:$R$3,0))</f>
        <v>Battery BoP</v>
      </c>
      <c r="B38" s="16">
        <f>INDEX('vehicles specifications'!$B$3:$CK$86,MATCH(B6,'vehicles specifications'!$A$3:$A$86,0),MATCH(G38,'vehicles specifications'!$B$2:$CK$2,0))*INDEX('ei names mapping'!$B$137:$BK$220,MATCH(B6,'ei names mapping'!$A$137:$A$220,0),MATCH(G38,'ei names mapping'!$B$136:$BK$136,0))</f>
        <v>3.6</v>
      </c>
      <c r="C38" s="12" t="str">
        <f>INDEX('ei names mapping'!$B$38:$R$67,MATCH(B3,'ei names mapping'!$A$4:$A$33,0),MATCH(G38,'ei names mapping'!$B$3:$R$3,0))</f>
        <v>GLO</v>
      </c>
      <c r="D38" s="12" t="str">
        <f>INDEX('ei names mapping'!$B$104:$R$133,MATCH(B3,'ei names mapping'!$A$104:$A$133,0),MATCH(G38,'ei names mapping'!$B$3:$R$3,0))</f>
        <v>kilogram</v>
      </c>
      <c r="E38" s="12"/>
      <c r="F38" s="12" t="s">
        <v>91</v>
      </c>
      <c r="G38" t="s">
        <v>20</v>
      </c>
      <c r="H38" s="12" t="str">
        <f>INDEX('ei names mapping'!$B$71:$R$100,MATCH(B3,'ei names mapping'!$A$4:$A$33,0),MATCH(G38,'ei names mapping'!$B$3:$R$3,0))</f>
        <v>Battery BoP</v>
      </c>
    </row>
    <row r="39" spans="1:8" x14ac:dyDescent="0.3">
      <c r="A39" s="12" t="str">
        <f>INDEX('ei names mapping'!$B$4:$R$33,MATCH(B3,'ei names mapping'!$A$4:$A$33,0),MATCH(G39,'ei names mapping'!$B$3:$R$3,0))</f>
        <v>charging station, 3kW</v>
      </c>
      <c r="B39" s="16">
        <f>INDEX('vehicles specifications'!$B$3:$CK$86,MATCH(B6,'vehicles specifications'!$A$3:$A$86,0),MATCH(G39,'vehicles specifications'!$B$2:$CK$2,0))*INDEX('ei names mapping'!$B$137:$BK$220,MATCH(B6,'ei names mapping'!$A$137:$A$220,0),MATCH(G39,'ei names mapping'!$B$136:$BK$136,0))</f>
        <v>1</v>
      </c>
      <c r="C39" s="12" t="str">
        <f>INDEX('ei names mapping'!$B$38:$R$67,MATCH(B3,'ei names mapping'!$A$4:$A$33,0),MATCH(G39,'ei names mapping'!$B$3:$R$3,0))</f>
        <v>GLO</v>
      </c>
      <c r="D39" s="12" t="str">
        <f>INDEX('ei names mapping'!$B$104:$R$133,MATCH(B3,'ei names mapping'!$A$104:$A$133,0),MATCH(G39,'ei names mapping'!$B$3:$R$3,0))</f>
        <v>unit</v>
      </c>
      <c r="E39" s="12"/>
      <c r="F39" s="12" t="s">
        <v>91</v>
      </c>
      <c r="G39" t="s">
        <v>53</v>
      </c>
      <c r="H39" s="12" t="str">
        <f>INDEX('ei names mapping'!$B$71:$R$100,MATCH(B3,'ei names mapping'!$A$4:$A$33,0),MATCH(G39,'ei names mapping'!$B$3:$R$3,0))</f>
        <v>charging station, 3kW</v>
      </c>
    </row>
    <row r="40" spans="1:8" x14ac:dyDescent="0.3">
      <c r="A40" s="12" t="str">
        <f>INDEX('ei names mapping'!$B$4:$R$33,MATCH(B3,'ei names mapping'!$A$4:$A$33,0),MATCH(G40,'ei names mapping'!$B$3:$R$3,0))</f>
        <v>manual dismantling of used electric scooter</v>
      </c>
      <c r="B40" s="16">
        <f>INDEX('vehicles specifications'!$B$3:$CK$86,MATCH(B6,'vehicles specifications'!$A$3:$A$86,0),MATCH(G40,'vehicles specifications'!$B$2:$CK$2,0))*INDEX('ei names mapping'!$B$137:$BK$220,MATCH(B6,'ei names mapping'!$A$137:$A$220,0),MATCH(G40,'ei names mapping'!$B$136:$BK$136,0))</f>
        <v>53</v>
      </c>
      <c r="C40" s="12" t="str">
        <f>INDEX('ei names mapping'!$B$38:$R$67,MATCH(B3,'ei names mapping'!$A$4:$A$33,0),MATCH(G40,'ei names mapping'!$B$3:$R$3,0))</f>
        <v>GLO</v>
      </c>
      <c r="D40" s="12" t="str">
        <f>INDEX('ei names mapping'!$B$104:$R$133,MATCH(B3,'ei names mapping'!$A$104:$A$133,0),MATCH(G40,'ei names mapping'!$B$3:$R$3,0))</f>
        <v>unit</v>
      </c>
      <c r="E40" s="12"/>
      <c r="F40" s="12" t="s">
        <v>91</v>
      </c>
      <c r="G40" t="s">
        <v>150</v>
      </c>
      <c r="H40" s="12" t="str">
        <f>INDEX('ei names mapping'!$B$71:$R$100,MATCH(B3,'ei names mapping'!$A$4:$A$33,0),MATCH(G40,'ei names mapping'!$B$3:$R$3,0))</f>
        <v>manual dismantling of electric scooter</v>
      </c>
    </row>
    <row r="41" spans="1:8" x14ac:dyDescent="0.3">
      <c r="A41" s="12" t="str">
        <f>INDEX('ei names mapping'!$B$4:$R$33,MATCH(B3,'ei names mapping'!$A$4:$A$33,0),MATCH(G41,'ei names mapping'!$B$3:$R$3,0))</f>
        <v>manual dismantling of used electric scooter</v>
      </c>
      <c r="B41" s="16">
        <f>INDEX('vehicles specifications'!$B$3:$CK$86,MATCH(B6,'vehicles specifications'!$A$3:$A$86,0),MATCH(G41,'vehicles specifications'!$B$2:$CK$2,0))*INDEX('ei names mapping'!$B$137:$BK$220,MATCH(B6,'ei names mapping'!$A$137:$A$220,0),MATCH(G41,'ei names mapping'!$B$136:$BK$136,0))</f>
        <v>12</v>
      </c>
      <c r="C41" s="12" t="str">
        <f>INDEX('ei names mapping'!$B$38:$R$67,MATCH(B3,'ei names mapping'!$A$4:$A$33,0),MATCH(G41,'ei names mapping'!$B$3:$R$3,0))</f>
        <v>GLO</v>
      </c>
      <c r="D41" s="12" t="str">
        <f>INDEX('ei names mapping'!$B$104:$R$133,MATCH(B3,'ei names mapping'!$A$104:$A$133,0),MATCH(G41,'ei names mapping'!$B$3:$R$3,0))</f>
        <v>unit</v>
      </c>
      <c r="E41" s="12"/>
      <c r="F41" s="12" t="s">
        <v>91</v>
      </c>
      <c r="G41" t="s">
        <v>151</v>
      </c>
      <c r="H41" s="12" t="str">
        <f>INDEX('ei names mapping'!$B$71:$R$100,MATCH(B3,'ei names mapping'!$A$4:$A$33,0),MATCH(G41,'ei names mapping'!$B$3:$R$3,0))</f>
        <v>manual dismantling of electric scooter</v>
      </c>
    </row>
    <row r="42" spans="1:8" x14ac:dyDescent="0.3">
      <c r="A42" s="12" t="str">
        <f>INDEX('ei names mapping'!$B$4:$R$33,MATCH(B3,'ei names mapping'!$A$4:$A$33,0),MATCH(G42,'ei names mapping'!$B$3:$R$3,0))</f>
        <v>market for used Li-ion battery</v>
      </c>
      <c r="B42" s="16">
        <f>INDEX('vehicles specifications'!$B$3:$CK$86,MATCH(B6,'vehicles specifications'!$A$3:$A$86,0),MATCH(G42,'vehicles specifications'!$B$2:$CK$2,0))*INDEX('ei names mapping'!$B$137:$BK$220,MATCH(B6,'ei names mapping'!$A$137:$A$220,0),MATCH(G42,'ei names mapping'!$B$136:$BK$136,0))</f>
        <v>-21.6</v>
      </c>
      <c r="C42" s="12" t="str">
        <f>INDEX('ei names mapping'!$B$38:$R$67,MATCH(B3,'ei names mapping'!$A$4:$A$33,0),MATCH(G42,'ei names mapping'!$B$3:$R$3,0))</f>
        <v>GLO</v>
      </c>
      <c r="D42" s="12" t="str">
        <f>INDEX('ei names mapping'!$B$104:$R$133,MATCH(B7,'ei names mapping'!$A$104:$A$133,0),MATCH(G42,'ei names mapping'!$B$3:$R$3,0))</f>
        <v>kilogram</v>
      </c>
      <c r="E42" s="12"/>
      <c r="F42" s="12" t="s">
        <v>91</v>
      </c>
      <c r="G42" t="s">
        <v>152</v>
      </c>
      <c r="H42" s="12" t="str">
        <f>INDEX('ei names mapping'!$B$71:$R$100,MATCH(B3,'ei names mapping'!$A$4:$A$33,0),MATCH(G42,'ei names mapping'!$B$3:$R$3,0))</f>
        <v>used Li-ion battery</v>
      </c>
    </row>
    <row r="43" spans="1:8" s="21" customFormat="1" x14ac:dyDescent="0.3">
      <c r="A43" s="22" t="s">
        <v>468</v>
      </c>
      <c r="B43" s="21">
        <f>(B16/1000)*B28</f>
        <v>75.8</v>
      </c>
      <c r="C43" s="21" t="s">
        <v>94</v>
      </c>
      <c r="D43" s="21" t="s">
        <v>243</v>
      </c>
      <c r="F43" s="21" t="s">
        <v>91</v>
      </c>
      <c r="H43" s="22" t="s">
        <v>469</v>
      </c>
    </row>
    <row r="44" spans="1:8" s="21" customFormat="1" x14ac:dyDescent="0.3">
      <c r="A44" s="22" t="s">
        <v>467</v>
      </c>
      <c r="B44" s="2">
        <f>(B16/1000)*B27</f>
        <v>1205.2199999999998</v>
      </c>
      <c r="C44" s="21" t="s">
        <v>98</v>
      </c>
      <c r="D44" s="21" t="s">
        <v>243</v>
      </c>
      <c r="F44" s="21" t="s">
        <v>91</v>
      </c>
      <c r="H44" s="22" t="s">
        <v>467</v>
      </c>
    </row>
    <row r="45" spans="1:8" x14ac:dyDescent="0.3">
      <c r="A45" s="12"/>
      <c r="B45" s="16"/>
      <c r="C45" s="12"/>
      <c r="D45" s="12"/>
      <c r="E45" s="12"/>
      <c r="F45" s="12"/>
      <c r="H45" s="12"/>
    </row>
    <row r="46" spans="1:8" ht="15.6" x14ac:dyDescent="0.3">
      <c r="A46" s="11" t="s">
        <v>72</v>
      </c>
      <c r="B46" s="9" t="str">
        <f>B48&amp;", "&amp;B50</f>
        <v>Motorbike, electric, &lt;4kW, 2030</v>
      </c>
    </row>
    <row r="47" spans="1:8" x14ac:dyDescent="0.3">
      <c r="A47" t="s">
        <v>73</v>
      </c>
      <c r="B47" t="s">
        <v>37</v>
      </c>
    </row>
    <row r="48" spans="1:8" x14ac:dyDescent="0.3">
      <c r="A48" t="s">
        <v>87</v>
      </c>
      <c r="B48" t="s">
        <v>520</v>
      </c>
    </row>
    <row r="49" spans="1:2" x14ac:dyDescent="0.3">
      <c r="A49" t="s">
        <v>88</v>
      </c>
      <c r="B49" s="12"/>
    </row>
    <row r="50" spans="1:2" x14ac:dyDescent="0.3">
      <c r="A50" t="s">
        <v>89</v>
      </c>
      <c r="B50" s="12">
        <v>2030</v>
      </c>
    </row>
    <row r="51" spans="1:2" x14ac:dyDescent="0.3">
      <c r="A51" t="s">
        <v>131</v>
      </c>
      <c r="B51" s="12" t="str">
        <f>B48&amp;" - "&amp;B50&amp;" - "&amp;B47</f>
        <v>Motorbike, electric, &lt;4kW - 2030 - CH</v>
      </c>
    </row>
    <row r="52" spans="1:2" x14ac:dyDescent="0.3">
      <c r="A52" t="s">
        <v>74</v>
      </c>
      <c r="B52" t="str">
        <f>B48</f>
        <v>Motorbike, electric, &lt;4kW</v>
      </c>
    </row>
    <row r="53" spans="1:2" x14ac:dyDescent="0.3">
      <c r="A53" t="s">
        <v>75</v>
      </c>
      <c r="B53" t="s">
        <v>76</v>
      </c>
    </row>
    <row r="54" spans="1:2" x14ac:dyDescent="0.3">
      <c r="A54" t="s">
        <v>77</v>
      </c>
      <c r="B54" t="s">
        <v>77</v>
      </c>
    </row>
    <row r="55" spans="1:2" x14ac:dyDescent="0.3">
      <c r="A55" t="s">
        <v>79</v>
      </c>
      <c r="B55" t="s">
        <v>90</v>
      </c>
    </row>
    <row r="56" spans="1:2" x14ac:dyDescent="0.3">
      <c r="A56" t="s">
        <v>132</v>
      </c>
      <c r="B56">
        <f>INDEX('vehicles specifications'!$B$3:$CK$86,MATCH(B51,'vehicles specifications'!$A$3:$A$86,0),MATCH("Lifetime [km]",'vehicles specifications'!$B$2:$CK$2,0))</f>
        <v>33400</v>
      </c>
    </row>
    <row r="57" spans="1:2" x14ac:dyDescent="0.3">
      <c r="A57" t="s">
        <v>133</v>
      </c>
      <c r="B57">
        <f>INDEX('vehicles specifications'!$B$3:$CK$86,MATCH(B51,'vehicles specifications'!$A$3:$A$86,0),MATCH("Passengers [unit]",'vehicles specifications'!$B$2:$CK$2,0))</f>
        <v>1.1000000000000001</v>
      </c>
    </row>
    <row r="58" spans="1:2" x14ac:dyDescent="0.3">
      <c r="A58" t="s">
        <v>134</v>
      </c>
      <c r="B58">
        <f>INDEX('vehicles specifications'!$B$3:$CK$86,MATCH(B51,'vehicles specifications'!$A$3:$A$86,0),MATCH("Servicing [unit]",'vehicles specifications'!$B$2:$CK$2,0))</f>
        <v>0.66800000000000004</v>
      </c>
    </row>
    <row r="59" spans="1:2" x14ac:dyDescent="0.3">
      <c r="A59" t="s">
        <v>135</v>
      </c>
      <c r="B59">
        <f>INDEX('vehicles specifications'!$B$3:$CK$86,MATCH(B51,'vehicles specifications'!$A$3:$A$86,0),MATCH("Energy battery replacement [unit]",'vehicles specifications'!$B$2:$CK$2,0))</f>
        <v>0.5</v>
      </c>
    </row>
    <row r="60" spans="1:2" x14ac:dyDescent="0.3">
      <c r="A60" t="s">
        <v>136</v>
      </c>
      <c r="B60">
        <f>INDEX('vehicles specifications'!$B$3:$CK$86,MATCH(B51,'vehicles specifications'!$A$3:$A$86,0),MATCH("Annual kilometers [km]",'vehicles specifications'!$B$2:$CK$2,0))</f>
        <v>2553</v>
      </c>
    </row>
    <row r="61" spans="1:2" x14ac:dyDescent="0.3">
      <c r="A61" t="s">
        <v>137</v>
      </c>
      <c r="B61" s="2">
        <f>INDEX('vehicles specifications'!$B$3:$CK$86,MATCH(B51,'vehicles specifications'!$A$3:$A$86,0),MATCH("Curb mass [kg]",'vehicles specifications'!$B$2:$CK$2,0))</f>
        <v>76.209999999999994</v>
      </c>
    </row>
    <row r="62" spans="1:2" x14ac:dyDescent="0.3">
      <c r="A62" t="s">
        <v>138</v>
      </c>
      <c r="B62">
        <f>INDEX('vehicles specifications'!$B$3:$CK$86,MATCH(B51,'vehicles specifications'!$A$3:$A$86,0),MATCH("Power [kW]",'vehicles specifications'!$B$2:$CK$2,0))</f>
        <v>2.5</v>
      </c>
    </row>
    <row r="63" spans="1:2" x14ac:dyDescent="0.3">
      <c r="A63" t="s">
        <v>139</v>
      </c>
      <c r="B63">
        <f>INDEX('vehicles specifications'!$B$3:$CK$86,MATCH(B51,'vehicles specifications'!$A$3:$A$86,0),MATCH("Energy battery mass [kg]",'vehicles specifications'!$B$2:$CK$2,0))</f>
        <v>12.8</v>
      </c>
    </row>
    <row r="64" spans="1:2" x14ac:dyDescent="0.3">
      <c r="A64" t="s">
        <v>140</v>
      </c>
      <c r="B64" s="21">
        <f>INDEX('vehicles specifications'!$B$3:$CK$86,MATCH(B51,'vehicles specifications'!$A$3:$A$86,0),MATCH("Electric energy stored [kWh]",'vehicles specifications'!$B$2:$CK$2,0))</f>
        <v>3.2</v>
      </c>
    </row>
    <row r="65" spans="1:8" s="21" customFormat="1" x14ac:dyDescent="0.3">
      <c r="A65" s="21" t="s">
        <v>654</v>
      </c>
      <c r="B65" s="21">
        <f>INDEX('vehicles specifications'!$B$3:$CK$86,MATCH(B51,'vehicles specifications'!$A$3:$A$86,0),MATCH("Electric energy available [kWh]",'vehicles specifications'!$B$2:$CK$2,0))</f>
        <v>2.5600000000000005</v>
      </c>
    </row>
    <row r="66" spans="1:8" x14ac:dyDescent="0.3">
      <c r="A66" t="s">
        <v>143</v>
      </c>
      <c r="B66" s="2">
        <f>INDEX('vehicles specifications'!$B$3:$CK$86,MATCH(B51,'vehicles specifications'!$A$3:$A$86,0),MATCH("Oxydation energy stored [kWh]",'vehicles specifications'!$B$2:$CK$2,0))</f>
        <v>0</v>
      </c>
    </row>
    <row r="67" spans="1:8" x14ac:dyDescent="0.3">
      <c r="A67" t="s">
        <v>145</v>
      </c>
      <c r="B67">
        <f>INDEX('vehicles specifications'!$B$3:$CK$86,MATCH(B51,'vehicles specifications'!$A$3:$A$86,0),MATCH("Fuel mass [kg]",'vehicles specifications'!$B$2:$CK$2,0))</f>
        <v>0</v>
      </c>
    </row>
    <row r="68" spans="1:8" x14ac:dyDescent="0.3">
      <c r="A68" t="s">
        <v>141</v>
      </c>
      <c r="B68" s="2">
        <f>INDEX('vehicles specifications'!$B$3:$CK$86,MATCH(B51,'vehicles specifications'!$A$3:$A$86,0),MATCH("Range [km]",'vehicles specifications'!$B$2:$CK$2,0))</f>
        <v>76.165289256198363</v>
      </c>
    </row>
    <row r="69" spans="1:8" x14ac:dyDescent="0.3">
      <c r="A69" t="s">
        <v>142</v>
      </c>
      <c r="B69" t="str">
        <f>INDEX('vehicles specifications'!$B$3:$CK$86,MATCH(B51,'vehicles specifications'!$A$3:$A$86,0),MATCH("Emission standard",'vehicles specifications'!$B$2:$CK$2,0))</f>
        <v>None</v>
      </c>
    </row>
    <row r="70" spans="1:8" x14ac:dyDescent="0.3">
      <c r="A70" t="s">
        <v>144</v>
      </c>
      <c r="B70" s="6">
        <f>INDEX('vehicles specifications'!$B$3:$CK$86,MATCH(B51,'vehicles specifications'!$A$3:$A$86,0),MATCH("Lightweighting rate [%]",'vehicles specifications'!$B$2:$CK$2,0))</f>
        <v>0.03</v>
      </c>
    </row>
    <row r="71" spans="1:8" s="21" customFormat="1" x14ac:dyDescent="0.3">
      <c r="A71" s="21" t="s">
        <v>513</v>
      </c>
      <c r="B71" s="6" t="s">
        <v>514</v>
      </c>
    </row>
    <row r="72" spans="1:8" s="21" customFormat="1" x14ac:dyDescent="0.3">
      <c r="A72" s="21" t="s">
        <v>515</v>
      </c>
      <c r="B72" s="2">
        <v>15900</v>
      </c>
    </row>
    <row r="73" spans="1:8" s="21" customFormat="1" x14ac:dyDescent="0.3">
      <c r="A73" s="21" t="s">
        <v>516</v>
      </c>
      <c r="B73" s="2">
        <v>1000</v>
      </c>
    </row>
    <row r="74" spans="1:8" s="21" customFormat="1" x14ac:dyDescent="0.3">
      <c r="A74" s="21" t="s">
        <v>84</v>
      </c>
      <c r="B74" s="21" t="str">
        <f>"Power: "&amp;B62&amp;" kW. Lifetime: "&amp;B56&amp;" km. Annual kilometers: "&amp;ROUND(B60,0)&amp;" km. Number of passengers: "&amp;ROUND(B57,1)&amp;". Curb mass: "&amp;ROUND(B61,1)&amp;" kg. Lightweighting of glider: "&amp;ROUND(B70*100,0)&amp;"%. Emission standard: "&amp;B69&amp;". Service visits throughout lifetime: "&amp;ROUND(B58,1)&amp;". Range: "&amp;ROUND(B68,0)&amp;" km. Battery capacity: "&amp;ROUND(B64,1)&amp;" kWh. Available battery capacity: "&amp;B65&amp;" kWh. Battery mass: "&amp;ROUND(B63,1)&amp; " kg. Battery replacement throughout lifetime: "&amp;ROUND(B59,1)&amp;". Fuel tank capacity: "&amp;ROUND(B66,1)&amp;" kWh. Fuel mass: "&amp;ROUND(B67,1)&amp;" kg. Origin of manufacture: "&amp;B71&amp;". Shipping distance: "&amp;B72&amp;" km. Lorry distribution distance: "&amp;B73&amp;" km. Documentation: "&amp;Readmefirst!$B$2&amp;", "&amp;Readmefirst!$B$3&amp;". "&amp;'lci-kick scooter'!B55</f>
        <v>Power: 2.5 kW. Lifetime: 33400 km. Annual kilometers: 2553 km. Number of passengers: 1.1. Curb mass: 76.2 kg. Lightweighting of glider: 3%. Emission standard: None. Service visits throughout lifetime: 0.7. Range: 76 km. Battery capacity: 3.2 kWh. Available battery capacity: 2.56 kWh. Battery mass: 12.8 kg. Battery replacement throughout lifetime: 0.5. Fuel tank capacity: 0 kWh. Fuel mass: 0 kg. Origin of manufacture: China. Shipping distance: 15900 km. Lorry distribution distance: 1000 km.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75" spans="1:8" ht="15.6" x14ac:dyDescent="0.3">
      <c r="A75" s="11" t="s">
        <v>80</v>
      </c>
    </row>
    <row r="76" spans="1:8" x14ac:dyDescent="0.3">
      <c r="A76" t="s">
        <v>81</v>
      </c>
      <c r="B76" t="s">
        <v>82</v>
      </c>
      <c r="C76" t="s">
        <v>73</v>
      </c>
      <c r="D76" t="s">
        <v>77</v>
      </c>
      <c r="E76" t="s">
        <v>83</v>
      </c>
      <c r="F76" t="s">
        <v>75</v>
      </c>
      <c r="G76" t="s">
        <v>84</v>
      </c>
      <c r="H76" t="s">
        <v>74</v>
      </c>
    </row>
    <row r="77" spans="1:8" x14ac:dyDescent="0.3">
      <c r="A77" s="12" t="str">
        <f>B46</f>
        <v>Motorbike, electric, &lt;4kW, 2030</v>
      </c>
      <c r="B77" s="12">
        <v>1</v>
      </c>
      <c r="C77" s="12" t="str">
        <f>B47</f>
        <v>CH</v>
      </c>
      <c r="D77" s="12" t="str">
        <f>B54</f>
        <v>unit</v>
      </c>
      <c r="E77" s="12"/>
      <c r="F77" s="12" t="s">
        <v>85</v>
      </c>
      <c r="G77" s="12" t="s">
        <v>86</v>
      </c>
      <c r="H77" s="12" t="str">
        <f>B48</f>
        <v>Motorbike, electric, &lt;4kW</v>
      </c>
    </row>
    <row r="78" spans="1:8" x14ac:dyDescent="0.3">
      <c r="A78" s="12" t="str">
        <f>INDEX('ei names mapping'!$B$4:$R$33,MATCH(B48,'ei names mapping'!$A$4:$A$33,0),MATCH(G78,'ei names mapping'!$B$3:$R$3,0))</f>
        <v>market for glider, for electric scooter</v>
      </c>
      <c r="B78" s="16">
        <f>INDEX('vehicles specifications'!$B$3:$CK$86,MATCH(B51,'vehicles specifications'!$A$3:$A$86,0),MATCH(G78,'vehicles specifications'!$B$2:$CK$2,0))*INDEX('ei names mapping'!$B$137:$BK$220,MATCH(B51,'ei names mapping'!$A$137:$A$220,0),MATCH(G78,'ei names mapping'!$B$136:$BK$136,0))</f>
        <v>53</v>
      </c>
      <c r="C78" s="12" t="str">
        <f>INDEX('ei names mapping'!$B$38:$R$67,MATCH(B48,'ei names mapping'!$A$4:$A$33,0),MATCH(G78,'ei names mapping'!$B$3:$R$3,0))</f>
        <v>GLO</v>
      </c>
      <c r="D78" s="12" t="str">
        <f>INDEX('ei names mapping'!$B$104:$R$133,MATCH(B48,'ei names mapping'!$A$104:$A$133,0),MATCH(G78,'ei names mapping'!$B$3:$R$3,0))</f>
        <v>kilogram</v>
      </c>
      <c r="E78" s="12"/>
      <c r="F78" s="12" t="s">
        <v>91</v>
      </c>
      <c r="G78" s="21" t="s">
        <v>15</v>
      </c>
      <c r="H78" s="12" t="str">
        <f>INDEX('ei names mapping'!$B$71:$R$100,MATCH(B48,'ei names mapping'!$A$4:$A$33,0),MATCH(G78,'ei names mapping'!$B$3:$R$3,0))</f>
        <v>glider, for electric scooter</v>
      </c>
    </row>
    <row r="79" spans="1:8" s="21" customFormat="1" x14ac:dyDescent="0.3">
      <c r="A79" s="12" t="str">
        <f>INDEX('ei names mapping'!$B$4:$R$33,MATCH(B48,'ei names mapping'!$A$4:$A$33,0),MATCH(G79,'ei names mapping'!$B$3:$R$3,0))</f>
        <v>glider lightweighting</v>
      </c>
      <c r="B79" s="16">
        <f>INDEX('vehicles specifications'!$B$3:$CK$86,MATCH(B51,'vehicles specifications'!$A$3:$A$86,0),MATCH(G79,'vehicles specifications'!$B$2:$CK$2,0))*INDEX('ei names mapping'!$B$137:$BK$220,MATCH(B51,'ei names mapping'!$A$137:$A$220,0),MATCH(G79,'ei names mapping'!$B$136:$BK$136,0))</f>
        <v>1.5899999999999999</v>
      </c>
      <c r="C79" s="12" t="str">
        <f>INDEX('ei names mapping'!$B$38:$R$67,MATCH(B48,'ei names mapping'!$A$4:$A$33,0),MATCH(G79,'ei names mapping'!$B$3:$R$3,0))</f>
        <v>GLO</v>
      </c>
      <c r="D79" s="12" t="str">
        <f>INDEX('ei names mapping'!$B$104:$R$133,MATCH(B48,'ei names mapping'!$A$104:$A$133,0),MATCH(G79,'ei names mapping'!$B$3:$R$3,0))</f>
        <v>kilogram</v>
      </c>
      <c r="E79" s="12"/>
      <c r="F79" s="12" t="s">
        <v>91</v>
      </c>
      <c r="G79" s="21" t="s">
        <v>14</v>
      </c>
      <c r="H79" s="12" t="str">
        <f>INDEX('ei names mapping'!$B$71:$R$100,MATCH(B48,'ei names mapping'!$A$4:$A$33,0),MATCH(G79,'ei names mapping'!$B$3:$R$3,0))</f>
        <v>glider lightweighting</v>
      </c>
    </row>
    <row r="80" spans="1:8" x14ac:dyDescent="0.3">
      <c r="A80" s="12" t="str">
        <f>INDEX('ei names mapping'!$B$4:$R$33,MATCH(B48,'ei names mapping'!$A$4:$A$33,0),MATCH(G80,'ei names mapping'!$B$3:$R$3,0))</f>
        <v>market for glider, for electric scooter</v>
      </c>
      <c r="B80" s="16">
        <f>INDEX('vehicles specifications'!$B$3:$CK$86,MATCH(B51,'vehicles specifications'!$A$3:$A$86,0),MATCH(G80,'vehicles specifications'!$B$2:$CK$2,0))*INDEX('ei names mapping'!$B$137:$BK$220,MATCH(B51,'ei names mapping'!$A$137:$A$220,0),MATCH(G80,'ei names mapping'!$B$136:$BK$136,0))</f>
        <v>4.5</v>
      </c>
      <c r="C80" s="12" t="str">
        <f>INDEX('ei names mapping'!$B$38:$R$67,MATCH(B48,'ei names mapping'!$A$4:$A$33,0),MATCH(G80,'ei names mapping'!$B$3:$R$3,0))</f>
        <v>GLO</v>
      </c>
      <c r="D80" s="12" t="str">
        <f>INDEX('ei names mapping'!$B$104:$R$133,MATCH(B48,'ei names mapping'!$A$104:$A$133,0),MATCH(G80,'ei names mapping'!$B$3:$R$3,0))</f>
        <v>kilogram</v>
      </c>
      <c r="E80" s="12"/>
      <c r="F80" s="12" t="s">
        <v>91</v>
      </c>
      <c r="G80" t="s">
        <v>16</v>
      </c>
      <c r="H80" s="12" t="str">
        <f>INDEX('ei names mapping'!$B$71:$R$100,MATCH(B48,'ei names mapping'!$A$4:$A$33,0),MATCH(G80,'ei names mapping'!$B$3:$R$3,0))</f>
        <v>glider, for electric scooter</v>
      </c>
    </row>
    <row r="81" spans="1:8" x14ac:dyDescent="0.3">
      <c r="A81" s="12" t="str">
        <f>INDEX('ei names mapping'!$B$4:$R$33,MATCH(B48,'ei names mapping'!$A$4:$A$33,0),MATCH(G81,'ei names mapping'!$B$3:$R$3,0))</f>
        <v>market for electric powertrain, for electric scooter</v>
      </c>
      <c r="B81" s="16">
        <f>INDEX('vehicles specifications'!$B$3:$CK$86,MATCH(B51,'vehicles specifications'!$A$3:$A$86,0),MATCH(G81,'vehicles specifications'!$B$2:$CK$2,0))*INDEX('ei names mapping'!$B$137:$BK$220,MATCH(B51,'ei names mapping'!$A$137:$A$220,0),MATCH(G81,'ei names mapping'!$B$136:$BK$136,0))</f>
        <v>7.5</v>
      </c>
      <c r="C81" s="12" t="str">
        <f>INDEX('ei names mapping'!$B$38:$R$67,MATCH(B48,'ei names mapping'!$A$4:$A$33,0),MATCH(G81,'ei names mapping'!$B$3:$R$3,0))</f>
        <v>GLO</v>
      </c>
      <c r="D81" s="12" t="str">
        <f>INDEX('ei names mapping'!$B$104:$R$133,MATCH(B48,'ei names mapping'!$A$104:$A$133,0),MATCH(G81,'ei names mapping'!$B$3:$R$3,0))</f>
        <v>kilogram</v>
      </c>
      <c r="E81" s="12"/>
      <c r="F81" s="12" t="s">
        <v>91</v>
      </c>
      <c r="G81" t="s">
        <v>557</v>
      </c>
      <c r="H81" s="12" t="str">
        <f>INDEX('ei names mapping'!$B$71:$R$100,MATCH(B48,'ei names mapping'!$A$4:$A$33,0),MATCH(G81,'ei names mapping'!$B$3:$R$3,0))</f>
        <v>powertrain, for electric scooter</v>
      </c>
    </row>
    <row r="82" spans="1:8" x14ac:dyDescent="0.3">
      <c r="A82" s="12" t="str">
        <f>INDEX('ei names mapping'!$B$4:$R$33,MATCH(B48,'ei names mapping'!$A$4:$A$33,0),MATCH(G82,'ei names mapping'!$B$3:$R$3,0))</f>
        <v>Battery cell, NMC</v>
      </c>
      <c r="B82" s="16">
        <f>INDEX('vehicles specifications'!$B$3:$CK$86,MATCH(B51,'vehicles specifications'!$A$3:$A$86,0),MATCH(G82,'vehicles specifications'!$B$2:$CK$2,0))*INDEX('ei names mapping'!$B$137:$BK$220,MATCH(B51,'ei names mapping'!$A$137:$A$220,0),MATCH(G82,'ei names mapping'!$B$136:$BK$136,0))</f>
        <v>16</v>
      </c>
      <c r="C82" s="12" t="str">
        <f>INDEX('ei names mapping'!$B$38:$R$67,MATCH(B48,'ei names mapping'!$A$4:$A$33,0),MATCH(G82,'ei names mapping'!$B$3:$R$3,0))</f>
        <v>GLO</v>
      </c>
      <c r="D82" s="12" t="str">
        <f>INDEX('ei names mapping'!$B$104:$R$133,MATCH(B48,'ei names mapping'!$A$104:$A$133,0),MATCH(G82,'ei names mapping'!$B$3:$R$3,0))</f>
        <v>kilogram</v>
      </c>
      <c r="E82" s="12"/>
      <c r="F82" s="12" t="s">
        <v>91</v>
      </c>
      <c r="G82" t="s">
        <v>19</v>
      </c>
      <c r="H82" s="12" t="str">
        <f>INDEX('ei names mapping'!$B$71:$R$100,MATCH(B48,'ei names mapping'!$A$4:$A$33,0),MATCH(G82,'ei names mapping'!$B$3:$R$3,0))</f>
        <v>Battery cell</v>
      </c>
    </row>
    <row r="83" spans="1:8" x14ac:dyDescent="0.3">
      <c r="A83" s="12" t="str">
        <f>INDEX('ei names mapping'!$B$4:$R$33,MATCH(B48,'ei names mapping'!$A$4:$A$33,0),MATCH(G83,'ei names mapping'!$B$3:$R$3,0))</f>
        <v>Battery BoP</v>
      </c>
      <c r="B83" s="16">
        <f>INDEX('vehicles specifications'!$B$3:$CK$86,MATCH(B51,'vehicles specifications'!$A$3:$A$86,0),MATCH(G83,'vehicles specifications'!$B$2:$CK$2,0))*INDEX('ei names mapping'!$B$137:$BK$220,MATCH(B51,'ei names mapping'!$A$137:$A$220,0),MATCH(G83,'ei names mapping'!$B$136:$BK$136,0))</f>
        <v>3.2000000000000006</v>
      </c>
      <c r="C83" s="12" t="str">
        <f>INDEX('ei names mapping'!$B$38:$R$67,MATCH(B48,'ei names mapping'!$A$4:$A$33,0),MATCH(G83,'ei names mapping'!$B$3:$R$3,0))</f>
        <v>GLO</v>
      </c>
      <c r="D83" s="12" t="str">
        <f>INDEX('ei names mapping'!$B$104:$R$133,MATCH(B48,'ei names mapping'!$A$104:$A$133,0),MATCH(G83,'ei names mapping'!$B$3:$R$3,0))</f>
        <v>kilogram</v>
      </c>
      <c r="E83" s="12"/>
      <c r="F83" s="12" t="s">
        <v>91</v>
      </c>
      <c r="G83" t="s">
        <v>20</v>
      </c>
      <c r="H83" s="12" t="str">
        <f>INDEX('ei names mapping'!$B$71:$R$100,MATCH(B48,'ei names mapping'!$A$4:$A$33,0),MATCH(G83,'ei names mapping'!$B$3:$R$3,0))</f>
        <v>Battery BoP</v>
      </c>
    </row>
    <row r="84" spans="1:8" x14ac:dyDescent="0.3">
      <c r="A84" s="12" t="str">
        <f>INDEX('ei names mapping'!$B$4:$R$33,MATCH(B48,'ei names mapping'!$A$4:$A$33,0),MATCH(G84,'ei names mapping'!$B$3:$R$3,0))</f>
        <v>charging station, 3kW</v>
      </c>
      <c r="B84" s="16">
        <f>INDEX('vehicles specifications'!$B$3:$CK$86,MATCH(B51,'vehicles specifications'!$A$3:$A$86,0),MATCH(G84,'vehicles specifications'!$B$2:$CK$2,0))*INDEX('ei names mapping'!$B$137:$BK$220,MATCH(B51,'ei names mapping'!$A$137:$A$220,0),MATCH(G84,'ei names mapping'!$B$136:$BK$136,0))</f>
        <v>1</v>
      </c>
      <c r="C84" s="12" t="str">
        <f>INDEX('ei names mapping'!$B$38:$R$67,MATCH(B48,'ei names mapping'!$A$4:$A$33,0),MATCH(G84,'ei names mapping'!$B$3:$R$3,0))</f>
        <v>GLO</v>
      </c>
      <c r="D84" s="12" t="str">
        <f>INDEX('ei names mapping'!$B$104:$R$133,MATCH(B48,'ei names mapping'!$A$104:$A$133,0),MATCH(G84,'ei names mapping'!$B$3:$R$3,0))</f>
        <v>unit</v>
      </c>
      <c r="E84" s="12"/>
      <c r="F84" s="12" t="s">
        <v>91</v>
      </c>
      <c r="G84" t="s">
        <v>53</v>
      </c>
      <c r="H84" s="12" t="str">
        <f>INDEX('ei names mapping'!$B$71:$R$100,MATCH(B48,'ei names mapping'!$A$4:$A$33,0),MATCH(G84,'ei names mapping'!$B$3:$R$3,0))</f>
        <v>charging station, 3kW</v>
      </c>
    </row>
    <row r="85" spans="1:8" x14ac:dyDescent="0.3">
      <c r="A85" s="12" t="str">
        <f>INDEX('ei names mapping'!$B$4:$R$33,MATCH(B48,'ei names mapping'!$A$4:$A$33,0),MATCH(G85,'ei names mapping'!$B$3:$R$3,0))</f>
        <v>manual dismantling of used electric scooter</v>
      </c>
      <c r="B85" s="16">
        <f>INDEX('vehicles specifications'!$B$3:$CK$86,MATCH(B51,'vehicles specifications'!$A$3:$A$86,0),MATCH(G85,'vehicles specifications'!$B$2:$CK$2,0))*INDEX('ei names mapping'!$B$137:$BK$220,MATCH(B51,'ei names mapping'!$A$137:$A$220,0),MATCH(G85,'ei names mapping'!$B$136:$BK$136,0))</f>
        <v>51.41</v>
      </c>
      <c r="C85" s="12" t="str">
        <f>INDEX('ei names mapping'!$B$38:$R$67,MATCH(B48,'ei names mapping'!$A$4:$A$33,0),MATCH(G85,'ei names mapping'!$B$3:$R$3,0))</f>
        <v>GLO</v>
      </c>
      <c r="D85" s="12" t="str">
        <f>INDEX('ei names mapping'!$B$104:$R$133,MATCH(B48,'ei names mapping'!$A$104:$A$133,0),MATCH(G85,'ei names mapping'!$B$3:$R$3,0))</f>
        <v>unit</v>
      </c>
      <c r="E85" s="12"/>
      <c r="F85" s="12" t="s">
        <v>91</v>
      </c>
      <c r="G85" t="s">
        <v>150</v>
      </c>
      <c r="H85" s="12" t="str">
        <f>INDEX('ei names mapping'!$B$71:$R$100,MATCH(B48,'ei names mapping'!$A$4:$A$33,0),MATCH(G85,'ei names mapping'!$B$3:$R$3,0))</f>
        <v>manual dismantling of electric scooter</v>
      </c>
    </row>
    <row r="86" spans="1:8" x14ac:dyDescent="0.3">
      <c r="A86" s="12" t="str">
        <f>INDEX('ei names mapping'!$B$4:$R$33,MATCH(B48,'ei names mapping'!$A$4:$A$33,0),MATCH(G86,'ei names mapping'!$B$3:$R$3,0))</f>
        <v>manual dismantling of used electric scooter</v>
      </c>
      <c r="B86" s="16">
        <f>INDEX('vehicles specifications'!$B$3:$CK$86,MATCH(B51,'vehicles specifications'!$A$3:$A$86,0),MATCH(G86,'vehicles specifications'!$B$2:$CK$2,0))*INDEX('ei names mapping'!$B$137:$BK$220,MATCH(B51,'ei names mapping'!$A$137:$A$220,0),MATCH(G86,'ei names mapping'!$B$136:$BK$136,0))</f>
        <v>12</v>
      </c>
      <c r="C86" s="12" t="str">
        <f>INDEX('ei names mapping'!$B$38:$R$67,MATCH(B48,'ei names mapping'!$A$4:$A$33,0),MATCH(G86,'ei names mapping'!$B$3:$R$3,0))</f>
        <v>GLO</v>
      </c>
      <c r="D86" s="12" t="str">
        <f>INDEX('ei names mapping'!$B$104:$R$133,MATCH(B48,'ei names mapping'!$A$104:$A$133,0),MATCH(G86,'ei names mapping'!$B$3:$R$3,0))</f>
        <v>unit</v>
      </c>
      <c r="E86" s="12"/>
      <c r="F86" s="12" t="s">
        <v>91</v>
      </c>
      <c r="G86" t="s">
        <v>151</v>
      </c>
      <c r="H86" s="12" t="str">
        <f>INDEX('ei names mapping'!$B$71:$R$100,MATCH(B48,'ei names mapping'!$A$4:$A$33,0),MATCH(G86,'ei names mapping'!$B$3:$R$3,0))</f>
        <v>manual dismantling of electric scooter</v>
      </c>
    </row>
    <row r="87" spans="1:8" x14ac:dyDescent="0.3">
      <c r="A87" s="12" t="str">
        <f>INDEX('ei names mapping'!$B$4:$R$33,MATCH(B48,'ei names mapping'!$A$4:$A$33,0),MATCH(G87,'ei names mapping'!$B$3:$R$3,0))</f>
        <v>market for used Li-ion battery</v>
      </c>
      <c r="B87" s="16">
        <f>INDEX('vehicles specifications'!$B$3:$CK$86,MATCH(B51,'vehicles specifications'!$A$3:$A$86,0),MATCH(G87,'vehicles specifications'!$B$2:$CK$2,0))*INDEX('ei names mapping'!$B$137:$BK$220,MATCH(B51,'ei names mapping'!$A$137:$A$220,0),MATCH(G87,'ei names mapping'!$B$136:$BK$136,0))</f>
        <v>-19.200000000000003</v>
      </c>
      <c r="C87" s="12" t="str">
        <f>INDEX('ei names mapping'!$B$38:$R$67,MATCH(B48,'ei names mapping'!$A$4:$A$33,0),MATCH(G87,'ei names mapping'!$B$3:$R$3,0))</f>
        <v>GLO</v>
      </c>
      <c r="D87" s="12" t="str">
        <f>INDEX('ei names mapping'!$B$104:$R$133,MATCH(B52,'ei names mapping'!$A$104:$A$133,0),MATCH(G87,'ei names mapping'!$B$3:$R$3,0))</f>
        <v>kilogram</v>
      </c>
      <c r="E87" s="12"/>
      <c r="F87" s="12" t="s">
        <v>91</v>
      </c>
      <c r="G87" t="s">
        <v>152</v>
      </c>
      <c r="H87" s="12" t="str">
        <f>INDEX('ei names mapping'!$B$71:$R$100,MATCH(B48,'ei names mapping'!$A$4:$A$33,0),MATCH(G87,'ei names mapping'!$B$3:$R$3,0))</f>
        <v>used Li-ion battery</v>
      </c>
    </row>
    <row r="88" spans="1:8" s="21" customFormat="1" x14ac:dyDescent="0.3">
      <c r="A88" s="22" t="s">
        <v>468</v>
      </c>
      <c r="B88" s="21">
        <f>(B61/1000)*B73</f>
        <v>76.209999999999994</v>
      </c>
      <c r="C88" s="21" t="s">
        <v>94</v>
      </c>
      <c r="D88" s="21" t="s">
        <v>243</v>
      </c>
      <c r="F88" s="21" t="s">
        <v>91</v>
      </c>
      <c r="H88" s="22" t="s">
        <v>469</v>
      </c>
    </row>
    <row r="89" spans="1:8" s="21" customFormat="1" x14ac:dyDescent="0.3">
      <c r="A89" s="22" t="s">
        <v>467</v>
      </c>
      <c r="B89" s="2">
        <f>(B61/1000)*B72</f>
        <v>1211.739</v>
      </c>
      <c r="C89" s="21" t="s">
        <v>98</v>
      </c>
      <c r="D89" s="21" t="s">
        <v>243</v>
      </c>
      <c r="F89" s="21" t="s">
        <v>91</v>
      </c>
      <c r="H89" s="22" t="s">
        <v>467</v>
      </c>
    </row>
    <row r="90" spans="1:8" x14ac:dyDescent="0.3">
      <c r="B90" s="12"/>
    </row>
    <row r="91" spans="1:8" ht="15.6" x14ac:dyDescent="0.3">
      <c r="A91" s="11" t="s">
        <v>72</v>
      </c>
      <c r="B91" s="9" t="str">
        <f>B93&amp;", "&amp;B95</f>
        <v>Motorbike, electric, &lt;4kW, 2040</v>
      </c>
    </row>
    <row r="92" spans="1:8" x14ac:dyDescent="0.3">
      <c r="A92" t="s">
        <v>73</v>
      </c>
      <c r="B92" t="s">
        <v>37</v>
      </c>
    </row>
    <row r="93" spans="1:8" x14ac:dyDescent="0.3">
      <c r="A93" t="s">
        <v>87</v>
      </c>
      <c r="B93" t="s">
        <v>520</v>
      </c>
    </row>
    <row r="94" spans="1:8" x14ac:dyDescent="0.3">
      <c r="A94" t="s">
        <v>88</v>
      </c>
      <c r="B94" s="12"/>
    </row>
    <row r="95" spans="1:8" x14ac:dyDescent="0.3">
      <c r="A95" t="s">
        <v>89</v>
      </c>
      <c r="B95" s="12">
        <v>2040</v>
      </c>
    </row>
    <row r="96" spans="1:8" x14ac:dyDescent="0.3">
      <c r="A96" t="s">
        <v>131</v>
      </c>
      <c r="B96" s="12" t="str">
        <f>B93&amp;" - "&amp;B95&amp;" - "&amp;B92</f>
        <v>Motorbike, electric, &lt;4kW - 2040 - CH</v>
      </c>
    </row>
    <row r="97" spans="1:2" x14ac:dyDescent="0.3">
      <c r="A97" t="s">
        <v>74</v>
      </c>
      <c r="B97" t="str">
        <f>B93</f>
        <v>Motorbike, electric, &lt;4kW</v>
      </c>
    </row>
    <row r="98" spans="1:2" x14ac:dyDescent="0.3">
      <c r="A98" t="s">
        <v>75</v>
      </c>
      <c r="B98" t="s">
        <v>76</v>
      </c>
    </row>
    <row r="99" spans="1:2" x14ac:dyDescent="0.3">
      <c r="A99" t="s">
        <v>77</v>
      </c>
      <c r="B99" t="s">
        <v>77</v>
      </c>
    </row>
    <row r="100" spans="1:2" x14ac:dyDescent="0.3">
      <c r="A100" t="s">
        <v>79</v>
      </c>
      <c r="B100" t="s">
        <v>90</v>
      </c>
    </row>
    <row r="101" spans="1:2" x14ac:dyDescent="0.3">
      <c r="A101" t="s">
        <v>132</v>
      </c>
      <c r="B101">
        <f>INDEX('vehicles specifications'!$B$3:$CK$86,MATCH(B96,'vehicles specifications'!$A$3:$A$86,0),MATCH("Lifetime [km]",'vehicles specifications'!$B$2:$CK$2,0))</f>
        <v>33400</v>
      </c>
    </row>
    <row r="102" spans="1:2" x14ac:dyDescent="0.3">
      <c r="A102" t="s">
        <v>133</v>
      </c>
      <c r="B102">
        <f>INDEX('vehicles specifications'!$B$3:$CK$86,MATCH(B96,'vehicles specifications'!$A$3:$A$86,0),MATCH("Passengers [unit]",'vehicles specifications'!$B$2:$CK$2,0))</f>
        <v>1.1000000000000001</v>
      </c>
    </row>
    <row r="103" spans="1:2" x14ac:dyDescent="0.3">
      <c r="A103" t="s">
        <v>134</v>
      </c>
      <c r="B103">
        <f>INDEX('vehicles specifications'!$B$3:$CK$86,MATCH(B96,'vehicles specifications'!$A$3:$A$86,0),MATCH("Servicing [unit]",'vehicles specifications'!$B$2:$CK$2,0))</f>
        <v>0.66800000000000004</v>
      </c>
    </row>
    <row r="104" spans="1:2" x14ac:dyDescent="0.3">
      <c r="A104" t="s">
        <v>135</v>
      </c>
      <c r="B104">
        <f>INDEX('vehicles specifications'!$B$3:$CK$86,MATCH(B96,'vehicles specifications'!$A$3:$A$86,0),MATCH("Energy battery replacement [unit]",'vehicles specifications'!$B$2:$CK$2,0))</f>
        <v>0.25</v>
      </c>
    </row>
    <row r="105" spans="1:2" x14ac:dyDescent="0.3">
      <c r="A105" t="s">
        <v>136</v>
      </c>
      <c r="B105">
        <f>INDEX('vehicles specifications'!$B$3:$CK$86,MATCH(B96,'vehicles specifications'!$A$3:$A$86,0),MATCH("Annual kilometers [km]",'vehicles specifications'!$B$2:$CK$2,0))</f>
        <v>2553</v>
      </c>
    </row>
    <row r="106" spans="1:2" x14ac:dyDescent="0.3">
      <c r="A106" t="s">
        <v>137</v>
      </c>
      <c r="B106" s="2">
        <f>INDEX('vehicles specifications'!$B$3:$CK$86,MATCH(B96,'vehicles specifications'!$A$3:$A$86,0),MATCH("Curb mass [kg]",'vehicles specifications'!$B$2:$CK$2,0))</f>
        <v>75.849999999999994</v>
      </c>
    </row>
    <row r="107" spans="1:2" x14ac:dyDescent="0.3">
      <c r="A107" t="s">
        <v>138</v>
      </c>
      <c r="B107">
        <f>INDEX('vehicles specifications'!$B$3:$CK$86,MATCH(B96,'vehicles specifications'!$A$3:$A$86,0),MATCH("Power [kW]",'vehicles specifications'!$B$2:$CK$2,0))</f>
        <v>2.5</v>
      </c>
    </row>
    <row r="108" spans="1:2" x14ac:dyDescent="0.3">
      <c r="A108" t="s">
        <v>139</v>
      </c>
      <c r="B108">
        <f>INDEX('vehicles specifications'!$B$3:$CK$86,MATCH(B96,'vehicles specifications'!$A$3:$A$86,0),MATCH("Energy battery mass [kg]",'vehicles specifications'!$B$2:$CK$2,0))</f>
        <v>13.5</v>
      </c>
    </row>
    <row r="109" spans="1:2" x14ac:dyDescent="0.3">
      <c r="A109" t="s">
        <v>140</v>
      </c>
      <c r="B109" s="21">
        <f>INDEX('vehicles specifications'!$B$3:$CK$86,MATCH(B96,'vehicles specifications'!$A$3:$A$86,0),MATCH("Electric energy stored [kWh]",'vehicles specifications'!$B$2:$CK$2,0))</f>
        <v>4.5</v>
      </c>
    </row>
    <row r="110" spans="1:2" s="21" customFormat="1" x14ac:dyDescent="0.3">
      <c r="A110" s="21" t="s">
        <v>654</v>
      </c>
      <c r="B110" s="21">
        <f>INDEX('vehicles specifications'!$B$3:$CK$86,MATCH(B96,'vehicles specifications'!$A$3:$A$86,0),MATCH("Electric energy available [kWh]",'vehicles specifications'!$B$2:$CK$2,0))</f>
        <v>3.6</v>
      </c>
    </row>
    <row r="111" spans="1:2" x14ac:dyDescent="0.3">
      <c r="A111" t="s">
        <v>143</v>
      </c>
      <c r="B111" s="2">
        <f>INDEX('vehicles specifications'!$B$3:$CK$86,MATCH(B96,'vehicles specifications'!$A$3:$A$86,0),MATCH("Oxydation energy stored [kWh]",'vehicles specifications'!$B$2:$CK$2,0))</f>
        <v>0</v>
      </c>
    </row>
    <row r="112" spans="1:2" x14ac:dyDescent="0.3">
      <c r="A112" t="s">
        <v>145</v>
      </c>
      <c r="B112">
        <f>INDEX('vehicles specifications'!$B$3:$CK$86,MATCH(B96,'vehicles specifications'!$A$3:$A$86,0),MATCH("Fuel mass [kg]",'vehicles specifications'!$B$2:$CK$2,0))</f>
        <v>0</v>
      </c>
    </row>
    <row r="113" spans="1:8" x14ac:dyDescent="0.3">
      <c r="A113" t="s">
        <v>141</v>
      </c>
      <c r="B113" s="2">
        <f>INDEX('vehicles specifications'!$B$3:$CK$86,MATCH(B96,'vehicles specifications'!$A$3:$A$86,0),MATCH("Range [km]",'vehicles specifications'!$B$2:$CK$2,0))</f>
        <v>107.10743801652892</v>
      </c>
    </row>
    <row r="114" spans="1:8" x14ac:dyDescent="0.3">
      <c r="A114" t="s">
        <v>142</v>
      </c>
      <c r="B114" t="str">
        <f>INDEX('vehicles specifications'!$B$3:$CK$86,MATCH(B96,'vehicles specifications'!$A$3:$A$86,0),MATCH("Emission standard",'vehicles specifications'!$B$2:$CK$2,0))</f>
        <v>None</v>
      </c>
    </row>
    <row r="115" spans="1:8" x14ac:dyDescent="0.3">
      <c r="A115" t="s">
        <v>144</v>
      </c>
      <c r="B115" s="6">
        <f>INDEX('vehicles specifications'!$B$3:$CK$86,MATCH(B96,'vehicles specifications'!$A$3:$A$86,0),MATCH("Lightweighting rate [%]",'vehicles specifications'!$B$2:$CK$2,0))</f>
        <v>0.05</v>
      </c>
    </row>
    <row r="116" spans="1:8" s="21" customFormat="1" x14ac:dyDescent="0.3">
      <c r="A116" s="21" t="s">
        <v>513</v>
      </c>
      <c r="B116" s="6" t="s">
        <v>514</v>
      </c>
    </row>
    <row r="117" spans="1:8" s="21" customFormat="1" x14ac:dyDescent="0.3">
      <c r="A117" s="21" t="s">
        <v>515</v>
      </c>
      <c r="B117" s="2">
        <v>15900</v>
      </c>
    </row>
    <row r="118" spans="1:8" s="21" customFormat="1" x14ac:dyDescent="0.3">
      <c r="A118" s="21" t="s">
        <v>516</v>
      </c>
      <c r="B118" s="2">
        <v>1000</v>
      </c>
    </row>
    <row r="119" spans="1:8" x14ac:dyDescent="0.3">
      <c r="A119" t="s">
        <v>84</v>
      </c>
      <c r="B119" s="21" t="str">
        <f>"Power: "&amp;B107&amp;" kW. Lifetime: "&amp;B101&amp;" km. Annual kilometers: "&amp;ROUND(B105,0)&amp;" km. Number of passengers: "&amp;ROUND(B102,1)&amp;". Curb mass: "&amp;ROUND(B106,1)&amp;" kg. Lightweighting of glider: "&amp;ROUND(B115*100,0)&amp;"%. Emission standard: "&amp;B114&amp;". Service visits throughout lifetime: "&amp;ROUND(B103,1)&amp;". Range: "&amp;ROUND(B113,0)&amp;" km. Battery capacity: "&amp;ROUND(B109,1)&amp;" kWh. Available battery capacity: "&amp;B110&amp;" kWh. Battery mass: "&amp;ROUND(B108,1)&amp; " kg. Battery replacement throughout lifetime: "&amp;ROUND(B104,1)&amp;". Fuel tank capacity: "&amp;ROUND(B111,1)&amp;" kWh. Fuel mass: "&amp;ROUND(B112,1)&amp;" kg. Origin of manufacture: "&amp;B116&amp;". Shipping distance: "&amp;B117&amp;" km. Lorry distribution distance: "&amp;B118&amp;" km. Documentation: "&amp;Readmefirst!$B$2&amp;", "&amp;Readmefirst!$B$3&amp;". "&amp;'lci-kick scooter'!B100</f>
        <v>Power: 2.5 kW. Lifetime: 33400 km. Annual kilometers: 2553 km. Number of passengers: 1.1. Curb mass: 75.9 kg. Lightweighting of glider: 5%. Emission standard: None. Service visits throughout lifetime: 0.7. Range: 107 km. Battery capacity: 4.5 kWh. Available battery capacity: 3.6 kWh. Battery mass: 13.5 kg. Battery replacement throughout lifetime: 0.3. Fuel tank capacity: 0 kWh. Fuel mass: 0 kg. Origin of manufacture: China. Shipping distance: 15900 km. Lorry distribution distance: 1000 km. Documentation: 2021 UVEK life-cycle inventories update of on-road vehicles, Sacchi R. (PSI), Bauer C. (PSI), 2021. 1</v>
      </c>
    </row>
    <row r="120" spans="1:8" ht="15.6" x14ac:dyDescent="0.3">
      <c r="A120" s="11" t="s">
        <v>80</v>
      </c>
    </row>
    <row r="121" spans="1:8" x14ac:dyDescent="0.3">
      <c r="A121" t="s">
        <v>81</v>
      </c>
      <c r="B121" t="s">
        <v>82</v>
      </c>
      <c r="C121" t="s">
        <v>73</v>
      </c>
      <c r="D121" t="s">
        <v>77</v>
      </c>
      <c r="E121" t="s">
        <v>83</v>
      </c>
      <c r="F121" t="s">
        <v>75</v>
      </c>
      <c r="G121" t="s">
        <v>84</v>
      </c>
      <c r="H121" t="s">
        <v>74</v>
      </c>
    </row>
    <row r="122" spans="1:8" x14ac:dyDescent="0.3">
      <c r="A122" s="12" t="str">
        <f>B91</f>
        <v>Motorbike, electric, &lt;4kW, 2040</v>
      </c>
      <c r="B122" s="12">
        <v>1</v>
      </c>
      <c r="C122" s="12" t="str">
        <f>B92</f>
        <v>CH</v>
      </c>
      <c r="D122" s="12" t="str">
        <f>B99</f>
        <v>unit</v>
      </c>
      <c r="E122" s="12"/>
      <c r="F122" s="12" t="s">
        <v>85</v>
      </c>
      <c r="G122" s="12" t="s">
        <v>86</v>
      </c>
      <c r="H122" s="12" t="str">
        <f>B93</f>
        <v>Motorbike, electric, &lt;4kW</v>
      </c>
    </row>
    <row r="123" spans="1:8" x14ac:dyDescent="0.3">
      <c r="A123" s="12" t="str">
        <f>INDEX('ei names mapping'!$B$4:$R$33,MATCH(B93,'ei names mapping'!$A$4:$A$33,0),MATCH(G123,'ei names mapping'!$B$3:$R$3,0))</f>
        <v>market for glider, for electric scooter</v>
      </c>
      <c r="B123" s="16">
        <f>INDEX('vehicles specifications'!$B$3:$CK$86,MATCH(B96,'vehicles specifications'!$A$3:$A$86,0),MATCH(G123,'vehicles specifications'!$B$2:$CK$2,0))*INDEX('ei names mapping'!$B$137:$BK$220,MATCH(B96,'ei names mapping'!$A$137:$A$220,0),MATCH(G123,'ei names mapping'!$B$136:$BK$136,0))</f>
        <v>53</v>
      </c>
      <c r="C123" s="12" t="str">
        <f>INDEX('ei names mapping'!$B$38:$R$67,MATCH(B93,'ei names mapping'!$A$4:$A$33,0),MATCH(G123,'ei names mapping'!$B$3:$R$3,0))</f>
        <v>GLO</v>
      </c>
      <c r="D123" s="12" t="str">
        <f>INDEX('ei names mapping'!$B$104:$R$133,MATCH(B93,'ei names mapping'!$A$104:$A$133,0),MATCH(G123,'ei names mapping'!$B$3:$R$3,0))</f>
        <v>kilogram</v>
      </c>
      <c r="E123" s="12"/>
      <c r="F123" s="12" t="s">
        <v>91</v>
      </c>
      <c r="G123" s="21" t="s">
        <v>15</v>
      </c>
      <c r="H123" s="12" t="str">
        <f>INDEX('ei names mapping'!$B$71:$R$100,MATCH(B93,'ei names mapping'!$A$4:$A$33,0),MATCH(G123,'ei names mapping'!$B$3:$R$3,0))</f>
        <v>glider, for electric scooter</v>
      </c>
    </row>
    <row r="124" spans="1:8" s="21" customFormat="1" x14ac:dyDescent="0.3">
      <c r="A124" s="12" t="str">
        <f>INDEX('ei names mapping'!$B$4:$R$33,MATCH(B93,'ei names mapping'!$A$4:$A$33,0),MATCH(G124,'ei names mapping'!$B$3:$R$3,0))</f>
        <v>glider lightweighting</v>
      </c>
      <c r="B124" s="16">
        <f>INDEX('vehicles specifications'!$B$3:$CK$86,MATCH(B96,'vehicles specifications'!$A$3:$A$86,0),MATCH(G124,'vehicles specifications'!$B$2:$CK$2,0))*INDEX('ei names mapping'!$B$137:$BK$220,MATCH(B96,'ei names mapping'!$A$137:$A$220,0),MATCH(G124,'ei names mapping'!$B$136:$BK$136,0))</f>
        <v>2.6500000000000004</v>
      </c>
      <c r="C124" s="12" t="str">
        <f>INDEX('ei names mapping'!$B$38:$R$67,MATCH(B93,'ei names mapping'!$A$4:$A$33,0),MATCH(G124,'ei names mapping'!$B$3:$R$3,0))</f>
        <v>GLO</v>
      </c>
      <c r="D124" s="12" t="str">
        <f>INDEX('ei names mapping'!$B$104:$R$133,MATCH(B93,'ei names mapping'!$A$104:$A$133,0),MATCH(G124,'ei names mapping'!$B$3:$R$3,0))</f>
        <v>kilogram</v>
      </c>
      <c r="E124" s="12"/>
      <c r="F124" s="12" t="s">
        <v>91</v>
      </c>
      <c r="G124" s="21" t="s">
        <v>14</v>
      </c>
      <c r="H124" s="12" t="str">
        <f>INDEX('ei names mapping'!$B$71:$R$100,MATCH(B93,'ei names mapping'!$A$4:$A$33,0),MATCH(G124,'ei names mapping'!$B$3:$R$3,0))</f>
        <v>glider lightweighting</v>
      </c>
    </row>
    <row r="125" spans="1:8" x14ac:dyDescent="0.3">
      <c r="A125" s="12" t="str">
        <f>INDEX('ei names mapping'!$B$4:$R$33,MATCH(B93,'ei names mapping'!$A$4:$A$33,0),MATCH(G125,'ei names mapping'!$B$3:$R$3,0))</f>
        <v>market for glider, for electric scooter</v>
      </c>
      <c r="B125" s="16">
        <f>INDEX('vehicles specifications'!$B$3:$CK$86,MATCH(B96,'vehicles specifications'!$A$3:$A$86,0),MATCH(G125,'vehicles specifications'!$B$2:$CK$2,0))*INDEX('ei names mapping'!$B$137:$BK$220,MATCH(B96,'ei names mapping'!$A$137:$A$220,0),MATCH(G125,'ei names mapping'!$B$136:$BK$136,0))</f>
        <v>4.5</v>
      </c>
      <c r="C125" s="12" t="str">
        <f>INDEX('ei names mapping'!$B$38:$R$67,MATCH(B93,'ei names mapping'!$A$4:$A$33,0),MATCH(G125,'ei names mapping'!$B$3:$R$3,0))</f>
        <v>GLO</v>
      </c>
      <c r="D125" s="12" t="str">
        <f>INDEX('ei names mapping'!$B$104:$R$133,MATCH(B93,'ei names mapping'!$A$104:$A$133,0),MATCH(G125,'ei names mapping'!$B$3:$R$3,0))</f>
        <v>kilogram</v>
      </c>
      <c r="E125" s="12"/>
      <c r="F125" s="12" t="s">
        <v>91</v>
      </c>
      <c r="G125" t="s">
        <v>16</v>
      </c>
      <c r="H125" s="12" t="str">
        <f>INDEX('ei names mapping'!$B$71:$R$100,MATCH(B93,'ei names mapping'!$A$4:$A$33,0),MATCH(G125,'ei names mapping'!$B$3:$R$3,0))</f>
        <v>glider, for electric scooter</v>
      </c>
    </row>
    <row r="126" spans="1:8" x14ac:dyDescent="0.3">
      <c r="A126" s="12" t="str">
        <f>INDEX('ei names mapping'!$B$4:$R$33,MATCH(B93,'ei names mapping'!$A$4:$A$33,0),MATCH(G126,'ei names mapping'!$B$3:$R$3,0))</f>
        <v>market for electric powertrain, for electric scooter</v>
      </c>
      <c r="B126" s="16">
        <f>INDEX('vehicles specifications'!$B$3:$CK$86,MATCH(B96,'vehicles specifications'!$A$3:$A$86,0),MATCH(G126,'vehicles specifications'!$B$2:$CK$2,0))*INDEX('ei names mapping'!$B$137:$BK$220,MATCH(B96,'ei names mapping'!$A$137:$A$220,0),MATCH(G126,'ei names mapping'!$B$136:$BK$136,0))</f>
        <v>7.5</v>
      </c>
      <c r="C126" s="12" t="str">
        <f>INDEX('ei names mapping'!$B$38:$R$67,MATCH(B93,'ei names mapping'!$A$4:$A$33,0),MATCH(G126,'ei names mapping'!$B$3:$R$3,0))</f>
        <v>GLO</v>
      </c>
      <c r="D126" s="12" t="str">
        <f>INDEX('ei names mapping'!$B$104:$R$133,MATCH(B93,'ei names mapping'!$A$104:$A$133,0),MATCH(G126,'ei names mapping'!$B$3:$R$3,0))</f>
        <v>kilogram</v>
      </c>
      <c r="E126" s="12"/>
      <c r="F126" s="12" t="s">
        <v>91</v>
      </c>
      <c r="G126" t="s">
        <v>557</v>
      </c>
      <c r="H126" s="12" t="str">
        <f>INDEX('ei names mapping'!$B$71:$R$100,MATCH(B93,'ei names mapping'!$A$4:$A$33,0),MATCH(G126,'ei names mapping'!$B$3:$R$3,0))</f>
        <v>powertrain, for electric scooter</v>
      </c>
    </row>
    <row r="127" spans="1:8" x14ac:dyDescent="0.3">
      <c r="A127" s="12" t="str">
        <f>INDEX('ei names mapping'!$B$4:$R$33,MATCH(B93,'ei names mapping'!$A$4:$A$33,0),MATCH(G127,'ei names mapping'!$B$3:$R$3,0))</f>
        <v>Battery cell, NMC</v>
      </c>
      <c r="B127" s="16">
        <f>INDEX('vehicles specifications'!$B$3:$CK$86,MATCH(B96,'vehicles specifications'!$A$3:$A$86,0),MATCH(G127,'vehicles specifications'!$B$2:$CK$2,0))*INDEX('ei names mapping'!$B$137:$BK$220,MATCH(B96,'ei names mapping'!$A$137:$A$220,0),MATCH(G127,'ei names mapping'!$B$136:$BK$136,0))</f>
        <v>14.0625</v>
      </c>
      <c r="C127" s="12" t="str">
        <f>INDEX('ei names mapping'!$B$38:$R$67,MATCH(B93,'ei names mapping'!$A$4:$A$33,0),MATCH(G127,'ei names mapping'!$B$3:$R$3,0))</f>
        <v>GLO</v>
      </c>
      <c r="D127" s="12" t="str">
        <f>INDEX('ei names mapping'!$B$104:$R$133,MATCH(B93,'ei names mapping'!$A$104:$A$133,0),MATCH(G127,'ei names mapping'!$B$3:$R$3,0))</f>
        <v>kilogram</v>
      </c>
      <c r="E127" s="12"/>
      <c r="F127" s="12" t="s">
        <v>91</v>
      </c>
      <c r="G127" t="s">
        <v>19</v>
      </c>
      <c r="H127" s="12" t="str">
        <f>INDEX('ei names mapping'!$B$71:$R$100,MATCH(B93,'ei names mapping'!$A$4:$A$33,0),MATCH(G127,'ei names mapping'!$B$3:$R$3,0))</f>
        <v>Battery cell</v>
      </c>
    </row>
    <row r="128" spans="1:8" x14ac:dyDescent="0.3">
      <c r="A128" s="12" t="str">
        <f>INDEX('ei names mapping'!$B$4:$R$33,MATCH(B93,'ei names mapping'!$A$4:$A$33,0),MATCH(G128,'ei names mapping'!$B$3:$R$3,0))</f>
        <v>Battery BoP</v>
      </c>
      <c r="B128" s="16">
        <f>INDEX('vehicles specifications'!$B$3:$CK$86,MATCH(B96,'vehicles specifications'!$A$3:$A$86,0),MATCH(G128,'vehicles specifications'!$B$2:$CK$2,0))*INDEX('ei names mapping'!$B$137:$BK$220,MATCH(B96,'ei names mapping'!$A$137:$A$220,0),MATCH(G128,'ei names mapping'!$B$136:$BK$136,0))</f>
        <v>2.8125</v>
      </c>
      <c r="C128" s="12" t="str">
        <f>INDEX('ei names mapping'!$B$38:$R$67,MATCH(B93,'ei names mapping'!$A$4:$A$33,0),MATCH(G128,'ei names mapping'!$B$3:$R$3,0))</f>
        <v>GLO</v>
      </c>
      <c r="D128" s="12" t="str">
        <f>INDEX('ei names mapping'!$B$104:$R$133,MATCH(B93,'ei names mapping'!$A$104:$A$133,0),MATCH(G128,'ei names mapping'!$B$3:$R$3,0))</f>
        <v>kilogram</v>
      </c>
      <c r="E128" s="12"/>
      <c r="F128" s="12" t="s">
        <v>91</v>
      </c>
      <c r="G128" t="s">
        <v>20</v>
      </c>
      <c r="H128" s="12" t="str">
        <f>INDEX('ei names mapping'!$B$71:$R$100,MATCH(B93,'ei names mapping'!$A$4:$A$33,0),MATCH(G128,'ei names mapping'!$B$3:$R$3,0))</f>
        <v>Battery BoP</v>
      </c>
    </row>
    <row r="129" spans="1:8" x14ac:dyDescent="0.3">
      <c r="A129" s="12" t="str">
        <f>INDEX('ei names mapping'!$B$4:$R$33,MATCH(B93,'ei names mapping'!$A$4:$A$33,0),MATCH(G129,'ei names mapping'!$B$3:$R$3,0))</f>
        <v>charging station, 3kW</v>
      </c>
      <c r="B129" s="16">
        <f>INDEX('vehicles specifications'!$B$3:$CK$86,MATCH(B96,'vehicles specifications'!$A$3:$A$86,0),MATCH(G129,'vehicles specifications'!$B$2:$CK$2,0))*INDEX('ei names mapping'!$B$137:$BK$220,MATCH(B96,'ei names mapping'!$A$137:$A$220,0),MATCH(G129,'ei names mapping'!$B$136:$BK$136,0))</f>
        <v>1</v>
      </c>
      <c r="C129" s="12" t="str">
        <f>INDEX('ei names mapping'!$B$38:$R$67,MATCH(B93,'ei names mapping'!$A$4:$A$33,0),MATCH(G129,'ei names mapping'!$B$3:$R$3,0))</f>
        <v>GLO</v>
      </c>
      <c r="D129" s="12" t="str">
        <f>INDEX('ei names mapping'!$B$104:$R$133,MATCH(B93,'ei names mapping'!$A$104:$A$133,0),MATCH(G129,'ei names mapping'!$B$3:$R$3,0))</f>
        <v>unit</v>
      </c>
      <c r="E129" s="12"/>
      <c r="F129" s="12" t="s">
        <v>91</v>
      </c>
      <c r="G129" t="s">
        <v>53</v>
      </c>
      <c r="H129" s="12" t="str">
        <f>INDEX('ei names mapping'!$B$71:$R$100,MATCH(B93,'ei names mapping'!$A$4:$A$33,0),MATCH(G129,'ei names mapping'!$B$3:$R$3,0))</f>
        <v>charging station, 3kW</v>
      </c>
    </row>
    <row r="130" spans="1:8" x14ac:dyDescent="0.3">
      <c r="A130" s="12" t="str">
        <f>INDEX('ei names mapping'!$B$4:$R$33,MATCH(B93,'ei names mapping'!$A$4:$A$33,0),MATCH(G130,'ei names mapping'!$B$3:$R$3,0))</f>
        <v>manual dismantling of used electric scooter</v>
      </c>
      <c r="B130" s="16">
        <f>INDEX('vehicles specifications'!$B$3:$CK$86,MATCH(B96,'vehicles specifications'!$A$3:$A$86,0),MATCH(G130,'vehicles specifications'!$B$2:$CK$2,0))*INDEX('ei names mapping'!$B$137:$BK$220,MATCH(B96,'ei names mapping'!$A$137:$A$220,0),MATCH(G130,'ei names mapping'!$B$136:$BK$136,0))</f>
        <v>50.349999999999994</v>
      </c>
      <c r="C130" s="12" t="str">
        <f>INDEX('ei names mapping'!$B$38:$R$67,MATCH(B93,'ei names mapping'!$A$4:$A$33,0),MATCH(G130,'ei names mapping'!$B$3:$R$3,0))</f>
        <v>GLO</v>
      </c>
      <c r="D130" s="12" t="str">
        <f>INDEX('ei names mapping'!$B$104:$R$133,MATCH(B93,'ei names mapping'!$A$104:$A$133,0),MATCH(G130,'ei names mapping'!$B$3:$R$3,0))</f>
        <v>unit</v>
      </c>
      <c r="E130" s="12"/>
      <c r="F130" s="12" t="s">
        <v>91</v>
      </c>
      <c r="G130" t="s">
        <v>150</v>
      </c>
      <c r="H130" s="12" t="str">
        <f>INDEX('ei names mapping'!$B$71:$R$100,MATCH(B93,'ei names mapping'!$A$4:$A$33,0),MATCH(G130,'ei names mapping'!$B$3:$R$3,0))</f>
        <v>manual dismantling of electric scooter</v>
      </c>
    </row>
    <row r="131" spans="1:8" x14ac:dyDescent="0.3">
      <c r="A131" s="12" t="str">
        <f>INDEX('ei names mapping'!$B$4:$R$33,MATCH(B93,'ei names mapping'!$A$4:$A$33,0),MATCH(G131,'ei names mapping'!$B$3:$R$3,0))</f>
        <v>manual dismantling of used electric scooter</v>
      </c>
      <c r="B131" s="16">
        <f>INDEX('vehicles specifications'!$B$3:$CK$86,MATCH(B96,'vehicles specifications'!$A$3:$A$86,0),MATCH(G131,'vehicles specifications'!$B$2:$CK$2,0))*INDEX('ei names mapping'!$B$137:$BK$220,MATCH(B96,'ei names mapping'!$A$137:$A$220,0),MATCH(G131,'ei names mapping'!$B$136:$BK$136,0))</f>
        <v>12</v>
      </c>
      <c r="C131" s="12" t="str">
        <f>INDEX('ei names mapping'!$B$38:$R$67,MATCH(B93,'ei names mapping'!$A$4:$A$33,0),MATCH(G131,'ei names mapping'!$B$3:$R$3,0))</f>
        <v>GLO</v>
      </c>
      <c r="D131" s="12" t="str">
        <f>INDEX('ei names mapping'!$B$104:$R$133,MATCH(B93,'ei names mapping'!$A$104:$A$133,0),MATCH(G131,'ei names mapping'!$B$3:$R$3,0))</f>
        <v>unit</v>
      </c>
      <c r="E131" s="12"/>
      <c r="F131" s="12" t="s">
        <v>91</v>
      </c>
      <c r="G131" t="s">
        <v>151</v>
      </c>
      <c r="H131" s="12" t="str">
        <f>INDEX('ei names mapping'!$B$71:$R$100,MATCH(B93,'ei names mapping'!$A$4:$A$33,0),MATCH(G131,'ei names mapping'!$B$3:$R$3,0))</f>
        <v>manual dismantling of electric scooter</v>
      </c>
    </row>
    <row r="132" spans="1:8" x14ac:dyDescent="0.3">
      <c r="A132" s="12" t="str">
        <f>INDEX('ei names mapping'!$B$4:$R$33,MATCH(B93,'ei names mapping'!$A$4:$A$33,0),MATCH(G132,'ei names mapping'!$B$3:$R$3,0))</f>
        <v>market for used Li-ion battery</v>
      </c>
      <c r="B132" s="16">
        <f>INDEX('vehicles specifications'!$B$3:$CK$86,MATCH(B96,'vehicles specifications'!$A$3:$A$86,0),MATCH(G132,'vehicles specifications'!$B$2:$CK$2,0))*INDEX('ei names mapping'!$B$137:$BK$220,MATCH(B96,'ei names mapping'!$A$137:$A$220,0),MATCH(G132,'ei names mapping'!$B$136:$BK$136,0))</f>
        <v>-16.875</v>
      </c>
      <c r="C132" s="12" t="str">
        <f>INDEX('ei names mapping'!$B$38:$R$67,MATCH(B93,'ei names mapping'!$A$4:$A$33,0),MATCH(G132,'ei names mapping'!$B$3:$R$3,0))</f>
        <v>GLO</v>
      </c>
      <c r="D132" s="12" t="str">
        <f>INDEX('ei names mapping'!$B$104:$R$133,MATCH(B97,'ei names mapping'!$A$104:$A$133,0),MATCH(G132,'ei names mapping'!$B$3:$R$3,0))</f>
        <v>kilogram</v>
      </c>
      <c r="E132" s="12"/>
      <c r="F132" s="12" t="s">
        <v>91</v>
      </c>
      <c r="G132" t="s">
        <v>152</v>
      </c>
      <c r="H132" s="12" t="str">
        <f>INDEX('ei names mapping'!$B$71:$R$100,MATCH(B93,'ei names mapping'!$A$4:$A$33,0),MATCH(G132,'ei names mapping'!$B$3:$R$3,0))</f>
        <v>used Li-ion battery</v>
      </c>
    </row>
    <row r="133" spans="1:8" s="21" customFormat="1" x14ac:dyDescent="0.3">
      <c r="A133" s="22" t="s">
        <v>468</v>
      </c>
      <c r="B133" s="21">
        <f>(B106/1000)*B118</f>
        <v>75.849999999999994</v>
      </c>
      <c r="C133" s="21" t="s">
        <v>94</v>
      </c>
      <c r="D133" s="21" t="s">
        <v>243</v>
      </c>
      <c r="F133" s="21" t="s">
        <v>91</v>
      </c>
      <c r="H133" s="22" t="s">
        <v>469</v>
      </c>
    </row>
    <row r="134" spans="1:8" s="21" customFormat="1" x14ac:dyDescent="0.3">
      <c r="A134" s="22" t="s">
        <v>467</v>
      </c>
      <c r="B134" s="2">
        <f>(B106/1000)*B117</f>
        <v>1206.0150000000001</v>
      </c>
      <c r="C134" s="21" t="s">
        <v>98</v>
      </c>
      <c r="D134" s="21" t="s">
        <v>243</v>
      </c>
      <c r="F134" s="21" t="s">
        <v>91</v>
      </c>
      <c r="H134" s="22" t="s">
        <v>467</v>
      </c>
    </row>
    <row r="136" spans="1:8" ht="15.6" x14ac:dyDescent="0.3">
      <c r="A136" s="11" t="s">
        <v>72</v>
      </c>
      <c r="B136" s="9" t="str">
        <f>B138&amp;", "&amp;B140</f>
        <v>Motorbike, electric, &lt;4kW, 2050</v>
      </c>
    </row>
    <row r="137" spans="1:8" x14ac:dyDescent="0.3">
      <c r="A137" t="s">
        <v>73</v>
      </c>
      <c r="B137" t="s">
        <v>37</v>
      </c>
    </row>
    <row r="138" spans="1:8" x14ac:dyDescent="0.3">
      <c r="A138" t="s">
        <v>87</v>
      </c>
      <c r="B138" t="s">
        <v>520</v>
      </c>
    </row>
    <row r="139" spans="1:8" x14ac:dyDescent="0.3">
      <c r="A139" t="s">
        <v>88</v>
      </c>
      <c r="B139" s="12"/>
    </row>
    <row r="140" spans="1:8" x14ac:dyDescent="0.3">
      <c r="A140" t="s">
        <v>89</v>
      </c>
      <c r="B140" s="12">
        <v>2050</v>
      </c>
    </row>
    <row r="141" spans="1:8" x14ac:dyDescent="0.3">
      <c r="A141" t="s">
        <v>131</v>
      </c>
      <c r="B141" s="12" t="str">
        <f>B138&amp;" - "&amp;B140&amp;" - "&amp;B137</f>
        <v>Motorbike, electric, &lt;4kW - 2050 - CH</v>
      </c>
    </row>
    <row r="142" spans="1:8" x14ac:dyDescent="0.3">
      <c r="A142" t="s">
        <v>74</v>
      </c>
      <c r="B142" t="str">
        <f>B138</f>
        <v>Motorbike, electric, &lt;4kW</v>
      </c>
    </row>
    <row r="143" spans="1:8" x14ac:dyDescent="0.3">
      <c r="A143" t="s">
        <v>75</v>
      </c>
      <c r="B143" t="s">
        <v>76</v>
      </c>
    </row>
    <row r="144" spans="1:8" x14ac:dyDescent="0.3">
      <c r="A144" t="s">
        <v>77</v>
      </c>
      <c r="B144" t="s">
        <v>77</v>
      </c>
    </row>
    <row r="145" spans="1:2" x14ac:dyDescent="0.3">
      <c r="A145" t="s">
        <v>79</v>
      </c>
      <c r="B145" t="s">
        <v>90</v>
      </c>
    </row>
    <row r="146" spans="1:2" x14ac:dyDescent="0.3">
      <c r="A146" t="s">
        <v>132</v>
      </c>
      <c r="B146">
        <f>INDEX('vehicles specifications'!$B$3:$CK$86,MATCH(B141,'vehicles specifications'!$A$3:$A$86,0),MATCH("Lifetime [km]",'vehicles specifications'!$B$2:$CK$2,0))</f>
        <v>33400</v>
      </c>
    </row>
    <row r="147" spans="1:2" x14ac:dyDescent="0.3">
      <c r="A147" t="s">
        <v>133</v>
      </c>
      <c r="B147">
        <f>INDEX('vehicles specifications'!$B$3:$CK$86,MATCH(B141,'vehicles specifications'!$A$3:$A$86,0),MATCH("Passengers [unit]",'vehicles specifications'!$B$2:$CK$2,0))</f>
        <v>1.1000000000000001</v>
      </c>
    </row>
    <row r="148" spans="1:2" x14ac:dyDescent="0.3">
      <c r="A148" t="s">
        <v>134</v>
      </c>
      <c r="B148">
        <f>INDEX('vehicles specifications'!$B$3:$CK$86,MATCH(B141,'vehicles specifications'!$A$3:$A$86,0),MATCH("Servicing [unit]",'vehicles specifications'!$B$2:$CK$2,0))</f>
        <v>0.66800000000000004</v>
      </c>
    </row>
    <row r="149" spans="1:2" x14ac:dyDescent="0.3">
      <c r="A149" t="s">
        <v>135</v>
      </c>
      <c r="B149">
        <f>INDEX('vehicles specifications'!$B$3:$CK$86,MATCH(B141,'vehicles specifications'!$A$3:$A$86,0),MATCH("Energy battery replacement [unit]",'vehicles specifications'!$B$2:$CK$2,0))</f>
        <v>0</v>
      </c>
    </row>
    <row r="150" spans="1:2" x14ac:dyDescent="0.3">
      <c r="A150" t="s">
        <v>136</v>
      </c>
      <c r="B150">
        <f>INDEX('vehicles specifications'!$B$3:$CK$86,MATCH(B141,'vehicles specifications'!$A$3:$A$86,0),MATCH("Annual kilometers [km]",'vehicles specifications'!$B$2:$CK$2,0))</f>
        <v>2553</v>
      </c>
    </row>
    <row r="151" spans="1:2" x14ac:dyDescent="0.3">
      <c r="A151" t="s">
        <v>137</v>
      </c>
      <c r="B151" s="2">
        <f>INDEX('vehicles specifications'!$B$3:$CK$86,MATCH(B141,'vehicles specifications'!$A$3:$A$86,0),MATCH("Curb mass [kg]",'vehicles specifications'!$B$2:$CK$2,0))</f>
        <v>75.69</v>
      </c>
    </row>
    <row r="152" spans="1:2" x14ac:dyDescent="0.3">
      <c r="A152" t="s">
        <v>138</v>
      </c>
      <c r="B152">
        <f>INDEX('vehicles specifications'!$B$3:$CK$86,MATCH(B141,'vehicles specifications'!$A$3:$A$86,0),MATCH("Power [kW]",'vehicles specifications'!$B$2:$CK$2,0))</f>
        <v>2.5</v>
      </c>
    </row>
    <row r="153" spans="1:2" x14ac:dyDescent="0.3">
      <c r="A153" t="s">
        <v>139</v>
      </c>
      <c r="B153">
        <f>INDEX('vehicles specifications'!$B$3:$CK$86,MATCH(B141,'vehicles specifications'!$A$3:$A$86,0),MATCH("Energy battery mass [kg]",'vehicles specifications'!$B$2:$CK$2,0))</f>
        <v>14.4</v>
      </c>
    </row>
    <row r="154" spans="1:2" x14ac:dyDescent="0.3">
      <c r="A154" t="s">
        <v>140</v>
      </c>
      <c r="B154" s="21">
        <f>INDEX('vehicles specifications'!$B$3:$CK$86,MATCH(B141,'vehicles specifications'!$A$3:$A$86,0),MATCH("Electric energy stored [kWh]",'vehicles specifications'!$B$2:$CK$2,0))</f>
        <v>6</v>
      </c>
    </row>
    <row r="155" spans="1:2" s="21" customFormat="1" x14ac:dyDescent="0.3">
      <c r="A155" s="21" t="s">
        <v>654</v>
      </c>
      <c r="B155" s="21">
        <f>INDEX('vehicles specifications'!$B$3:$CK$86,MATCH(B141,'vehicles specifications'!$A$3:$A$86,0),MATCH("Electric energy available [kWh]",'vehicles specifications'!$B$2:$CK$2,0))</f>
        <v>4.8000000000000007</v>
      </c>
    </row>
    <row r="156" spans="1:2" x14ac:dyDescent="0.3">
      <c r="A156" t="s">
        <v>143</v>
      </c>
      <c r="B156" s="2">
        <f>INDEX('vehicles specifications'!$B$3:$CK$86,MATCH(B141,'vehicles specifications'!$A$3:$A$86,0),MATCH("Oxydation energy stored [kWh]",'vehicles specifications'!$B$2:$CK$2,0))</f>
        <v>0</v>
      </c>
    </row>
    <row r="157" spans="1:2" x14ac:dyDescent="0.3">
      <c r="A157" t="s">
        <v>145</v>
      </c>
      <c r="B157">
        <f>INDEX('vehicles specifications'!$B$3:$CK$86,MATCH(B141,'vehicles specifications'!$A$3:$A$86,0),MATCH("Fuel mass [kg]",'vehicles specifications'!$B$2:$CK$2,0))</f>
        <v>0</v>
      </c>
    </row>
    <row r="158" spans="1:2" x14ac:dyDescent="0.3">
      <c r="A158" t="s">
        <v>141</v>
      </c>
      <c r="B158" s="2">
        <f>INDEX('vehicles specifications'!$B$3:$CK$86,MATCH(B141,'vehicles specifications'!$A$3:$A$86,0),MATCH("Range [km]",'vehicles specifications'!$B$2:$CK$2,0))</f>
        <v>142.80991735537191</v>
      </c>
    </row>
    <row r="159" spans="1:2" x14ac:dyDescent="0.3">
      <c r="A159" t="s">
        <v>142</v>
      </c>
      <c r="B159" t="str">
        <f>INDEX('vehicles specifications'!$B$3:$CK$86,MATCH(B141,'vehicles specifications'!$A$3:$A$86,0),MATCH("Emission standard",'vehicles specifications'!$B$2:$CK$2,0))</f>
        <v>None</v>
      </c>
    </row>
    <row r="160" spans="1:2" x14ac:dyDescent="0.3">
      <c r="A160" t="s">
        <v>144</v>
      </c>
      <c r="B160" s="6">
        <f>INDEX('vehicles specifications'!$B$3:$CK$86,MATCH(B141,'vehicles specifications'!$A$3:$A$86,0),MATCH("Lightweighting rate [%]",'vehicles specifications'!$B$2:$CK$2,0))</f>
        <v>7.0000000000000007E-2</v>
      </c>
    </row>
    <row r="161" spans="1:8" s="21" customFormat="1" x14ac:dyDescent="0.3">
      <c r="A161" s="21" t="s">
        <v>513</v>
      </c>
      <c r="B161" s="6" t="s">
        <v>514</v>
      </c>
    </row>
    <row r="162" spans="1:8" s="21" customFormat="1" x14ac:dyDescent="0.3">
      <c r="A162" s="21" t="s">
        <v>515</v>
      </c>
      <c r="B162" s="2">
        <v>15900</v>
      </c>
    </row>
    <row r="163" spans="1:8" s="21" customFormat="1" x14ac:dyDescent="0.3">
      <c r="A163" s="21" t="s">
        <v>516</v>
      </c>
      <c r="B163" s="2">
        <v>1000</v>
      </c>
    </row>
    <row r="164" spans="1:8" x14ac:dyDescent="0.3">
      <c r="A164" t="s">
        <v>84</v>
      </c>
      <c r="B164" s="21" t="str">
        <f>"Power: "&amp;B152&amp;" kW. Lifetime: "&amp;B146&amp;" km. Annual kilometers: "&amp;ROUND(B150,0)&amp;" km. Number of passengers: "&amp;ROUND(B147,1)&amp;". Curb mass: "&amp;ROUND(B151,1)&amp;" kg. Lightweighting of glider: "&amp;ROUND(B160*100,0)&amp;"%. Emission standard: "&amp;B159&amp;". Service visits throughout lifetime: "&amp;ROUND(B148,1)&amp;". Range: "&amp;ROUND(B158,0)&amp;" km. Battery capacity: "&amp;ROUND(B154,1)&amp;" kWh. Available battery capacity: "&amp;B155&amp;" kWh. Battery mass: "&amp;ROUND(B153,1)&amp; " kg. Battery replacement throughout lifetime: "&amp;ROUND(B149,1)&amp;". Fuel tank capacity: "&amp;ROUND(B156,1)&amp;" kWh. Fuel mass: "&amp;ROUND(B157,1)&amp;" kg. Origin of manufacture: "&amp;B161&amp;". Shipping distance: "&amp;B162&amp;" km. Lorry distribution distance: "&amp;B163&amp;" km. Documentation: "&amp;Readmefirst!$B$2&amp;", "&amp;Readmefirst!$B$3&amp;". "&amp;'lci-kick scooter'!B145</f>
        <v>Power: 2.5 kW. Lifetime: 33400 km. Annual kilometers: 2553 km. Number of passengers: 1.1. Curb mass: 75.7 kg. Lightweighting of glider: 7%. Emission standard: None. Service visits throughout lifetime: 0.7. Range: 143 km. Battery capacity: 6 kWh. Available battery capacity: 4.8 kWh. Battery mass: 14.4 kg. Battery replacement throughout lifetime: 0. Fuel tank capacity: 0 kWh. Fuel mass: 0 kg. Origin of manufacture: China. Shipping distance: 15900 km. Lorry distribution distance: 1000 km. Documentation: 2021 UVEK life-cycle inventories update of on-road vehicles, Sacchi R. (PSI), Bauer C. (PSI), 2021. 0</v>
      </c>
    </row>
    <row r="165" spans="1:8" ht="15.6" x14ac:dyDescent="0.3">
      <c r="A165" s="11" t="s">
        <v>80</v>
      </c>
    </row>
    <row r="166" spans="1:8" x14ac:dyDescent="0.3">
      <c r="A166" t="s">
        <v>81</v>
      </c>
      <c r="B166" t="s">
        <v>82</v>
      </c>
      <c r="C166" t="s">
        <v>73</v>
      </c>
      <c r="D166" t="s">
        <v>77</v>
      </c>
      <c r="E166" t="s">
        <v>83</v>
      </c>
      <c r="F166" t="s">
        <v>75</v>
      </c>
      <c r="G166" t="s">
        <v>84</v>
      </c>
      <c r="H166" t="s">
        <v>74</v>
      </c>
    </row>
    <row r="167" spans="1:8" x14ac:dyDescent="0.3">
      <c r="A167" s="12" t="str">
        <f>B136</f>
        <v>Motorbike, electric, &lt;4kW, 2050</v>
      </c>
      <c r="B167" s="12">
        <v>1</v>
      </c>
      <c r="C167" s="12" t="str">
        <f>B137</f>
        <v>CH</v>
      </c>
      <c r="D167" s="12" t="str">
        <f>B144</f>
        <v>unit</v>
      </c>
      <c r="E167" s="12"/>
      <c r="F167" s="12" t="s">
        <v>85</v>
      </c>
      <c r="G167" s="12" t="s">
        <v>86</v>
      </c>
      <c r="H167" s="12" t="str">
        <f>B138</f>
        <v>Motorbike, electric, &lt;4kW</v>
      </c>
    </row>
    <row r="168" spans="1:8" x14ac:dyDescent="0.3">
      <c r="A168" s="12" t="str">
        <f>INDEX('ei names mapping'!$B$4:$R$33,MATCH(B138,'ei names mapping'!$A$4:$A$33,0),MATCH(G168,'ei names mapping'!$B$3:$R$3,0))</f>
        <v>market for glider, for electric scooter</v>
      </c>
      <c r="B168" s="16">
        <f>INDEX('vehicles specifications'!$B$3:$CK$86,MATCH(B141,'vehicles specifications'!$A$3:$A$86,0),MATCH(G168,'vehicles specifications'!$B$2:$CK$2,0))*INDEX('ei names mapping'!$B$137:$BK$220,MATCH(B141,'ei names mapping'!$A$137:$A$220,0),MATCH(G168,'ei names mapping'!$B$136:$BK$136,0))</f>
        <v>53</v>
      </c>
      <c r="C168" s="12" t="str">
        <f>INDEX('ei names mapping'!$B$38:$R$67,MATCH(B138,'ei names mapping'!$A$4:$A$33,0),MATCH(G168,'ei names mapping'!$B$3:$R$3,0))</f>
        <v>GLO</v>
      </c>
      <c r="D168" s="12" t="str">
        <f>INDEX('ei names mapping'!$B$104:$R$133,MATCH(B138,'ei names mapping'!$A$104:$A$133,0),MATCH(G168,'ei names mapping'!$B$3:$R$3,0))</f>
        <v>kilogram</v>
      </c>
      <c r="E168" s="12"/>
      <c r="F168" s="12" t="s">
        <v>91</v>
      </c>
      <c r="G168" s="21" t="s">
        <v>15</v>
      </c>
      <c r="H168" s="12" t="str">
        <f>INDEX('ei names mapping'!$B$71:$R$100,MATCH(B138,'ei names mapping'!$A$4:$A$33,0),MATCH(G168,'ei names mapping'!$B$3:$R$3,0))</f>
        <v>glider, for electric scooter</v>
      </c>
    </row>
    <row r="169" spans="1:8" s="21" customFormat="1" x14ac:dyDescent="0.3">
      <c r="A169" s="12" t="str">
        <f>INDEX('ei names mapping'!$B$4:$R$33,MATCH(B138,'ei names mapping'!$A$4:$A$33,0),MATCH(G169,'ei names mapping'!$B$3:$R$3,0))</f>
        <v>glider lightweighting</v>
      </c>
      <c r="B169" s="16">
        <f>INDEX('vehicles specifications'!$B$3:$CK$86,MATCH(B141,'vehicles specifications'!$A$3:$A$86,0),MATCH(G169,'vehicles specifications'!$B$2:$CK$2,0))*INDEX('ei names mapping'!$B$137:$BK$220,MATCH(B141,'ei names mapping'!$A$137:$A$220,0),MATCH(G169,'ei names mapping'!$B$136:$BK$136,0))</f>
        <v>3.7100000000000004</v>
      </c>
      <c r="C169" s="12" t="str">
        <f>INDEX('ei names mapping'!$B$38:$R$67,MATCH(B138,'ei names mapping'!$A$4:$A$33,0),MATCH(G169,'ei names mapping'!$B$3:$R$3,0))</f>
        <v>GLO</v>
      </c>
      <c r="D169" s="12" t="str">
        <f>INDEX('ei names mapping'!$B$104:$R$133,MATCH(B138,'ei names mapping'!$A$104:$A$133,0),MATCH(G169,'ei names mapping'!$B$3:$R$3,0))</f>
        <v>kilogram</v>
      </c>
      <c r="E169" s="12"/>
      <c r="F169" s="12" t="s">
        <v>91</v>
      </c>
      <c r="G169" s="21" t="s">
        <v>14</v>
      </c>
      <c r="H169" s="12" t="str">
        <f>INDEX('ei names mapping'!$B$71:$R$100,MATCH(B138,'ei names mapping'!$A$4:$A$33,0),MATCH(G169,'ei names mapping'!$B$3:$R$3,0))</f>
        <v>glider lightweighting</v>
      </c>
    </row>
    <row r="170" spans="1:8" x14ac:dyDescent="0.3">
      <c r="A170" s="12" t="str">
        <f>INDEX('ei names mapping'!$B$4:$R$33,MATCH(B138,'ei names mapping'!$A$4:$A$33,0),MATCH(G170,'ei names mapping'!$B$3:$R$3,0))</f>
        <v>market for glider, for electric scooter</v>
      </c>
      <c r="B170" s="16">
        <f>INDEX('vehicles specifications'!$B$3:$CK$86,MATCH(B141,'vehicles specifications'!$A$3:$A$86,0),MATCH(G170,'vehicles specifications'!$B$2:$CK$2,0))*INDEX('ei names mapping'!$B$137:$BK$220,MATCH(B141,'ei names mapping'!$A$137:$A$220,0),MATCH(G170,'ei names mapping'!$B$136:$BK$136,0))</f>
        <v>4.5</v>
      </c>
      <c r="C170" s="12" t="str">
        <f>INDEX('ei names mapping'!$B$38:$R$67,MATCH(B138,'ei names mapping'!$A$4:$A$33,0),MATCH(G170,'ei names mapping'!$B$3:$R$3,0))</f>
        <v>GLO</v>
      </c>
      <c r="D170" s="12" t="str">
        <f>INDEX('ei names mapping'!$B$104:$R$133,MATCH(B138,'ei names mapping'!$A$104:$A$133,0),MATCH(G170,'ei names mapping'!$B$3:$R$3,0))</f>
        <v>kilogram</v>
      </c>
      <c r="E170" s="12"/>
      <c r="F170" s="12" t="s">
        <v>91</v>
      </c>
      <c r="G170" t="s">
        <v>16</v>
      </c>
      <c r="H170" s="12" t="str">
        <f>INDEX('ei names mapping'!$B$71:$R$100,MATCH(B138,'ei names mapping'!$A$4:$A$33,0),MATCH(G170,'ei names mapping'!$B$3:$R$3,0))</f>
        <v>glider, for electric scooter</v>
      </c>
    </row>
    <row r="171" spans="1:8" x14ac:dyDescent="0.3">
      <c r="A171" s="12" t="str">
        <f>INDEX('ei names mapping'!$B$4:$R$33,MATCH(B138,'ei names mapping'!$A$4:$A$33,0),MATCH(G171,'ei names mapping'!$B$3:$R$3,0))</f>
        <v>market for electric powertrain, for electric scooter</v>
      </c>
      <c r="B171" s="16">
        <f>INDEX('vehicles specifications'!$B$3:$CK$86,MATCH(B141,'vehicles specifications'!$A$3:$A$86,0),MATCH(G171,'vehicles specifications'!$B$2:$CK$2,0))*INDEX('ei names mapping'!$B$137:$BK$220,MATCH(B141,'ei names mapping'!$A$137:$A$220,0),MATCH(G171,'ei names mapping'!$B$136:$BK$136,0))</f>
        <v>7.5</v>
      </c>
      <c r="C171" s="12" t="str">
        <f>INDEX('ei names mapping'!$B$38:$R$67,MATCH(B138,'ei names mapping'!$A$4:$A$33,0),MATCH(G171,'ei names mapping'!$B$3:$R$3,0))</f>
        <v>GLO</v>
      </c>
      <c r="D171" s="12" t="str">
        <f>INDEX('ei names mapping'!$B$104:$R$133,MATCH(B138,'ei names mapping'!$A$104:$A$133,0),MATCH(G171,'ei names mapping'!$B$3:$R$3,0))</f>
        <v>kilogram</v>
      </c>
      <c r="E171" s="12"/>
      <c r="F171" s="12" t="s">
        <v>91</v>
      </c>
      <c r="G171" t="s">
        <v>557</v>
      </c>
      <c r="H171" s="12" t="str">
        <f>INDEX('ei names mapping'!$B$71:$R$100,MATCH(B138,'ei names mapping'!$A$4:$A$33,0),MATCH(G171,'ei names mapping'!$B$3:$R$3,0))</f>
        <v>powertrain, for electric scooter</v>
      </c>
    </row>
    <row r="172" spans="1:8" x14ac:dyDescent="0.3">
      <c r="A172" s="12" t="str">
        <f>INDEX('ei names mapping'!$B$4:$R$33,MATCH(B138,'ei names mapping'!$A$4:$A$33,0),MATCH(G172,'ei names mapping'!$B$3:$R$3,0))</f>
        <v>Battery cell, NMC</v>
      </c>
      <c r="B172" s="16">
        <f>INDEX('vehicles specifications'!$B$3:$CK$86,MATCH(B141,'vehicles specifications'!$A$3:$A$86,0),MATCH(G172,'vehicles specifications'!$B$2:$CK$2,0))*INDEX('ei names mapping'!$B$137:$BK$220,MATCH(B141,'ei names mapping'!$A$137:$A$220,0),MATCH(G172,'ei names mapping'!$B$136:$BK$136,0))</f>
        <v>12</v>
      </c>
      <c r="C172" s="12" t="str">
        <f>INDEX('ei names mapping'!$B$38:$R$67,MATCH(B138,'ei names mapping'!$A$4:$A$33,0),MATCH(G172,'ei names mapping'!$B$3:$R$3,0))</f>
        <v>GLO</v>
      </c>
      <c r="D172" s="12" t="str">
        <f>INDEX('ei names mapping'!$B$104:$R$133,MATCH(B138,'ei names mapping'!$A$104:$A$133,0),MATCH(G172,'ei names mapping'!$B$3:$R$3,0))</f>
        <v>kilogram</v>
      </c>
      <c r="E172" s="12"/>
      <c r="F172" s="12" t="s">
        <v>91</v>
      </c>
      <c r="G172" t="s">
        <v>19</v>
      </c>
      <c r="H172" s="12" t="str">
        <f>INDEX('ei names mapping'!$B$71:$R$100,MATCH(B138,'ei names mapping'!$A$4:$A$33,0),MATCH(G172,'ei names mapping'!$B$3:$R$3,0))</f>
        <v>Battery cell</v>
      </c>
    </row>
    <row r="173" spans="1:8" x14ac:dyDescent="0.3">
      <c r="A173" s="12" t="str">
        <f>INDEX('ei names mapping'!$B$4:$R$33,MATCH(B138,'ei names mapping'!$A$4:$A$33,0),MATCH(G173,'ei names mapping'!$B$3:$R$3,0))</f>
        <v>Battery BoP</v>
      </c>
      <c r="B173" s="16">
        <f>INDEX('vehicles specifications'!$B$3:$CK$86,MATCH(B141,'vehicles specifications'!$A$3:$A$86,0),MATCH(G173,'vehicles specifications'!$B$2:$CK$2,0))*INDEX('ei names mapping'!$B$137:$BK$220,MATCH(B141,'ei names mapping'!$A$137:$A$220,0),MATCH(G173,'ei names mapping'!$B$136:$BK$136,0))</f>
        <v>2.4000000000000004</v>
      </c>
      <c r="C173" s="12" t="str">
        <f>INDEX('ei names mapping'!$B$38:$R$67,MATCH(B138,'ei names mapping'!$A$4:$A$33,0),MATCH(G173,'ei names mapping'!$B$3:$R$3,0))</f>
        <v>GLO</v>
      </c>
      <c r="D173" s="12" t="str">
        <f>INDEX('ei names mapping'!$B$104:$R$133,MATCH(B138,'ei names mapping'!$A$104:$A$133,0),MATCH(G173,'ei names mapping'!$B$3:$R$3,0))</f>
        <v>kilogram</v>
      </c>
      <c r="E173" s="12"/>
      <c r="F173" s="12" t="s">
        <v>91</v>
      </c>
      <c r="G173" t="s">
        <v>20</v>
      </c>
      <c r="H173" s="12" t="str">
        <f>INDEX('ei names mapping'!$B$71:$R$100,MATCH(B138,'ei names mapping'!$A$4:$A$33,0),MATCH(G173,'ei names mapping'!$B$3:$R$3,0))</f>
        <v>Battery BoP</v>
      </c>
    </row>
    <row r="174" spans="1:8" x14ac:dyDescent="0.3">
      <c r="A174" s="12" t="str">
        <f>INDEX('ei names mapping'!$B$4:$R$33,MATCH(B138,'ei names mapping'!$A$4:$A$33,0),MATCH(G174,'ei names mapping'!$B$3:$R$3,0))</f>
        <v>charging station, 3kW</v>
      </c>
      <c r="B174" s="16">
        <f>INDEX('vehicles specifications'!$B$3:$CK$86,MATCH(B141,'vehicles specifications'!$A$3:$A$86,0),MATCH(G174,'vehicles specifications'!$B$2:$CK$2,0))*INDEX('ei names mapping'!$B$137:$BK$220,MATCH(B141,'ei names mapping'!$A$137:$A$220,0),MATCH(G174,'ei names mapping'!$B$136:$BK$136,0))</f>
        <v>1</v>
      </c>
      <c r="C174" s="12" t="str">
        <f>INDEX('ei names mapping'!$B$38:$R$67,MATCH(B138,'ei names mapping'!$A$4:$A$33,0),MATCH(G174,'ei names mapping'!$B$3:$R$3,0))</f>
        <v>GLO</v>
      </c>
      <c r="D174" s="12" t="str">
        <f>INDEX('ei names mapping'!$B$104:$R$133,MATCH(B138,'ei names mapping'!$A$104:$A$133,0),MATCH(G174,'ei names mapping'!$B$3:$R$3,0))</f>
        <v>unit</v>
      </c>
      <c r="E174" s="12"/>
      <c r="F174" s="12" t="s">
        <v>91</v>
      </c>
      <c r="G174" t="s">
        <v>53</v>
      </c>
      <c r="H174" s="12" t="str">
        <f>INDEX('ei names mapping'!$B$71:$R$100,MATCH(B138,'ei names mapping'!$A$4:$A$33,0),MATCH(G174,'ei names mapping'!$B$3:$R$3,0))</f>
        <v>charging station, 3kW</v>
      </c>
    </row>
    <row r="175" spans="1:8" x14ac:dyDescent="0.3">
      <c r="A175" s="12" t="str">
        <f>INDEX('ei names mapping'!$B$4:$R$33,MATCH(B138,'ei names mapping'!$A$4:$A$33,0),MATCH(G175,'ei names mapping'!$B$3:$R$3,0))</f>
        <v>manual dismantling of used electric scooter</v>
      </c>
      <c r="B175" s="16">
        <f>INDEX('vehicles specifications'!$B$3:$CK$86,MATCH(B141,'vehicles specifications'!$A$3:$A$86,0),MATCH(G175,'vehicles specifications'!$B$2:$CK$2,0))*INDEX('ei names mapping'!$B$137:$BK$220,MATCH(B141,'ei names mapping'!$A$137:$A$220,0),MATCH(G175,'ei names mapping'!$B$136:$BK$136,0))</f>
        <v>49.29</v>
      </c>
      <c r="C175" s="12" t="str">
        <f>INDEX('ei names mapping'!$B$38:$R$67,MATCH(B138,'ei names mapping'!$A$4:$A$33,0),MATCH(G175,'ei names mapping'!$B$3:$R$3,0))</f>
        <v>GLO</v>
      </c>
      <c r="D175" s="12" t="str">
        <f>INDEX('ei names mapping'!$B$104:$R$133,MATCH(B138,'ei names mapping'!$A$104:$A$133,0),MATCH(G175,'ei names mapping'!$B$3:$R$3,0))</f>
        <v>unit</v>
      </c>
      <c r="E175" s="12"/>
      <c r="F175" s="12" t="s">
        <v>91</v>
      </c>
      <c r="G175" t="s">
        <v>150</v>
      </c>
      <c r="H175" s="12" t="str">
        <f>INDEX('ei names mapping'!$B$71:$R$100,MATCH(B138,'ei names mapping'!$A$4:$A$33,0),MATCH(G175,'ei names mapping'!$B$3:$R$3,0))</f>
        <v>manual dismantling of electric scooter</v>
      </c>
    </row>
    <row r="176" spans="1:8" x14ac:dyDescent="0.3">
      <c r="A176" s="12" t="str">
        <f>INDEX('ei names mapping'!$B$4:$R$33,MATCH(B138,'ei names mapping'!$A$4:$A$33,0),MATCH(G176,'ei names mapping'!$B$3:$R$3,0))</f>
        <v>manual dismantling of used electric scooter</v>
      </c>
      <c r="B176" s="16">
        <f>INDEX('vehicles specifications'!$B$3:$CK$86,MATCH(B141,'vehicles specifications'!$A$3:$A$86,0),MATCH(G176,'vehicles specifications'!$B$2:$CK$2,0))*INDEX('ei names mapping'!$B$137:$BK$220,MATCH(B141,'ei names mapping'!$A$137:$A$220,0),MATCH(G176,'ei names mapping'!$B$136:$BK$136,0))</f>
        <v>12</v>
      </c>
      <c r="C176" s="12" t="str">
        <f>INDEX('ei names mapping'!$B$38:$R$67,MATCH(B138,'ei names mapping'!$A$4:$A$33,0),MATCH(G176,'ei names mapping'!$B$3:$R$3,0))</f>
        <v>GLO</v>
      </c>
      <c r="D176" s="12" t="str">
        <f>INDEX('ei names mapping'!$B$104:$R$133,MATCH(B138,'ei names mapping'!$A$104:$A$133,0),MATCH(G176,'ei names mapping'!$B$3:$R$3,0))</f>
        <v>unit</v>
      </c>
      <c r="E176" s="12"/>
      <c r="F176" s="12" t="s">
        <v>91</v>
      </c>
      <c r="G176" t="s">
        <v>151</v>
      </c>
      <c r="H176" s="12" t="str">
        <f>INDEX('ei names mapping'!$B$71:$R$100,MATCH(B138,'ei names mapping'!$A$4:$A$33,0),MATCH(G176,'ei names mapping'!$B$3:$R$3,0))</f>
        <v>manual dismantling of electric scooter</v>
      </c>
    </row>
    <row r="177" spans="1:8" x14ac:dyDescent="0.3">
      <c r="A177" s="12" t="str">
        <f>INDEX('ei names mapping'!$B$4:$R$33,MATCH(B138,'ei names mapping'!$A$4:$A$33,0),MATCH(G177,'ei names mapping'!$B$3:$R$3,0))</f>
        <v>market for used Li-ion battery</v>
      </c>
      <c r="B177" s="16">
        <f>INDEX('vehicles specifications'!$B$3:$CK$86,MATCH(B141,'vehicles specifications'!$A$3:$A$86,0),MATCH(G177,'vehicles specifications'!$B$2:$CK$2,0))*INDEX('ei names mapping'!$B$137:$BK$220,MATCH(B141,'ei names mapping'!$A$137:$A$220,0),MATCH(G177,'ei names mapping'!$B$136:$BK$136,0))</f>
        <v>-14.4</v>
      </c>
      <c r="C177" s="12" t="str">
        <f>INDEX('ei names mapping'!$B$38:$R$67,MATCH(B138,'ei names mapping'!$A$4:$A$33,0),MATCH(G177,'ei names mapping'!$B$3:$R$3,0))</f>
        <v>GLO</v>
      </c>
      <c r="D177" s="12" t="str">
        <f>INDEX('ei names mapping'!$B$104:$R$133,MATCH(B142,'ei names mapping'!$A$104:$A$133,0),MATCH(G177,'ei names mapping'!$B$3:$R$3,0))</f>
        <v>kilogram</v>
      </c>
      <c r="E177" s="12"/>
      <c r="F177" s="12" t="s">
        <v>91</v>
      </c>
      <c r="G177" t="s">
        <v>152</v>
      </c>
      <c r="H177" s="12" t="str">
        <f>INDEX('ei names mapping'!$B$71:$R$100,MATCH(B138,'ei names mapping'!$A$4:$A$33,0),MATCH(G177,'ei names mapping'!$B$3:$R$3,0))</f>
        <v>used Li-ion battery</v>
      </c>
    </row>
    <row r="178" spans="1:8" s="21" customFormat="1" x14ac:dyDescent="0.3">
      <c r="A178" s="22" t="s">
        <v>468</v>
      </c>
      <c r="B178" s="21">
        <f>(B151/1000)*B163</f>
        <v>75.69</v>
      </c>
      <c r="C178" s="21" t="s">
        <v>94</v>
      </c>
      <c r="D178" s="21" t="s">
        <v>243</v>
      </c>
      <c r="F178" s="21" t="s">
        <v>91</v>
      </c>
      <c r="H178" s="22" t="s">
        <v>469</v>
      </c>
    </row>
    <row r="179" spans="1:8" s="21" customFormat="1" x14ac:dyDescent="0.3">
      <c r="A179" s="22" t="s">
        <v>467</v>
      </c>
      <c r="B179" s="2">
        <f>(B151/1000)*B162</f>
        <v>1203.471</v>
      </c>
      <c r="C179" s="21" t="s">
        <v>98</v>
      </c>
      <c r="D179" s="21" t="s">
        <v>243</v>
      </c>
      <c r="F179" s="21" t="s">
        <v>91</v>
      </c>
      <c r="H179" s="22" t="s">
        <v>467</v>
      </c>
    </row>
    <row r="180" spans="1:8" x14ac:dyDescent="0.3">
      <c r="B180" s="2"/>
    </row>
    <row r="181" spans="1:8" ht="15.6" x14ac:dyDescent="0.3">
      <c r="A181" s="11" t="s">
        <v>72</v>
      </c>
      <c r="B181" s="9" t="str">
        <f>"transport, "&amp;B183&amp;", "&amp;B185</f>
        <v>transport, Motorbike, electric, &lt;4kW, 2020</v>
      </c>
    </row>
    <row r="182" spans="1:8" x14ac:dyDescent="0.3">
      <c r="A182" t="s">
        <v>73</v>
      </c>
      <c r="B182" t="s">
        <v>37</v>
      </c>
    </row>
    <row r="183" spans="1:8" x14ac:dyDescent="0.3">
      <c r="A183" t="s">
        <v>87</v>
      </c>
      <c r="B183" t="s">
        <v>520</v>
      </c>
    </row>
    <row r="184" spans="1:8" x14ac:dyDescent="0.3">
      <c r="A184" t="s">
        <v>88</v>
      </c>
      <c r="B184" s="12"/>
    </row>
    <row r="185" spans="1:8" x14ac:dyDescent="0.3">
      <c r="A185" t="s">
        <v>89</v>
      </c>
      <c r="B185" s="12">
        <v>2020</v>
      </c>
    </row>
    <row r="186" spans="1:8" x14ac:dyDescent="0.3">
      <c r="A186" t="s">
        <v>131</v>
      </c>
      <c r="B186" s="12" t="str">
        <f>B183&amp;" - "&amp;B185&amp;" - "&amp;B182</f>
        <v>Motorbike, electric, &lt;4kW - 2020 - CH</v>
      </c>
    </row>
    <row r="187" spans="1:8" x14ac:dyDescent="0.3">
      <c r="A187" t="s">
        <v>74</v>
      </c>
      <c r="B187" s="12" t="str">
        <f>"transport, "&amp;B183</f>
        <v>transport, Motorbike, electric, &lt;4kW</v>
      </c>
    </row>
    <row r="188" spans="1:8" x14ac:dyDescent="0.3">
      <c r="A188" t="s">
        <v>75</v>
      </c>
      <c r="B188" t="s">
        <v>76</v>
      </c>
    </row>
    <row r="189" spans="1:8" x14ac:dyDescent="0.3">
      <c r="A189" t="s">
        <v>77</v>
      </c>
      <c r="B189" t="s">
        <v>172</v>
      </c>
    </row>
    <row r="190" spans="1:8" x14ac:dyDescent="0.3">
      <c r="A190" t="s">
        <v>79</v>
      </c>
      <c r="B190" t="s">
        <v>90</v>
      </c>
    </row>
    <row r="191" spans="1:8" x14ac:dyDescent="0.3">
      <c r="A191" t="s">
        <v>132</v>
      </c>
      <c r="B191">
        <f>INDEX('vehicles specifications'!$B$3:$CK$86,MATCH(B186,'vehicles specifications'!$A$3:$A$86,0),MATCH("Lifetime [km]",'vehicles specifications'!$B$2:$CK$2,0))</f>
        <v>33400</v>
      </c>
    </row>
    <row r="192" spans="1:8" x14ac:dyDescent="0.3">
      <c r="A192" t="s">
        <v>133</v>
      </c>
      <c r="B192">
        <f>INDEX('vehicles specifications'!$B$3:$CK$86,MATCH(B186,'vehicles specifications'!$A$3:$A$86,0),MATCH("Passengers [unit]",'vehicles specifications'!$B$2:$CK$2,0))</f>
        <v>1.1000000000000001</v>
      </c>
    </row>
    <row r="193" spans="1:8" x14ac:dyDescent="0.3">
      <c r="A193" t="s">
        <v>134</v>
      </c>
      <c r="B193">
        <f>INDEX('vehicles specifications'!$B$3:$CK$86,MATCH(B186,'vehicles specifications'!$A$3:$A$86,0),MATCH("Servicing [unit]",'vehicles specifications'!$B$2:$CK$2,0))</f>
        <v>0.66800000000000004</v>
      </c>
    </row>
    <row r="194" spans="1:8" x14ac:dyDescent="0.3">
      <c r="A194" t="s">
        <v>135</v>
      </c>
      <c r="B194">
        <f>INDEX('vehicles specifications'!$B$3:$CK$86,MATCH(B186,'vehicles specifications'!$A$3:$A$86,0),MATCH("Energy battery replacement [unit]",'vehicles specifications'!$B$2:$CK$2,0))</f>
        <v>1</v>
      </c>
    </row>
    <row r="195" spans="1:8" x14ac:dyDescent="0.3">
      <c r="A195" t="s">
        <v>136</v>
      </c>
      <c r="B195">
        <f>INDEX('vehicles specifications'!$B$3:$CK$86,MATCH(B186,'vehicles specifications'!$A$3:$A$86,0),MATCH("Annual kilometers [km]",'vehicles specifications'!$B$2:$CK$2,0))</f>
        <v>2553</v>
      </c>
    </row>
    <row r="196" spans="1:8" x14ac:dyDescent="0.3">
      <c r="A196" t="s">
        <v>137</v>
      </c>
      <c r="B196" s="2">
        <f>INDEX('vehicles specifications'!$B$3:$CK$86,MATCH(B186,'vehicles specifications'!$A$3:$A$86,0),MATCH("Curb mass [kg]",'vehicles specifications'!$B$2:$CK$2,0))</f>
        <v>75.8</v>
      </c>
    </row>
    <row r="197" spans="1:8" x14ac:dyDescent="0.3">
      <c r="A197" t="s">
        <v>138</v>
      </c>
      <c r="B197">
        <f>INDEX('vehicles specifications'!$B$3:$CK$86,MATCH(B186,'vehicles specifications'!$A$3:$A$86,0),MATCH("Power [kW]",'vehicles specifications'!$B$2:$CK$2,0))</f>
        <v>2.5</v>
      </c>
    </row>
    <row r="198" spans="1:8" x14ac:dyDescent="0.3">
      <c r="A198" t="s">
        <v>139</v>
      </c>
      <c r="B198">
        <f>INDEX('vehicles specifications'!$B$3:$CK$86,MATCH(B186,'vehicles specifications'!$A$3:$A$86,0),MATCH("Energy battery mass [kg]",'vehicles specifications'!$B$2:$CK$2,0))</f>
        <v>10.8</v>
      </c>
    </row>
    <row r="199" spans="1:8" x14ac:dyDescent="0.3">
      <c r="A199" t="s">
        <v>140</v>
      </c>
      <c r="B199" s="21">
        <f>INDEX('vehicles specifications'!$B$3:$CK$86,MATCH(B186,'vehicles specifications'!$A$3:$A$86,0),MATCH("Electric energy stored [kWh]",'vehicles specifications'!$B$2:$CK$2,0))</f>
        <v>1.8</v>
      </c>
    </row>
    <row r="200" spans="1:8" s="21" customFormat="1" x14ac:dyDescent="0.3">
      <c r="A200" s="21" t="s">
        <v>654</v>
      </c>
      <c r="B200" s="21">
        <f>INDEX('vehicles specifications'!$B$3:$CK$86,MATCH(B186,'vehicles specifications'!$A$3:$A$86,0),MATCH("Electric energy available [kWh]",'vehicles specifications'!$B$2:$CK$2,0))</f>
        <v>1.4400000000000002</v>
      </c>
    </row>
    <row r="201" spans="1:8" x14ac:dyDescent="0.3">
      <c r="A201" t="s">
        <v>143</v>
      </c>
      <c r="B201" s="2">
        <f>INDEX('vehicles specifications'!$B$3:$CK$86,MATCH(B186,'vehicles specifications'!$A$3:$A$86,0),MATCH("Oxydation energy stored [kWh]",'vehicles specifications'!$B$2:$CK$2,0))</f>
        <v>0</v>
      </c>
    </row>
    <row r="202" spans="1:8" x14ac:dyDescent="0.3">
      <c r="A202" t="s">
        <v>145</v>
      </c>
      <c r="B202">
        <f>INDEX('vehicles specifications'!$B$3:$CK$86,MATCH(B186,'vehicles specifications'!$A$3:$A$86,0),MATCH("Fuel mass [kg]",'vehicles specifications'!$B$2:$CK$2,0))</f>
        <v>0</v>
      </c>
    </row>
    <row r="203" spans="1:8" x14ac:dyDescent="0.3">
      <c r="A203" t="s">
        <v>141</v>
      </c>
      <c r="B203" s="2">
        <f>INDEX('vehicles specifications'!$B$3:$CK$86,MATCH(B186,'vehicles specifications'!$A$3:$A$86,0),MATCH("Range [km]",'vehicles specifications'!$B$2:$CK$2,0))</f>
        <v>42.842975206611577</v>
      </c>
    </row>
    <row r="204" spans="1:8" x14ac:dyDescent="0.3">
      <c r="A204" t="s">
        <v>142</v>
      </c>
      <c r="B204" t="str">
        <f>INDEX('vehicles specifications'!$B$3:$CK$86,MATCH(B186,'vehicles specifications'!$A$3:$A$86,0),MATCH("Emission standard",'vehicles specifications'!$B$2:$CK$2,0))</f>
        <v>None</v>
      </c>
    </row>
    <row r="205" spans="1:8" x14ac:dyDescent="0.3">
      <c r="A205" t="s">
        <v>144</v>
      </c>
      <c r="B205" s="6">
        <f>INDEX('vehicles specifications'!$B$3:$CK$86,MATCH(B186,'vehicles specifications'!$A$3:$A$86,0),MATCH("Lightweighting rate [%]",'vehicles specifications'!$B$2:$CK$2,0))</f>
        <v>0</v>
      </c>
    </row>
    <row r="206" spans="1:8" x14ac:dyDescent="0.3">
      <c r="A206" t="s">
        <v>84</v>
      </c>
      <c r="B206" s="21" t="str">
        <f>"Power: "&amp;B197&amp;" kW. Lifetime: "&amp;B191&amp;" km. Annual kilometers: "&amp;B195&amp;" km. Number of passengers: "&amp;B192&amp;". Curb mass: "&amp;ROUND(B196,1)&amp;" kg. Lightweighting of glider: "&amp;ROUND(B205*100,0)&amp;"%. Emission standard: "&amp;B204&amp;". Service visits throughout lifetime: "&amp;ROUND(B193,1)&amp;". Range: "&amp;ROUND(B203,0)&amp;" km. Battery capacity: "&amp;ROUND(B199,1)&amp;" kWh. Available battery capacity: "&amp;B200&amp;" kWh. Battery mass: "&amp;ROUND(B198,1)&amp; " kg. Battery replacement throughout lifetime: "&amp;ROUND(B194,1)&amp;". Fuel tank capacity: "&amp;ROUND(B201,1)&amp;" kWh. Fuel mass: "&amp;ROUND(B202,1)&amp;" kg. Documentation: "&amp;Readmefirst!$B$2&amp;", "&amp;Readmefirst!$B$3&amp;". "&amp;'lci-kick scooter'!B145</f>
        <v>Power: 2.5 kW. Lifetime: 33400 km. Annual kilometers: 2553 km. Number of passengers: 1.1. Curb mass: 75.8 kg. Lightweighting of glider: 0%. Emission standard: None. Service visits throughout lifetime: 0.7. Range: 43 km. Battery capacity: 1.8 kWh. Available battery capacity: 1.44 kWh. Battery mass: 10.8 kg. Battery replacement throughout lifetime: 1. Fuel tank capacity: 0 kWh. Fuel mass: 0 kg. Documentation: 2021 UVEK life-cycle inventories update of on-road vehicles, Sacchi R. (PSI), Bauer C. (PSI), 2021. 0</v>
      </c>
    </row>
    <row r="207" spans="1:8" ht="15.6" x14ac:dyDescent="0.3">
      <c r="A207" s="11" t="s">
        <v>80</v>
      </c>
    </row>
    <row r="208" spans="1:8" x14ac:dyDescent="0.3">
      <c r="A208" t="s">
        <v>81</v>
      </c>
      <c r="B208" t="s">
        <v>82</v>
      </c>
      <c r="C208" t="s">
        <v>73</v>
      </c>
      <c r="D208" t="s">
        <v>77</v>
      </c>
      <c r="E208" t="s">
        <v>83</v>
      </c>
      <c r="F208" t="s">
        <v>75</v>
      </c>
      <c r="G208" t="s">
        <v>84</v>
      </c>
      <c r="H208" t="s">
        <v>74</v>
      </c>
    </row>
    <row r="209" spans="1:8" x14ac:dyDescent="0.3">
      <c r="A209" s="12" t="str">
        <f>B181</f>
        <v>transport, Motorbike, electric, &lt;4kW, 2020</v>
      </c>
      <c r="B209" s="12">
        <v>1</v>
      </c>
      <c r="C209" s="12" t="str">
        <f>B182</f>
        <v>CH</v>
      </c>
      <c r="D209" s="12" t="s">
        <v>172</v>
      </c>
      <c r="E209" s="12"/>
      <c r="F209" s="12" t="s">
        <v>85</v>
      </c>
      <c r="G209" s="12" t="s">
        <v>86</v>
      </c>
      <c r="H209" s="12" t="str">
        <f>B187</f>
        <v>transport, Motorbike, electric, &lt;4kW</v>
      </c>
    </row>
    <row r="210" spans="1:8" x14ac:dyDescent="0.3">
      <c r="A210" s="12" t="str">
        <f>RIGHT(A209,LEN(A209)-11)</f>
        <v>Motorbike, electric, &lt;4kW, 2020</v>
      </c>
      <c r="B210" s="15">
        <f>1/B191</f>
        <v>2.9940119760479042E-5</v>
      </c>
      <c r="C210" s="12" t="str">
        <f>B182</f>
        <v>CH</v>
      </c>
      <c r="D210" s="12" t="s">
        <v>77</v>
      </c>
      <c r="E210" s="12"/>
      <c r="F210" s="12" t="s">
        <v>91</v>
      </c>
      <c r="G210" s="12"/>
      <c r="H210" s="12" t="str">
        <f>RIGHT(H209,LEN(H209)-11)</f>
        <v>Motorbike, electric, &lt;4kW</v>
      </c>
    </row>
    <row r="211" spans="1:8" x14ac:dyDescent="0.3">
      <c r="A211" s="12" t="str">
        <f>INDEX('ei names mapping'!$B$4:$R$33,MATCH(B183,'ei names mapping'!$A$4:$A$33,0),MATCH(G211,'ei names mapping'!$B$3:$R$3,0))</f>
        <v>road maintenance</v>
      </c>
      <c r="B211" s="16">
        <f>INDEX('vehicles specifications'!$B$3:$CK$86,MATCH(B186,'vehicles specifications'!$A$3:$A$86,0),MATCH(G211,'vehicles specifications'!$B$2:$CK$2,0))*INDEX('ei names mapping'!$B$137:$BK$220,MATCH(B186,'ei names mapping'!$A$137:$A$220,0),MATCH(G211,'ei names mapping'!$B$136:$BK$136,0))</f>
        <v>1.2899999999999999E-3</v>
      </c>
      <c r="C211" s="12" t="str">
        <f>INDEX('ei names mapping'!$B$38:$R$67,MATCH(B183,'ei names mapping'!$A$4:$A$33,0),MATCH(G211,'ei names mapping'!$B$3:$R$3,0))</f>
        <v>CH</v>
      </c>
      <c r="D211" s="12" t="str">
        <f>INDEX('ei names mapping'!$B$104:$BK$133,MATCH(B183,'ei names mapping'!$A$4:$A$33,0),MATCH(G211,'ei names mapping'!$B$3:$BK$3,0))</f>
        <v>meter-year</v>
      </c>
      <c r="E211" s="12"/>
      <c r="F211" s="12" t="s">
        <v>91</v>
      </c>
      <c r="G211" t="s">
        <v>117</v>
      </c>
      <c r="H211" s="12" t="str">
        <f>INDEX('ei names mapping'!$B$71:$BK$100,MATCH(B183,'ei names mapping'!$A$4:$A$33,0),MATCH(G211,'ei names mapping'!$B$3:$BK$3,0))</f>
        <v>road maintenance</v>
      </c>
    </row>
    <row r="212" spans="1:8" x14ac:dyDescent="0.3">
      <c r="A212" s="12" t="str">
        <f>INDEX('ei names mapping'!$B$4:$R$33,MATCH(B183,'ei names mapping'!$A$4:$A$33,0),MATCH(G212,'ei names mapping'!$B$3:$R$3,0))</f>
        <v>market for electricity, low voltage</v>
      </c>
      <c r="B212" s="14">
        <f>INDEX('vehicles specifications'!$B$3:$CK$86,MATCH(B186,'vehicles specifications'!$A$3:$A$86,0),MATCH(G212,'vehicles specifications'!$B$2:$CK$2,0))*INDEX('ei names mapping'!$B$137:$BK$220,MATCH(B186,'ei names mapping'!$A$137:$A$220,0),MATCH(G212,'ei names mapping'!$B$136:$BK$136,0))</f>
        <v>3.6972222222222226E-2</v>
      </c>
      <c r="C212" s="12" t="str">
        <f>INDEX('ei names mapping'!$B$38:$R$67,MATCH($B$3,'ei names mapping'!$A$4:$A$33,0),MATCH(G212,'ei names mapping'!$B$3:$R$3,0))</f>
        <v>CH</v>
      </c>
      <c r="D212" s="12" t="str">
        <f>INDEX('ei names mapping'!$B$104:$R$133,MATCH($B$3,'ei names mapping'!$A$4:$A$33,0),MATCH(G212,'ei names mapping'!$B$3:$R$3,0))</f>
        <v>kilowatt hour</v>
      </c>
      <c r="E212" s="12"/>
      <c r="F212" s="12" t="s">
        <v>91</v>
      </c>
      <c r="G212" t="s">
        <v>28</v>
      </c>
      <c r="H212" s="12" t="str">
        <f>INDEX('ei names mapping'!$B$71:$R$100,MATCH(B183,'ei names mapping'!$A$4:$A$33,0),MATCH(G212,'ei names mapping'!$B$3:$R$3,0))</f>
        <v>electricity, low voltage</v>
      </c>
    </row>
    <row r="213" spans="1:8" x14ac:dyDescent="0.3">
      <c r="A213" s="12" t="str">
        <f>INDEX('ei names mapping'!$B$4:$R$33,MATCH(B183,'ei names mapping'!$A$4:$A$33,0),MATCH(G213,'ei names mapping'!$B$3:$R$3,0))</f>
        <v>market for maintenance, electric scooter, without battery</v>
      </c>
      <c r="B213" s="16">
        <f>INDEX('vehicles specifications'!$B$3:$CK$86,MATCH(B186,'vehicles specifications'!$A$3:$A$86,0),MATCH(G213,'vehicles specifications'!$B$2:$CK$2,0))*INDEX('ei names mapping'!$B$137:$BK$220,MATCH(B186,'ei names mapping'!$A$137:$A$220,0),MATCH(G213,'ei names mapping'!$B$136:$BK$136,0))</f>
        <v>2.0000000000000002E-5</v>
      </c>
      <c r="C213" s="12" t="str">
        <f>INDEX('ei names mapping'!$B$38:$BK$67,MATCH(B183,'ei names mapping'!$A$4:$A$33,0),MATCH(G213,'ei names mapping'!$B$3:$BK$3,0))</f>
        <v>GLO</v>
      </c>
      <c r="D213" s="12" t="str">
        <f>INDEX('ei names mapping'!$B$104:$BK$133,MATCH(B183,'ei names mapping'!$A$4:$A$33,0),MATCH(G213,'ei names mapping'!$B$3:$BK$3,0))</f>
        <v>unit</v>
      </c>
      <c r="F213" s="12" t="s">
        <v>91</v>
      </c>
      <c r="G213" s="12" t="s">
        <v>123</v>
      </c>
      <c r="H213" s="12" t="str">
        <f>INDEX('ei names mapping'!$B$71:$BK$100,MATCH(B183,'ei names mapping'!$A$4:$A$33,0),MATCH(G213,'ei names mapping'!$B$3:$BK$3,0))</f>
        <v>maintenance, electric scooter, without battery</v>
      </c>
    </row>
    <row r="214" spans="1:8" s="21" customFormat="1" x14ac:dyDescent="0.3">
      <c r="A214" s="12" t="str">
        <f>INDEX('ei names mapping'!$B$4:$R$33,MATCH(B183,'ei names mapping'!$A$4:$A$33,0),MATCH(G214,'ei names mapping'!$B$3:$R$3,0))</f>
        <v>road construction</v>
      </c>
      <c r="B214" s="16">
        <f>INDEX('vehicles specifications'!$B$3:$CK$86,MATCH(B186,'vehicles specifications'!$A$3:$A$86,0),MATCH(G214,'vehicles specifications'!$B$2:$CK$2,0))*INDEX('ei names mapping'!$B$137:$BK$220,MATCH(B186,'ei names mapping'!$A$137:$A$220,0),MATCH(G214,'ei names mapping'!$B$136:$BK$136,0))</f>
        <v>8.5275600000000001E-5</v>
      </c>
      <c r="C214" s="12" t="str">
        <f>INDEX('ei names mapping'!$B$38:$R$67,MATCH(B183,'ei names mapping'!$A$4:$A$33,0),MATCH(G214,'ei names mapping'!$B$3:$R$3,0))</f>
        <v>CH</v>
      </c>
      <c r="D214" s="12" t="str">
        <f>INDEX('ei names mapping'!$B$104:$R$133,MATCH(B183,'ei names mapping'!$A$104:$A$133,0),MATCH(G214,'ei names mapping'!$B$3:$R$3,0))</f>
        <v>meter-year</v>
      </c>
      <c r="E214" s="12"/>
      <c r="F214" s="12" t="s">
        <v>91</v>
      </c>
      <c r="G214" s="21" t="s">
        <v>108</v>
      </c>
      <c r="H214" s="12" t="str">
        <f>INDEX('ei names mapping'!$B$71:$R$100,MATCH(B183,'ei names mapping'!$A$4:$A$33,0),MATCH(G214,'ei names mapping'!$B$3:$R$3,0))</f>
        <v>road</v>
      </c>
    </row>
    <row r="215" spans="1:8" x14ac:dyDescent="0.3">
      <c r="A215" s="12" t="str">
        <f>INDEX('ei names mapping'!$B$4:$BK$33,MATCH(B183,'ei names mapping'!$A$4:$A$33,0),MATCH(G215,'ei names mapping'!$B$3:$BK$3,0))</f>
        <v>treatment of road wear emissions, passenger car</v>
      </c>
      <c r="B215" s="16">
        <f>INDEX('vehicles specifications'!$B$3:$CK$86,MATCH(B186,'vehicles specifications'!$A$3:$A$86,0),MATCH(G215,'vehicles specifications'!$B$2:$CK$2,0))*INDEX('ei names mapping'!$B$137:$BK$220,MATCH(B186,'ei names mapping'!$A$137:$A$220,0),MATCH(G215,'ei names mapping'!$B$136:$BK$136,0))</f>
        <v>-6.0000000000000002E-6</v>
      </c>
      <c r="C215" s="12" t="str">
        <f>INDEX('ei names mapping'!$B$38:$BK$67,MATCH(B183,'ei names mapping'!$A$4:$A$33,0),MATCH(G215,'ei names mapping'!$B$3:$BK$3,0))</f>
        <v>RER</v>
      </c>
      <c r="D215" s="12" t="str">
        <f>INDEX('ei names mapping'!$B$104:$BK$133,MATCH(B183,'ei names mapping'!$A$4:$A$33,0),MATCH(G215,'ei names mapping'!$B$3:$BK$3,0))</f>
        <v>kilogram</v>
      </c>
      <c r="E215" s="12"/>
      <c r="F215" s="12" t="s">
        <v>91</v>
      </c>
      <c r="G215" t="s">
        <v>29</v>
      </c>
      <c r="H215" s="12" t="str">
        <f>INDEX('ei names mapping'!$B$71:$BK$100,MATCH(B183,'ei names mapping'!$A$4:$A$33,0),MATCH(G215,'ei names mapping'!$B$3:$BK$3,0))</f>
        <v>road wear emissions, passenger car</v>
      </c>
    </row>
    <row r="216" spans="1:8" x14ac:dyDescent="0.3">
      <c r="A216" s="12" t="str">
        <f>INDEX('ei names mapping'!$B$4:$BK$33,MATCH(B183,'ei names mapping'!$A$4:$A$33,0),MATCH(G216,'ei names mapping'!$B$3:$BK$3,0))</f>
        <v>treatment of tyre wear emissions, passenger car</v>
      </c>
      <c r="B216" s="16">
        <f>INDEX('vehicles specifications'!$B$3:$CK$86,MATCH(B186,'vehicles specifications'!$A$3:$A$86,0),MATCH(G216,'vehicles specifications'!$B$2:$CK$2,0))*INDEX('ei names mapping'!$B$137:$BK$220,MATCH(B186,'ei names mapping'!$A$137:$A$220,0),MATCH(G216,'ei names mapping'!$B$136:$BK$136,0))</f>
        <v>-7.3669999999999991E-6</v>
      </c>
      <c r="C216" s="12" t="str">
        <f>INDEX('ei names mapping'!$B$38:$BK$67,MATCH(B183,'ei names mapping'!$A$4:$A$33,0),MATCH(G216,'ei names mapping'!$B$3:$BK$3,0))</f>
        <v>RER</v>
      </c>
      <c r="D216" s="12" t="str">
        <f>INDEX('ei names mapping'!$B$104:$BK$133,MATCH(B183,'ei names mapping'!$A$4:$A$33,0),MATCH(G216,'ei names mapping'!$B$3:$BK$3,0))</f>
        <v>kilogram</v>
      </c>
      <c r="E216" s="12"/>
      <c r="F216" s="12" t="s">
        <v>91</v>
      </c>
      <c r="G216" t="s">
        <v>30</v>
      </c>
      <c r="H216" s="12" t="str">
        <f>INDEX('ei names mapping'!$B$71:$BK$100,MATCH(B183,'ei names mapping'!$A$4:$A$33,0),MATCH(G216,'ei names mapping'!$B$3:$BK$3,0))</f>
        <v>tyre wear emissions, passenger car</v>
      </c>
    </row>
    <row r="217" spans="1:8" x14ac:dyDescent="0.3">
      <c r="A217" s="12" t="str">
        <f>INDEX('ei names mapping'!$B$4:$BK$33,MATCH(B183,'ei names mapping'!$A$4:$A$33,0),MATCH(G217,'ei names mapping'!$B$3:$BK$3,0))</f>
        <v>treatment of brake wear emissions, passenger car</v>
      </c>
      <c r="B217" s="16">
        <f>INDEX('vehicles specifications'!$B$3:$CK$86,MATCH(B186,'vehicles specifications'!$A$3:$A$86,0),MATCH(G217,'vehicles specifications'!$B$2:$CK$2,0))*INDEX('ei names mapping'!$B$137:$BK$220,MATCH(B186,'ei names mapping'!$A$137:$A$220,0),MATCH(G217,'ei names mapping'!$B$136:$BK$136,0))</f>
        <v>-4.1749999999999998E-6</v>
      </c>
      <c r="C217" s="12" t="str">
        <f>INDEX('ei names mapping'!$B$38:$BK$67,MATCH(B183,'ei names mapping'!$A$4:$A$33,0),MATCH(G217,'ei names mapping'!$B$3:$BK$3,0))</f>
        <v>RER</v>
      </c>
      <c r="D217" s="12" t="str">
        <f>INDEX('ei names mapping'!$B$104:$BK$133,MATCH(B183,'ei names mapping'!$A$4:$A$33,0),MATCH(G217,'ei names mapping'!$B$3:$BK$3,0))</f>
        <v>kilogram</v>
      </c>
      <c r="E217" s="12"/>
      <c r="F217" s="12" t="s">
        <v>91</v>
      </c>
      <c r="G217" t="s">
        <v>31</v>
      </c>
      <c r="H217" s="12" t="str">
        <f>INDEX('ei names mapping'!$B$71:$BK$100,MATCH(B183,'ei names mapping'!$A$4:$A$33,0),MATCH(G217,'ei names mapping'!$B$3:$BK$3,0))</f>
        <v>brake wear emissions, passenger car</v>
      </c>
    </row>
    <row r="218" spans="1:8" x14ac:dyDescent="0.3">
      <c r="B218" s="6"/>
    </row>
    <row r="219" spans="1:8" ht="15.6" x14ac:dyDescent="0.3">
      <c r="A219" s="11" t="s">
        <v>72</v>
      </c>
      <c r="B219" s="9" t="str">
        <f>"transport, "&amp;B221&amp;", "&amp;B223</f>
        <v>transport, Motorbike, electric, &lt;4kW, 2030</v>
      </c>
    </row>
    <row r="220" spans="1:8" x14ac:dyDescent="0.3">
      <c r="A220" t="s">
        <v>73</v>
      </c>
      <c r="B220" t="s">
        <v>37</v>
      </c>
    </row>
    <row r="221" spans="1:8" x14ac:dyDescent="0.3">
      <c r="A221" t="s">
        <v>87</v>
      </c>
      <c r="B221" t="s">
        <v>520</v>
      </c>
    </row>
    <row r="222" spans="1:8" x14ac:dyDescent="0.3">
      <c r="A222" t="s">
        <v>88</v>
      </c>
      <c r="B222" s="12"/>
    </row>
    <row r="223" spans="1:8" x14ac:dyDescent="0.3">
      <c r="A223" t="s">
        <v>89</v>
      </c>
      <c r="B223" s="12">
        <v>2030</v>
      </c>
    </row>
    <row r="224" spans="1:8" x14ac:dyDescent="0.3">
      <c r="A224" t="s">
        <v>131</v>
      </c>
      <c r="B224" s="12" t="str">
        <f>B221&amp;" - "&amp;B223&amp;" - "&amp;B220</f>
        <v>Motorbike, electric, &lt;4kW - 2030 - CH</v>
      </c>
    </row>
    <row r="225" spans="1:2" x14ac:dyDescent="0.3">
      <c r="A225" t="s">
        <v>74</v>
      </c>
      <c r="B225" s="12" t="str">
        <f>"transport, "&amp;B221</f>
        <v>transport, Motorbike, electric, &lt;4kW</v>
      </c>
    </row>
    <row r="226" spans="1:2" x14ac:dyDescent="0.3">
      <c r="A226" t="s">
        <v>75</v>
      </c>
      <c r="B226" t="s">
        <v>76</v>
      </c>
    </row>
    <row r="227" spans="1:2" x14ac:dyDescent="0.3">
      <c r="A227" t="s">
        <v>77</v>
      </c>
      <c r="B227" t="s">
        <v>172</v>
      </c>
    </row>
    <row r="228" spans="1:2" x14ac:dyDescent="0.3">
      <c r="A228" t="s">
        <v>79</v>
      </c>
      <c r="B228" t="s">
        <v>90</v>
      </c>
    </row>
    <row r="229" spans="1:2" x14ac:dyDescent="0.3">
      <c r="A229" t="s">
        <v>132</v>
      </c>
      <c r="B229">
        <f>INDEX('vehicles specifications'!$B$3:$CK$86,MATCH(B224,'vehicles specifications'!$A$3:$A$86,0),MATCH("Lifetime [km]",'vehicles specifications'!$B$2:$CK$2,0))</f>
        <v>33400</v>
      </c>
    </row>
    <row r="230" spans="1:2" x14ac:dyDescent="0.3">
      <c r="A230" t="s">
        <v>133</v>
      </c>
      <c r="B230">
        <f>INDEX('vehicles specifications'!$B$3:$CK$86,MATCH(B224,'vehicles specifications'!$A$3:$A$86,0),MATCH("Passengers [unit]",'vehicles specifications'!$B$2:$CK$2,0))</f>
        <v>1.1000000000000001</v>
      </c>
    </row>
    <row r="231" spans="1:2" x14ac:dyDescent="0.3">
      <c r="A231" t="s">
        <v>134</v>
      </c>
      <c r="B231">
        <f>INDEX('vehicles specifications'!$B$3:$CK$86,MATCH(B224,'vehicles specifications'!$A$3:$A$86,0),MATCH("Servicing [unit]",'vehicles specifications'!$B$2:$CK$2,0))</f>
        <v>0.66800000000000004</v>
      </c>
    </row>
    <row r="232" spans="1:2" x14ac:dyDescent="0.3">
      <c r="A232" t="s">
        <v>135</v>
      </c>
      <c r="B232">
        <f>INDEX('vehicles specifications'!$B$3:$CK$86,MATCH(B224,'vehicles specifications'!$A$3:$A$86,0),MATCH("Energy battery replacement [unit]",'vehicles specifications'!$B$2:$CK$2,0))</f>
        <v>0.5</v>
      </c>
    </row>
    <row r="233" spans="1:2" x14ac:dyDescent="0.3">
      <c r="A233" t="s">
        <v>136</v>
      </c>
      <c r="B233">
        <f>INDEX('vehicles specifications'!$B$3:$CK$86,MATCH(B224,'vehicles specifications'!$A$3:$A$86,0),MATCH("Annual kilometers [km]",'vehicles specifications'!$B$2:$CK$2,0))</f>
        <v>2553</v>
      </c>
    </row>
    <row r="234" spans="1:2" x14ac:dyDescent="0.3">
      <c r="A234" t="s">
        <v>137</v>
      </c>
      <c r="B234" s="2">
        <f>INDEX('vehicles specifications'!$B$3:$CK$86,MATCH(B224,'vehicles specifications'!$A$3:$A$86,0),MATCH("Curb mass [kg]",'vehicles specifications'!$B$2:$CK$2,0))</f>
        <v>76.209999999999994</v>
      </c>
    </row>
    <row r="235" spans="1:2" x14ac:dyDescent="0.3">
      <c r="A235" t="s">
        <v>138</v>
      </c>
      <c r="B235">
        <f>INDEX('vehicles specifications'!$B$3:$CK$86,MATCH(B224,'vehicles specifications'!$A$3:$A$86,0),MATCH("Power [kW]",'vehicles specifications'!$B$2:$CK$2,0))</f>
        <v>2.5</v>
      </c>
    </row>
    <row r="236" spans="1:2" x14ac:dyDescent="0.3">
      <c r="A236" t="s">
        <v>139</v>
      </c>
      <c r="B236">
        <f>INDEX('vehicles specifications'!$B$3:$CK$86,MATCH(B224,'vehicles specifications'!$A$3:$A$86,0),MATCH("Energy battery mass [kg]",'vehicles specifications'!$B$2:$CK$2,0))</f>
        <v>12.8</v>
      </c>
    </row>
    <row r="237" spans="1:2" x14ac:dyDescent="0.3">
      <c r="A237" t="s">
        <v>140</v>
      </c>
      <c r="B237" s="21">
        <f>INDEX('vehicles specifications'!$B$3:$CK$86,MATCH(B224,'vehicles specifications'!$A$3:$A$86,0),MATCH("Electric energy stored [kWh]",'vehicles specifications'!$B$2:$CK$2,0))</f>
        <v>3.2</v>
      </c>
    </row>
    <row r="238" spans="1:2" s="21" customFormat="1" x14ac:dyDescent="0.3">
      <c r="A238" s="21" t="s">
        <v>654</v>
      </c>
      <c r="B238" s="21">
        <f>INDEX('vehicles specifications'!$B$3:$CK$86,MATCH(B224,'vehicles specifications'!$A$3:$A$86,0),MATCH("Electric energy available [kWh]",'vehicles specifications'!$B$2:$CK$2,0))</f>
        <v>2.5600000000000005</v>
      </c>
    </row>
    <row r="239" spans="1:2" x14ac:dyDescent="0.3">
      <c r="A239" t="s">
        <v>143</v>
      </c>
      <c r="B239" s="2">
        <f>INDEX('vehicles specifications'!$B$3:$CK$86,MATCH(B224,'vehicles specifications'!$A$3:$A$86,0),MATCH("Oxydation energy stored [kWh]",'vehicles specifications'!$B$2:$CK$2,0))</f>
        <v>0</v>
      </c>
    </row>
    <row r="240" spans="1:2" x14ac:dyDescent="0.3">
      <c r="A240" t="s">
        <v>145</v>
      </c>
      <c r="B240">
        <f>INDEX('vehicles specifications'!$B$3:$CK$86,MATCH(B224,'vehicles specifications'!$A$3:$A$86,0),MATCH("Fuel mass [kg]",'vehicles specifications'!$B$2:$CK$2,0))</f>
        <v>0</v>
      </c>
    </row>
    <row r="241" spans="1:8" x14ac:dyDescent="0.3">
      <c r="A241" t="s">
        <v>141</v>
      </c>
      <c r="B241" s="2">
        <f>INDEX('vehicles specifications'!$B$3:$CK$86,MATCH(B224,'vehicles specifications'!$A$3:$A$86,0),MATCH("Range [km]",'vehicles specifications'!$B$2:$CK$2,0))</f>
        <v>76.165289256198363</v>
      </c>
    </row>
    <row r="242" spans="1:8" x14ac:dyDescent="0.3">
      <c r="A242" t="s">
        <v>142</v>
      </c>
      <c r="B242" t="str">
        <f>INDEX('vehicles specifications'!$B$3:$CK$86,MATCH(B224,'vehicles specifications'!$A$3:$A$86,0),MATCH("Emission standard",'vehicles specifications'!$B$2:$CK$2,0))</f>
        <v>None</v>
      </c>
    </row>
    <row r="243" spans="1:8" x14ac:dyDescent="0.3">
      <c r="A243" t="s">
        <v>144</v>
      </c>
      <c r="B243" s="6">
        <f>INDEX('vehicles specifications'!$B$3:$CK$86,MATCH(B224,'vehicles specifications'!$A$3:$A$86,0),MATCH("Lightweighting rate [%]",'vehicles specifications'!$B$2:$CK$2,0))</f>
        <v>0.03</v>
      </c>
    </row>
    <row r="244" spans="1:8" x14ac:dyDescent="0.3">
      <c r="A244" t="s">
        <v>84</v>
      </c>
      <c r="B244" s="21" t="str">
        <f>"Power: "&amp;B235&amp;" kW. Lifetime: "&amp;B229&amp;" km. Annual kilometers: "&amp;B233&amp;" km. Number of passengers: "&amp;B230&amp;". Curb mass: "&amp;ROUND(B234,1)&amp;" kg. Lightweighting of glider: "&amp;ROUND(B243*100,0)&amp;"%. Emission standard: "&amp;B242&amp;". Service visits throughout lifetime: "&amp;ROUND(B231,1)&amp;". Range: "&amp;ROUND(B241,0)&amp;" km. Battery capacity: "&amp;ROUND(B237,1)&amp;" kWh. Available battery capacity: "&amp;B238&amp;" kWh. Battery mass: "&amp;ROUND(B236,1)&amp; " kg. Battery replacement throughout lifetime: "&amp;ROUND(B232,1)&amp;". Fuel tank capacity: "&amp;ROUND(B239,1)&amp;" kWh. Fuel mass: "&amp;ROUND(B240,1)&amp;" kg. Documentation: "&amp;Readmefirst!$B$2&amp;", "&amp;Readmefirst!$B$3&amp;". "&amp;'lci-kick scooter'!B183</f>
        <v>Power: 2.5 kW. Lifetime: 33400 km. Annual kilometers: 2553 km. Number of passengers: 1.1. Curb mass: 76.2 kg. Lightweighting of glider: 3%. Emission standard: None. Service visits throughout lifetime: 0.7. Range: 76 km. Battery capacity: 3.2 kWh. Available battery capacity: 2.56 kWh. Battery mass: 12.8 kg. Battery replacement throughout lifetime: 0.5. Fuel tank capacity: 0 kWh. Fuel mass: 0 kg. Documentation: 2021 UVEK life-cycle inventories update of on-road vehicles, Sacchi R. (PSI), Bauer C. (PSI), 2021. kilometer</v>
      </c>
    </row>
    <row r="245" spans="1:8" ht="15.6" x14ac:dyDescent="0.3">
      <c r="A245" s="11" t="s">
        <v>80</v>
      </c>
    </row>
    <row r="246" spans="1:8" x14ac:dyDescent="0.3">
      <c r="A246" t="s">
        <v>81</v>
      </c>
      <c r="B246" t="s">
        <v>82</v>
      </c>
      <c r="C246" t="s">
        <v>73</v>
      </c>
      <c r="D246" t="s">
        <v>77</v>
      </c>
      <c r="E246" t="s">
        <v>83</v>
      </c>
      <c r="F246" t="s">
        <v>75</v>
      </c>
      <c r="G246" t="s">
        <v>84</v>
      </c>
      <c r="H246" t="s">
        <v>74</v>
      </c>
    </row>
    <row r="247" spans="1:8" x14ac:dyDescent="0.3">
      <c r="A247" s="12" t="str">
        <f>B219</f>
        <v>transport, Motorbike, electric, &lt;4kW, 2030</v>
      </c>
      <c r="B247" s="12">
        <v>1</v>
      </c>
      <c r="C247" s="12" t="str">
        <f>B220</f>
        <v>CH</v>
      </c>
      <c r="D247" s="12" t="s">
        <v>172</v>
      </c>
      <c r="E247" s="12"/>
      <c r="F247" s="12" t="s">
        <v>85</v>
      </c>
      <c r="G247" s="12" t="s">
        <v>86</v>
      </c>
      <c r="H247" s="12" t="str">
        <f>B225</f>
        <v>transport, Motorbike, electric, &lt;4kW</v>
      </c>
    </row>
    <row r="248" spans="1:8" x14ac:dyDescent="0.3">
      <c r="A248" s="12" t="str">
        <f>RIGHT(A247,LEN(A247)-11)</f>
        <v>Motorbike, electric, &lt;4kW, 2030</v>
      </c>
      <c r="B248" s="12">
        <f>1/B229</f>
        <v>2.9940119760479042E-5</v>
      </c>
      <c r="C248" s="12" t="str">
        <f>B220</f>
        <v>CH</v>
      </c>
      <c r="D248" s="12" t="s">
        <v>77</v>
      </c>
      <c r="E248" s="12"/>
      <c r="F248" s="12" t="s">
        <v>91</v>
      </c>
      <c r="G248" s="12"/>
      <c r="H248" s="12" t="str">
        <f>RIGHT(H247,LEN(H247)-11)</f>
        <v>Motorbike, electric, &lt;4kW</v>
      </c>
    </row>
    <row r="249" spans="1:8" x14ac:dyDescent="0.3">
      <c r="A249" s="12" t="str">
        <f>INDEX('ei names mapping'!$B$4:$R$33,MATCH(B221,'ei names mapping'!$A$4:$A$33,0),MATCH(G249,'ei names mapping'!$B$3:$R$3,0))</f>
        <v>road maintenance</v>
      </c>
      <c r="B249" s="16">
        <f>INDEX('vehicles specifications'!$B$3:$CK$86,MATCH(B224,'vehicles specifications'!$A$3:$A$86,0),MATCH(G249,'vehicles specifications'!$B$2:$CK$2,0))*INDEX('ei names mapping'!$B$137:$BK$220,MATCH(B224,'ei names mapping'!$A$137:$A$220,0),MATCH(G249,'ei names mapping'!$B$136:$BK$136,0))</f>
        <v>1.2899999999999999E-3</v>
      </c>
      <c r="C249" s="12" t="str">
        <f>INDEX('ei names mapping'!$B$38:$R$67,MATCH(B221,'ei names mapping'!$A$4:$A$33,0),MATCH(G249,'ei names mapping'!$B$3:$R$3,0))</f>
        <v>CH</v>
      </c>
      <c r="D249" s="12" t="str">
        <f>INDEX('ei names mapping'!$B$104:$BK$133,MATCH(B221,'ei names mapping'!$A$4:$A$33,0),MATCH(G249,'ei names mapping'!$B$3:$BK$3,0))</f>
        <v>meter-year</v>
      </c>
      <c r="E249" s="12"/>
      <c r="F249" s="12" t="s">
        <v>91</v>
      </c>
      <c r="G249" t="s">
        <v>117</v>
      </c>
      <c r="H249" s="12" t="str">
        <f>INDEX('ei names mapping'!$B$71:$BK$100,MATCH(B221,'ei names mapping'!$A$4:$A$33,0),MATCH(G249,'ei names mapping'!$B$3:$BK$3,0))</f>
        <v>road maintenance</v>
      </c>
    </row>
    <row r="250" spans="1:8" x14ac:dyDescent="0.3">
      <c r="A250" s="12" t="str">
        <f>INDEX('ei names mapping'!$B$4:$R$33,MATCH(B221,'ei names mapping'!$A$4:$A$33,0),MATCH(G250,'ei names mapping'!$B$3:$R$3,0))</f>
        <v>market for electricity, low voltage</v>
      </c>
      <c r="B250" s="14">
        <f>INDEX('vehicles specifications'!$B$3:$CK$86,MATCH(B224,'vehicles specifications'!$A$3:$A$86,0),MATCH(G250,'vehicles specifications'!$B$2:$CK$2,0))*INDEX('ei names mapping'!$B$137:$BK$220,MATCH(B224,'ei names mapping'!$A$137:$A$220,0),MATCH(G250,'ei names mapping'!$B$136:$BK$136,0))</f>
        <v>3.6972222222222226E-2</v>
      </c>
      <c r="C250" s="12" t="str">
        <f>INDEX('ei names mapping'!$B$38:$R$67,MATCH($B$3,'ei names mapping'!$A$4:$A$33,0),MATCH(G250,'ei names mapping'!$B$3:$R$3,0))</f>
        <v>CH</v>
      </c>
      <c r="D250" s="12" t="str">
        <f>INDEX('ei names mapping'!$B$104:$R$133,MATCH($B$3,'ei names mapping'!$A$4:$A$33,0),MATCH(G250,'ei names mapping'!$B$3:$R$3,0))</f>
        <v>kilowatt hour</v>
      </c>
      <c r="E250" s="12"/>
      <c r="F250" s="12" t="s">
        <v>91</v>
      </c>
      <c r="G250" t="s">
        <v>28</v>
      </c>
      <c r="H250" s="12" t="str">
        <f>INDEX('ei names mapping'!$B$71:$R$100,MATCH(B221,'ei names mapping'!$A$4:$A$33,0),MATCH(G250,'ei names mapping'!$B$3:$R$3,0))</f>
        <v>electricity, low voltage</v>
      </c>
    </row>
    <row r="251" spans="1:8" x14ac:dyDescent="0.3">
      <c r="A251" s="12" t="str">
        <f>INDEX('ei names mapping'!$B$4:$R$33,MATCH(B221,'ei names mapping'!$A$4:$A$33,0),MATCH(G251,'ei names mapping'!$B$3:$R$3,0))</f>
        <v>market for maintenance, electric scooter, without battery</v>
      </c>
      <c r="B251" s="16">
        <f>INDEX('vehicles specifications'!$B$3:$CK$86,MATCH(B224,'vehicles specifications'!$A$3:$A$86,0),MATCH(G251,'vehicles specifications'!$B$2:$CK$2,0))*INDEX('ei names mapping'!$B$137:$BK$220,MATCH(B224,'ei names mapping'!$A$137:$A$220,0),MATCH(G251,'ei names mapping'!$B$136:$BK$136,0))</f>
        <v>2.0000000000000002E-5</v>
      </c>
      <c r="C251" s="12" t="str">
        <f>INDEX('ei names mapping'!$B$38:$BK$67,MATCH(B221,'ei names mapping'!$A$4:$A$33,0),MATCH(G251,'ei names mapping'!$B$3:$BK$3,0))</f>
        <v>GLO</v>
      </c>
      <c r="D251" s="12" t="str">
        <f>INDEX('ei names mapping'!$B$104:$BK$133,MATCH(B221,'ei names mapping'!$A$4:$A$33,0),MATCH(G251,'ei names mapping'!$B$3:$BK$3,0))</f>
        <v>unit</v>
      </c>
      <c r="F251" s="12" t="s">
        <v>91</v>
      </c>
      <c r="G251" s="12" t="s">
        <v>123</v>
      </c>
      <c r="H251" s="12" t="str">
        <f>INDEX('ei names mapping'!$B$71:$BK$100,MATCH(B221,'ei names mapping'!$A$4:$A$33,0),MATCH(G251,'ei names mapping'!$B$3:$BK$3,0))</f>
        <v>maintenance, electric scooter, without battery</v>
      </c>
    </row>
    <row r="252" spans="1:8" s="21" customFormat="1" x14ac:dyDescent="0.3">
      <c r="A252" s="12" t="str">
        <f>INDEX('ei names mapping'!$B$4:$R$33,MATCH(B221,'ei names mapping'!$A$4:$A$33,0),MATCH(G252,'ei names mapping'!$B$3:$R$3,0))</f>
        <v>road construction</v>
      </c>
      <c r="B252" s="16">
        <f>INDEX('vehicles specifications'!$B$3:$CK$86,MATCH(B224,'vehicles specifications'!$A$3:$A$86,0),MATCH(G252,'vehicles specifications'!$B$2:$CK$2,0))*INDEX('ei names mapping'!$B$137:$BK$220,MATCH(B224,'ei names mapping'!$A$137:$A$220,0),MATCH(G252,'ei names mapping'!$B$136:$BK$136,0))</f>
        <v>8.5495769999999993E-5</v>
      </c>
      <c r="C252" s="12" t="str">
        <f>INDEX('ei names mapping'!$B$38:$R$67,MATCH(B221,'ei names mapping'!$A$4:$A$33,0),MATCH(G252,'ei names mapping'!$B$3:$R$3,0))</f>
        <v>CH</v>
      </c>
      <c r="D252" s="12" t="str">
        <f>INDEX('ei names mapping'!$B$104:$R$133,MATCH(B221,'ei names mapping'!$A$104:$A$133,0),MATCH(G252,'ei names mapping'!$B$3:$R$3,0))</f>
        <v>meter-year</v>
      </c>
      <c r="E252" s="12"/>
      <c r="F252" s="12" t="s">
        <v>91</v>
      </c>
      <c r="G252" s="21" t="s">
        <v>108</v>
      </c>
      <c r="H252" s="12" t="str">
        <f>INDEX('ei names mapping'!$B$71:$R$100,MATCH(B221,'ei names mapping'!$A$4:$A$33,0),MATCH(G252,'ei names mapping'!$B$3:$R$3,0))</f>
        <v>road</v>
      </c>
    </row>
    <row r="253" spans="1:8" x14ac:dyDescent="0.3">
      <c r="A253" s="12" t="str">
        <f>INDEX('ei names mapping'!$B$4:$BK$33,MATCH(B221,'ei names mapping'!$A$4:$A$33,0),MATCH(G253,'ei names mapping'!$B$3:$BK$3,0))</f>
        <v>treatment of road wear emissions, passenger car</v>
      </c>
      <c r="B253" s="16">
        <f>INDEX('vehicles specifications'!$B$3:$CK$86,MATCH(B224,'vehicles specifications'!$A$3:$A$86,0),MATCH(G253,'vehicles specifications'!$B$2:$CK$2,0))*INDEX('ei names mapping'!$B$137:$BK$220,MATCH(B224,'ei names mapping'!$A$137:$A$220,0),MATCH(G253,'ei names mapping'!$B$136:$BK$136,0))</f>
        <v>-6.0000000000000002E-6</v>
      </c>
      <c r="C253" s="12" t="str">
        <f>INDEX('ei names mapping'!$B$38:$BK$67,MATCH(B221,'ei names mapping'!$A$4:$A$33,0),MATCH(G253,'ei names mapping'!$B$3:$BK$3,0))</f>
        <v>RER</v>
      </c>
      <c r="D253" s="12" t="str">
        <f>INDEX('ei names mapping'!$B$104:$BK$133,MATCH(B221,'ei names mapping'!$A$4:$A$33,0),MATCH(G253,'ei names mapping'!$B$3:$BK$3,0))</f>
        <v>kilogram</v>
      </c>
      <c r="E253" s="12"/>
      <c r="F253" s="12" t="s">
        <v>91</v>
      </c>
      <c r="G253" t="s">
        <v>29</v>
      </c>
      <c r="H253" s="12" t="str">
        <f>INDEX('ei names mapping'!$B$71:$BK$100,MATCH(B221,'ei names mapping'!$A$4:$A$33,0),MATCH(G253,'ei names mapping'!$B$3:$BK$3,0))</f>
        <v>road wear emissions, passenger car</v>
      </c>
    </row>
    <row r="254" spans="1:8" x14ac:dyDescent="0.3">
      <c r="A254" s="12" t="str">
        <f>INDEX('ei names mapping'!$B$4:$BK$33,MATCH(B221,'ei names mapping'!$A$4:$A$33,0),MATCH(G254,'ei names mapping'!$B$3:$BK$3,0))</f>
        <v>treatment of tyre wear emissions, passenger car</v>
      </c>
      <c r="B254" s="16">
        <f>INDEX('vehicles specifications'!$B$3:$CK$86,MATCH(B224,'vehicles specifications'!$A$3:$A$86,0),MATCH(G254,'vehicles specifications'!$B$2:$CK$2,0))*INDEX('ei names mapping'!$B$137:$BK$220,MATCH(B224,'ei names mapping'!$A$137:$A$220,0),MATCH(G254,'ei names mapping'!$B$136:$BK$136,0))</f>
        <v>-7.3669999999999991E-6</v>
      </c>
      <c r="C254" s="12" t="str">
        <f>INDEX('ei names mapping'!$B$38:$BK$67,MATCH(B221,'ei names mapping'!$A$4:$A$33,0),MATCH(G254,'ei names mapping'!$B$3:$BK$3,0))</f>
        <v>RER</v>
      </c>
      <c r="D254" s="12" t="str">
        <f>INDEX('ei names mapping'!$B$104:$BK$133,MATCH(B221,'ei names mapping'!$A$4:$A$33,0),MATCH(G254,'ei names mapping'!$B$3:$BK$3,0))</f>
        <v>kilogram</v>
      </c>
      <c r="E254" s="12"/>
      <c r="F254" s="12" t="s">
        <v>91</v>
      </c>
      <c r="G254" t="s">
        <v>30</v>
      </c>
      <c r="H254" s="12" t="str">
        <f>INDEX('ei names mapping'!$B$71:$BK$100,MATCH(B221,'ei names mapping'!$A$4:$A$33,0),MATCH(G254,'ei names mapping'!$B$3:$BK$3,0))</f>
        <v>tyre wear emissions, passenger car</v>
      </c>
    </row>
    <row r="255" spans="1:8" x14ac:dyDescent="0.3">
      <c r="A255" s="12" t="str">
        <f>INDEX('ei names mapping'!$B$4:$BK$33,MATCH(B221,'ei names mapping'!$A$4:$A$33,0),MATCH(G255,'ei names mapping'!$B$3:$BK$3,0))</f>
        <v>treatment of brake wear emissions, passenger car</v>
      </c>
      <c r="B255" s="16">
        <f>INDEX('vehicles specifications'!$B$3:$CK$86,MATCH(B224,'vehicles specifications'!$A$3:$A$86,0),MATCH(G255,'vehicles specifications'!$B$2:$CK$2,0))*INDEX('ei names mapping'!$B$137:$BK$220,MATCH(B224,'ei names mapping'!$A$137:$A$220,0),MATCH(G255,'ei names mapping'!$B$136:$BK$136,0))</f>
        <v>-4.1749999999999998E-6</v>
      </c>
      <c r="C255" s="12" t="str">
        <f>INDEX('ei names mapping'!$B$38:$BK$67,MATCH(B221,'ei names mapping'!$A$4:$A$33,0),MATCH(G255,'ei names mapping'!$B$3:$BK$3,0))</f>
        <v>RER</v>
      </c>
      <c r="D255" s="12" t="str">
        <f>INDEX('ei names mapping'!$B$104:$BK$133,MATCH(B221,'ei names mapping'!$A$4:$A$33,0),MATCH(G255,'ei names mapping'!$B$3:$BK$3,0))</f>
        <v>kilogram</v>
      </c>
      <c r="E255" s="12"/>
      <c r="F255" s="12" t="s">
        <v>91</v>
      </c>
      <c r="G255" t="s">
        <v>31</v>
      </c>
      <c r="H255" s="12" t="str">
        <f>INDEX('ei names mapping'!$B$71:$BK$100,MATCH(B221,'ei names mapping'!$A$4:$A$33,0),MATCH(G255,'ei names mapping'!$B$3:$BK$3,0))</f>
        <v>brake wear emissions, passenger car</v>
      </c>
    </row>
    <row r="257" spans="1:2" ht="15.6" x14ac:dyDescent="0.3">
      <c r="A257" s="11" t="s">
        <v>72</v>
      </c>
      <c r="B257" s="9" t="str">
        <f>"transport, "&amp;B259&amp;", "&amp;B261</f>
        <v>transport, Motorbike, electric, &lt;4kW, 2040</v>
      </c>
    </row>
    <row r="258" spans="1:2" x14ac:dyDescent="0.3">
      <c r="A258" t="s">
        <v>73</v>
      </c>
      <c r="B258" t="s">
        <v>37</v>
      </c>
    </row>
    <row r="259" spans="1:2" x14ac:dyDescent="0.3">
      <c r="A259" t="s">
        <v>87</v>
      </c>
      <c r="B259" t="s">
        <v>520</v>
      </c>
    </row>
    <row r="260" spans="1:2" x14ac:dyDescent="0.3">
      <c r="A260" t="s">
        <v>88</v>
      </c>
      <c r="B260" s="12"/>
    </row>
    <row r="261" spans="1:2" x14ac:dyDescent="0.3">
      <c r="A261" t="s">
        <v>89</v>
      </c>
      <c r="B261" s="12">
        <v>2040</v>
      </c>
    </row>
    <row r="262" spans="1:2" x14ac:dyDescent="0.3">
      <c r="A262" t="s">
        <v>131</v>
      </c>
      <c r="B262" s="12" t="str">
        <f>B259&amp;" - "&amp;B261&amp;" - "&amp;B258</f>
        <v>Motorbike, electric, &lt;4kW - 2040 - CH</v>
      </c>
    </row>
    <row r="263" spans="1:2" x14ac:dyDescent="0.3">
      <c r="A263" t="s">
        <v>74</v>
      </c>
      <c r="B263" s="12" t="str">
        <f>"transport, "&amp;B259</f>
        <v>transport, Motorbike, electric, &lt;4kW</v>
      </c>
    </row>
    <row r="264" spans="1:2" x14ac:dyDescent="0.3">
      <c r="A264" t="s">
        <v>75</v>
      </c>
      <c r="B264" t="s">
        <v>76</v>
      </c>
    </row>
    <row r="265" spans="1:2" x14ac:dyDescent="0.3">
      <c r="A265" t="s">
        <v>77</v>
      </c>
      <c r="B265" t="s">
        <v>172</v>
      </c>
    </row>
    <row r="266" spans="1:2" x14ac:dyDescent="0.3">
      <c r="A266" t="s">
        <v>79</v>
      </c>
      <c r="B266" t="s">
        <v>90</v>
      </c>
    </row>
    <row r="267" spans="1:2" x14ac:dyDescent="0.3">
      <c r="A267" t="s">
        <v>132</v>
      </c>
      <c r="B267">
        <f>INDEX('vehicles specifications'!$B$3:$CK$86,MATCH(B262,'vehicles specifications'!$A$3:$A$86,0),MATCH("Lifetime [km]",'vehicles specifications'!$B$2:$CK$2,0))</f>
        <v>33400</v>
      </c>
    </row>
    <row r="268" spans="1:2" x14ac:dyDescent="0.3">
      <c r="A268" t="s">
        <v>133</v>
      </c>
      <c r="B268">
        <f>INDEX('vehicles specifications'!$B$3:$CK$86,MATCH(B262,'vehicles specifications'!$A$3:$A$86,0),MATCH("Passengers [unit]",'vehicles specifications'!$B$2:$CK$2,0))</f>
        <v>1.1000000000000001</v>
      </c>
    </row>
    <row r="269" spans="1:2" x14ac:dyDescent="0.3">
      <c r="A269" t="s">
        <v>134</v>
      </c>
      <c r="B269">
        <f>INDEX('vehicles specifications'!$B$3:$CK$86,MATCH(B262,'vehicles specifications'!$A$3:$A$86,0),MATCH("Servicing [unit]",'vehicles specifications'!$B$2:$CK$2,0))</f>
        <v>0.66800000000000004</v>
      </c>
    </row>
    <row r="270" spans="1:2" x14ac:dyDescent="0.3">
      <c r="A270" t="s">
        <v>135</v>
      </c>
      <c r="B270">
        <f>INDEX('vehicles specifications'!$B$3:$CK$86,MATCH(B262,'vehicles specifications'!$A$3:$A$86,0),MATCH("Energy battery replacement [unit]",'vehicles specifications'!$B$2:$CK$2,0))</f>
        <v>0.25</v>
      </c>
    </row>
    <row r="271" spans="1:2" x14ac:dyDescent="0.3">
      <c r="A271" t="s">
        <v>136</v>
      </c>
      <c r="B271">
        <f>INDEX('vehicles specifications'!$B$3:$CK$86,MATCH(B262,'vehicles specifications'!$A$3:$A$86,0),MATCH("Annual kilometers [km]",'vehicles specifications'!$B$2:$CK$2,0))</f>
        <v>2553</v>
      </c>
    </row>
    <row r="272" spans="1:2" x14ac:dyDescent="0.3">
      <c r="A272" t="s">
        <v>137</v>
      </c>
      <c r="B272" s="2">
        <f>INDEX('vehicles specifications'!$B$3:$CK$86,MATCH(B262,'vehicles specifications'!$A$3:$A$86,0),MATCH("Curb mass [kg]",'vehicles specifications'!$B$2:$CK$2,0))</f>
        <v>75.849999999999994</v>
      </c>
    </row>
    <row r="273" spans="1:8" x14ac:dyDescent="0.3">
      <c r="A273" t="s">
        <v>138</v>
      </c>
      <c r="B273">
        <f>INDEX('vehicles specifications'!$B$3:$CK$86,MATCH(B262,'vehicles specifications'!$A$3:$A$86,0),MATCH("Power [kW]",'vehicles specifications'!$B$2:$CK$2,0))</f>
        <v>2.5</v>
      </c>
    </row>
    <row r="274" spans="1:8" x14ac:dyDescent="0.3">
      <c r="A274" t="s">
        <v>139</v>
      </c>
      <c r="B274">
        <f>INDEX('vehicles specifications'!$B$3:$CK$86,MATCH(B262,'vehicles specifications'!$A$3:$A$86,0),MATCH("Energy battery mass [kg]",'vehicles specifications'!$B$2:$CK$2,0))</f>
        <v>13.5</v>
      </c>
    </row>
    <row r="275" spans="1:8" x14ac:dyDescent="0.3">
      <c r="A275" t="s">
        <v>140</v>
      </c>
      <c r="B275" s="21">
        <f>INDEX('vehicles specifications'!$B$3:$CK$86,MATCH(B262,'vehicles specifications'!$A$3:$A$86,0),MATCH("Electric energy stored [kWh]",'vehicles specifications'!$B$2:$CK$2,0))</f>
        <v>4.5</v>
      </c>
    </row>
    <row r="276" spans="1:8" s="21" customFormat="1" x14ac:dyDescent="0.3">
      <c r="A276" s="21" t="s">
        <v>654</v>
      </c>
      <c r="B276" s="21">
        <f>INDEX('vehicles specifications'!$B$3:$CK$86,MATCH(B262,'vehicles specifications'!$A$3:$A$86,0),MATCH("Electric energy available [kWh]",'vehicles specifications'!$B$2:$CK$2,0))</f>
        <v>3.6</v>
      </c>
    </row>
    <row r="277" spans="1:8" x14ac:dyDescent="0.3">
      <c r="A277" t="s">
        <v>143</v>
      </c>
      <c r="B277" s="2">
        <f>INDEX('vehicles specifications'!$B$3:$CK$86,MATCH(B262,'vehicles specifications'!$A$3:$A$86,0),MATCH("Oxydation energy stored [kWh]",'vehicles specifications'!$B$2:$CK$2,0))</f>
        <v>0</v>
      </c>
    </row>
    <row r="278" spans="1:8" x14ac:dyDescent="0.3">
      <c r="A278" t="s">
        <v>145</v>
      </c>
      <c r="B278">
        <f>INDEX('vehicles specifications'!$B$3:$CK$86,MATCH(B262,'vehicles specifications'!$A$3:$A$86,0),MATCH("Fuel mass [kg]",'vehicles specifications'!$B$2:$CK$2,0))</f>
        <v>0</v>
      </c>
    </row>
    <row r="279" spans="1:8" x14ac:dyDescent="0.3">
      <c r="A279" t="s">
        <v>141</v>
      </c>
      <c r="B279" s="2">
        <f>INDEX('vehicles specifications'!$B$3:$CK$86,MATCH(B262,'vehicles specifications'!$A$3:$A$86,0),MATCH("Range [km]",'vehicles specifications'!$B$2:$CK$2,0))</f>
        <v>107.10743801652892</v>
      </c>
    </row>
    <row r="280" spans="1:8" x14ac:dyDescent="0.3">
      <c r="A280" t="s">
        <v>142</v>
      </c>
      <c r="B280" t="str">
        <f>INDEX('vehicles specifications'!$B$3:$CK$86,MATCH(B262,'vehicles specifications'!$A$3:$A$86,0),MATCH("Emission standard",'vehicles specifications'!$B$2:$CK$2,0))</f>
        <v>None</v>
      </c>
    </row>
    <row r="281" spans="1:8" x14ac:dyDescent="0.3">
      <c r="A281" t="s">
        <v>144</v>
      </c>
      <c r="B281" s="6">
        <f>INDEX('vehicles specifications'!$B$3:$CK$86,MATCH(B262,'vehicles specifications'!$A$3:$A$86,0),MATCH("Lightweighting rate [%]",'vehicles specifications'!$B$2:$CK$2,0))</f>
        <v>0.05</v>
      </c>
    </row>
    <row r="282" spans="1:8" x14ac:dyDescent="0.3">
      <c r="A282" t="s">
        <v>84</v>
      </c>
      <c r="B282" s="21" t="str">
        <f>"Power: "&amp;B273&amp;" kW. Lifetime: "&amp;B267&amp;" km. Annual kilometers: "&amp;B271&amp;" km. Number of passengers: "&amp;B268&amp;". Curb mass: "&amp;ROUND(B272,1)&amp;" kg. Lightweighting of glider: "&amp;ROUND(B281*100,0)&amp;"%. Emission standard: "&amp;B280&amp;". Service visits throughout lifetime: "&amp;ROUND(B269,1)&amp;". Range: "&amp;ROUND(B279,0)&amp;" km. Battery capacity: "&amp;ROUND(B275,1)&amp;" kWh. Available battery capacity: "&amp;B276&amp;" kWh. Battery mass: "&amp;ROUND(B274,1)&amp; " kg. Battery replacement throughout lifetime: "&amp;ROUND(B270,1)&amp;". Fuel tank capacity: "&amp;ROUND(B277,1)&amp;" kWh. Fuel mass: "&amp;ROUND(B278,1)&amp;" kg. Documentation: "&amp;Readmefirst!$B$2&amp;", "&amp;Readmefirst!$B$3&amp;". "&amp;'lci-kick scooter'!B221</f>
        <v>Power: 2.5 kW. Lifetime: 33400 km. Annual kilometers: 2553 km. Number of passengers: 1.1. Curb mass: 75.9 kg. Lightweighting of glider: 5%. Emission standard: None. Service visits throughout lifetime: 0.7. Range: 107 km. Battery capacity: 4.5 kWh. Available battery capacity: 3.6 kWh. Battery mass: 13.5 kg. Battery replacement throughout lifetime: 0.3. Fuel tank capacity: 0 kWh. Fuel mass: 0 kg. Documentation: 2021 UVEK life-cycle inventories update of on-road vehicles, Sacchi R. (PSI), Bauer C. (PSI), 2021. Adapted from Cox, B., Althaus, H.-J., Bauer, C., Sacchi, R., Mutel, C., Faist Emmenegger, M. and Spiegel, B. (2020). Umweltauswirkungen von Fahrzeugen im urbanen Kontext. Umwelt- und Gesundheitsschutz, Stadt Zürich; Tiefbauamt, Stadt Zürich; Amt für Abfall, Wasser, Energie und Luft, Kanton Zürich, Bern, Villigen, Zürich, Switzerland.</v>
      </c>
    </row>
    <row r="283" spans="1:8" ht="15.6" x14ac:dyDescent="0.3">
      <c r="A283" s="11" t="s">
        <v>80</v>
      </c>
    </row>
    <row r="284" spans="1:8" x14ac:dyDescent="0.3">
      <c r="A284" t="s">
        <v>81</v>
      </c>
      <c r="B284" t="s">
        <v>82</v>
      </c>
      <c r="C284" t="s">
        <v>73</v>
      </c>
      <c r="D284" t="s">
        <v>77</v>
      </c>
      <c r="E284" t="s">
        <v>83</v>
      </c>
      <c r="F284" t="s">
        <v>75</v>
      </c>
      <c r="G284" t="s">
        <v>84</v>
      </c>
      <c r="H284" t="s">
        <v>74</v>
      </c>
    </row>
    <row r="285" spans="1:8" x14ac:dyDescent="0.3">
      <c r="A285" s="12" t="str">
        <f>B257</f>
        <v>transport, Motorbike, electric, &lt;4kW, 2040</v>
      </c>
      <c r="B285" s="12">
        <v>1</v>
      </c>
      <c r="C285" s="12" t="str">
        <f>B258</f>
        <v>CH</v>
      </c>
      <c r="D285" s="12" t="s">
        <v>172</v>
      </c>
      <c r="E285" s="12"/>
      <c r="F285" s="12" t="s">
        <v>85</v>
      </c>
      <c r="G285" s="12" t="s">
        <v>86</v>
      </c>
      <c r="H285" s="12" t="str">
        <f>B263</f>
        <v>transport, Motorbike, electric, &lt;4kW</v>
      </c>
    </row>
    <row r="286" spans="1:8" x14ac:dyDescent="0.3">
      <c r="A286" s="12" t="str">
        <f>RIGHT(A285,LEN(A285)-11)</f>
        <v>Motorbike, electric, &lt;4kW, 2040</v>
      </c>
      <c r="B286" s="12">
        <f>1/B267</f>
        <v>2.9940119760479042E-5</v>
      </c>
      <c r="C286" s="12" t="str">
        <f>B258</f>
        <v>CH</v>
      </c>
      <c r="D286" s="12" t="s">
        <v>77</v>
      </c>
      <c r="E286" s="12"/>
      <c r="F286" s="12" t="s">
        <v>91</v>
      </c>
      <c r="G286" s="12"/>
      <c r="H286" s="12" t="str">
        <f>RIGHT(H285,LEN(H285)-11)</f>
        <v>Motorbike, electric, &lt;4kW</v>
      </c>
    </row>
    <row r="287" spans="1:8" x14ac:dyDescent="0.3">
      <c r="A287" s="12" t="str">
        <f>INDEX('ei names mapping'!$B$4:$R$33,MATCH(B259,'ei names mapping'!$A$4:$A$33,0),MATCH(G287,'ei names mapping'!$B$3:$R$3,0))</f>
        <v>road maintenance</v>
      </c>
      <c r="B287" s="16">
        <f>INDEX('vehicles specifications'!$B$3:$CK$86,MATCH(B262,'vehicles specifications'!$A$3:$A$86,0),MATCH(G287,'vehicles specifications'!$B$2:$CK$2,0))*INDEX('ei names mapping'!$B$137:$BK$220,MATCH(B262,'ei names mapping'!$A$137:$A$220,0),MATCH(G287,'ei names mapping'!$B$136:$BK$136,0))</f>
        <v>1.2899999999999999E-3</v>
      </c>
      <c r="C287" s="12" t="str">
        <f>INDEX('ei names mapping'!$B$38:$R$67,MATCH(B259,'ei names mapping'!$A$4:$A$33,0),MATCH(G287,'ei names mapping'!$B$3:$R$3,0))</f>
        <v>CH</v>
      </c>
      <c r="D287" s="12" t="str">
        <f>INDEX('ei names mapping'!$B$104:$BK$133,MATCH(B259,'ei names mapping'!$A$4:$A$33,0),MATCH(G287,'ei names mapping'!$B$3:$BK$3,0))</f>
        <v>meter-year</v>
      </c>
      <c r="E287" s="12"/>
      <c r="F287" s="12" t="s">
        <v>91</v>
      </c>
      <c r="G287" t="s">
        <v>117</v>
      </c>
      <c r="H287" s="12" t="str">
        <f>INDEX('ei names mapping'!$B$71:$BK$100,MATCH(B259,'ei names mapping'!$A$4:$A$33,0),MATCH(G287,'ei names mapping'!$B$3:$BK$3,0))</f>
        <v>road maintenance</v>
      </c>
    </row>
    <row r="288" spans="1:8" x14ac:dyDescent="0.3">
      <c r="A288" s="12" t="str">
        <f>INDEX('ei names mapping'!$B$4:$R$33,MATCH(B259,'ei names mapping'!$A$4:$A$33,0),MATCH(G288,'ei names mapping'!$B$3:$R$3,0))</f>
        <v>market for electricity, low voltage</v>
      </c>
      <c r="B288" s="14">
        <f>INDEX('vehicles specifications'!$B$3:$CK$86,MATCH(B262,'vehicles specifications'!$A$3:$A$86,0),MATCH(G288,'vehicles specifications'!$B$2:$CK$2,0))*INDEX('ei names mapping'!$B$137:$BK$220,MATCH(B262,'ei names mapping'!$A$137:$A$220,0),MATCH(G288,'ei names mapping'!$B$136:$BK$136,0))</f>
        <v>3.6972222222222226E-2</v>
      </c>
      <c r="C288" s="12" t="str">
        <f>INDEX('ei names mapping'!$B$38:$R$67,MATCH($B$3,'ei names mapping'!$A$4:$A$33,0),MATCH(G288,'ei names mapping'!$B$3:$R$3,0))</f>
        <v>CH</v>
      </c>
      <c r="D288" s="12" t="str">
        <f>INDEX('ei names mapping'!$B$104:$R$133,MATCH($B$3,'ei names mapping'!$A$4:$A$33,0),MATCH(G288,'ei names mapping'!$B$3:$R$3,0))</f>
        <v>kilowatt hour</v>
      </c>
      <c r="E288" s="12"/>
      <c r="F288" s="12" t="s">
        <v>91</v>
      </c>
      <c r="G288" t="s">
        <v>28</v>
      </c>
      <c r="H288" s="12" t="str">
        <f>INDEX('ei names mapping'!$B$71:$R$100,MATCH(B259,'ei names mapping'!$A$4:$A$33,0),MATCH(G288,'ei names mapping'!$B$3:$R$3,0))</f>
        <v>electricity, low voltage</v>
      </c>
    </row>
    <row r="289" spans="1:8" x14ac:dyDescent="0.3">
      <c r="A289" s="12" t="str">
        <f>INDEX('ei names mapping'!$B$4:$R$33,MATCH(B259,'ei names mapping'!$A$4:$A$33,0),MATCH(G289,'ei names mapping'!$B$3:$R$3,0))</f>
        <v>market for maintenance, electric scooter, without battery</v>
      </c>
      <c r="B289" s="16">
        <f>INDEX('vehicles specifications'!$B$3:$CK$86,MATCH(B262,'vehicles specifications'!$A$3:$A$86,0),MATCH(G289,'vehicles specifications'!$B$2:$CK$2,0))*INDEX('ei names mapping'!$B$137:$BK$220,MATCH(B262,'ei names mapping'!$A$137:$A$220,0),MATCH(G289,'ei names mapping'!$B$136:$BK$136,0))</f>
        <v>2.0000000000000002E-5</v>
      </c>
      <c r="C289" s="12" t="str">
        <f>INDEX('ei names mapping'!$B$38:$BK$67,MATCH(B259,'ei names mapping'!$A$4:$A$33,0),MATCH(G289,'ei names mapping'!$B$3:$BK$3,0))</f>
        <v>GLO</v>
      </c>
      <c r="D289" s="12" t="str">
        <f>INDEX('ei names mapping'!$B$104:$BK$133,MATCH(B259,'ei names mapping'!$A$4:$A$33,0),MATCH(G289,'ei names mapping'!$B$3:$BK$3,0))</f>
        <v>unit</v>
      </c>
      <c r="F289" s="12" t="s">
        <v>91</v>
      </c>
      <c r="G289" s="12" t="s">
        <v>123</v>
      </c>
      <c r="H289" s="12" t="str">
        <f>INDEX('ei names mapping'!$B$71:$BK$100,MATCH(B259,'ei names mapping'!$A$4:$A$33,0),MATCH(G289,'ei names mapping'!$B$3:$BK$3,0))</f>
        <v>maintenance, electric scooter, without battery</v>
      </c>
    </row>
    <row r="290" spans="1:8" s="21" customFormat="1" x14ac:dyDescent="0.3">
      <c r="A290" s="12" t="str">
        <f>INDEX('ei names mapping'!$B$4:$R$33,MATCH(B259,'ei names mapping'!$A$4:$A$33,0),MATCH(G290,'ei names mapping'!$B$3:$R$3,0))</f>
        <v>road construction</v>
      </c>
      <c r="B290" s="16">
        <f>INDEX('vehicles specifications'!$B$3:$CK$86,MATCH(B262,'vehicles specifications'!$A$3:$A$86,0),MATCH(G290,'vehicles specifications'!$B$2:$CK$2,0))*INDEX('ei names mapping'!$B$137:$BK$220,MATCH(B262,'ei names mapping'!$A$137:$A$220,0),MATCH(G290,'ei names mapping'!$B$136:$BK$136,0))</f>
        <v>8.5302449999999995E-5</v>
      </c>
      <c r="C290" s="12" t="str">
        <f>INDEX('ei names mapping'!$B$38:$R$67,MATCH(B259,'ei names mapping'!$A$4:$A$33,0),MATCH(G290,'ei names mapping'!$B$3:$R$3,0))</f>
        <v>CH</v>
      </c>
      <c r="D290" s="12" t="str">
        <f>INDEX('ei names mapping'!$B$104:$R$133,MATCH(B259,'ei names mapping'!$A$104:$A$133,0),MATCH(G290,'ei names mapping'!$B$3:$R$3,0))</f>
        <v>meter-year</v>
      </c>
      <c r="E290" s="12"/>
      <c r="F290" s="12" t="s">
        <v>91</v>
      </c>
      <c r="G290" s="21" t="s">
        <v>108</v>
      </c>
      <c r="H290" s="12" t="str">
        <f>INDEX('ei names mapping'!$B$71:$R$100,MATCH(B259,'ei names mapping'!$A$4:$A$33,0),MATCH(G290,'ei names mapping'!$B$3:$R$3,0))</f>
        <v>road</v>
      </c>
    </row>
    <row r="291" spans="1:8" x14ac:dyDescent="0.3">
      <c r="A291" s="12" t="str">
        <f>INDEX('ei names mapping'!$B$4:$BK$33,MATCH(B259,'ei names mapping'!$A$4:$A$33,0),MATCH(G291,'ei names mapping'!$B$3:$BK$3,0))</f>
        <v>treatment of road wear emissions, passenger car</v>
      </c>
      <c r="B291" s="16">
        <f>INDEX('vehicles specifications'!$B$3:$CK$86,MATCH(B262,'vehicles specifications'!$A$3:$A$86,0),MATCH(G291,'vehicles specifications'!$B$2:$CK$2,0))*INDEX('ei names mapping'!$B$137:$BK$220,MATCH(B262,'ei names mapping'!$A$137:$A$220,0),MATCH(G291,'ei names mapping'!$B$136:$BK$136,0))</f>
        <v>-6.0000000000000002E-6</v>
      </c>
      <c r="C291" s="12" t="str">
        <f>INDEX('ei names mapping'!$B$38:$BK$67,MATCH(B259,'ei names mapping'!$A$4:$A$33,0),MATCH(G291,'ei names mapping'!$B$3:$BK$3,0))</f>
        <v>RER</v>
      </c>
      <c r="D291" s="12" t="str">
        <f>INDEX('ei names mapping'!$B$104:$BK$133,MATCH(B259,'ei names mapping'!$A$4:$A$33,0),MATCH(G291,'ei names mapping'!$B$3:$BK$3,0))</f>
        <v>kilogram</v>
      </c>
      <c r="E291" s="12"/>
      <c r="F291" s="12" t="s">
        <v>91</v>
      </c>
      <c r="G291" t="s">
        <v>29</v>
      </c>
      <c r="H291" s="12" t="str">
        <f>INDEX('ei names mapping'!$B$71:$BK$100,MATCH(B259,'ei names mapping'!$A$4:$A$33,0),MATCH(G291,'ei names mapping'!$B$3:$BK$3,0))</f>
        <v>road wear emissions, passenger car</v>
      </c>
    </row>
    <row r="292" spans="1:8" x14ac:dyDescent="0.3">
      <c r="A292" s="12" t="str">
        <f>INDEX('ei names mapping'!$B$4:$BK$33,MATCH(B259,'ei names mapping'!$A$4:$A$33,0),MATCH(G292,'ei names mapping'!$B$3:$BK$3,0))</f>
        <v>treatment of tyre wear emissions, passenger car</v>
      </c>
      <c r="B292" s="16">
        <f>INDEX('vehicles specifications'!$B$3:$CK$86,MATCH(B262,'vehicles specifications'!$A$3:$A$86,0),MATCH(G292,'vehicles specifications'!$B$2:$CK$2,0))*INDEX('ei names mapping'!$B$137:$BK$220,MATCH(B262,'ei names mapping'!$A$137:$A$220,0),MATCH(G292,'ei names mapping'!$B$136:$BK$136,0))</f>
        <v>-7.3669999999999991E-6</v>
      </c>
      <c r="C292" s="12" t="str">
        <f>INDEX('ei names mapping'!$B$38:$BK$67,MATCH(B259,'ei names mapping'!$A$4:$A$33,0),MATCH(G292,'ei names mapping'!$B$3:$BK$3,0))</f>
        <v>RER</v>
      </c>
      <c r="D292" s="12" t="str">
        <f>INDEX('ei names mapping'!$B$104:$BK$133,MATCH(B259,'ei names mapping'!$A$4:$A$33,0),MATCH(G292,'ei names mapping'!$B$3:$BK$3,0))</f>
        <v>kilogram</v>
      </c>
      <c r="E292" s="12"/>
      <c r="F292" s="12" t="s">
        <v>91</v>
      </c>
      <c r="G292" t="s">
        <v>30</v>
      </c>
      <c r="H292" s="12" t="str">
        <f>INDEX('ei names mapping'!$B$71:$BK$100,MATCH(B259,'ei names mapping'!$A$4:$A$33,0),MATCH(G292,'ei names mapping'!$B$3:$BK$3,0))</f>
        <v>tyre wear emissions, passenger car</v>
      </c>
    </row>
    <row r="293" spans="1:8" x14ac:dyDescent="0.3">
      <c r="A293" s="12" t="str">
        <f>INDEX('ei names mapping'!$B$4:$BK$33,MATCH(B259,'ei names mapping'!$A$4:$A$33,0),MATCH(G293,'ei names mapping'!$B$3:$BK$3,0))</f>
        <v>treatment of brake wear emissions, passenger car</v>
      </c>
      <c r="B293" s="16">
        <f>INDEX('vehicles specifications'!$B$3:$CK$86,MATCH(B262,'vehicles specifications'!$A$3:$A$86,0),MATCH(G293,'vehicles specifications'!$B$2:$CK$2,0))*INDEX('ei names mapping'!$B$137:$BK$220,MATCH(B262,'ei names mapping'!$A$137:$A$220,0),MATCH(G293,'ei names mapping'!$B$136:$BK$136,0))</f>
        <v>-4.1749999999999998E-6</v>
      </c>
      <c r="C293" s="12" t="str">
        <f>INDEX('ei names mapping'!$B$38:$BK$67,MATCH(B259,'ei names mapping'!$A$4:$A$33,0),MATCH(G293,'ei names mapping'!$B$3:$BK$3,0))</f>
        <v>RER</v>
      </c>
      <c r="D293" s="12" t="str">
        <f>INDEX('ei names mapping'!$B$104:$BK$133,MATCH(B259,'ei names mapping'!$A$4:$A$33,0),MATCH(G293,'ei names mapping'!$B$3:$BK$3,0))</f>
        <v>kilogram</v>
      </c>
      <c r="E293" s="12"/>
      <c r="F293" s="12" t="s">
        <v>91</v>
      </c>
      <c r="G293" t="s">
        <v>31</v>
      </c>
      <c r="H293" s="12" t="str">
        <f>INDEX('ei names mapping'!$B$71:$BK$100,MATCH(B259,'ei names mapping'!$A$4:$A$33,0),MATCH(G293,'ei names mapping'!$B$3:$BK$3,0))</f>
        <v>brake wear emissions, passenger car</v>
      </c>
    </row>
    <row r="295" spans="1:8" ht="15.6" x14ac:dyDescent="0.3">
      <c r="A295" s="11" t="s">
        <v>72</v>
      </c>
      <c r="B295" s="9" t="str">
        <f>"transport, "&amp;B297&amp;", "&amp;B299</f>
        <v>transport, Motorbike, electric, &lt;4kW, 2050</v>
      </c>
    </row>
    <row r="296" spans="1:8" x14ac:dyDescent="0.3">
      <c r="A296" t="s">
        <v>73</v>
      </c>
      <c r="B296" t="s">
        <v>37</v>
      </c>
    </row>
    <row r="297" spans="1:8" x14ac:dyDescent="0.3">
      <c r="A297" t="s">
        <v>87</v>
      </c>
      <c r="B297" t="s">
        <v>520</v>
      </c>
    </row>
    <row r="298" spans="1:8" x14ac:dyDescent="0.3">
      <c r="A298" t="s">
        <v>88</v>
      </c>
      <c r="B298" s="12"/>
    </row>
    <row r="299" spans="1:8" x14ac:dyDescent="0.3">
      <c r="A299" t="s">
        <v>89</v>
      </c>
      <c r="B299" s="12">
        <v>2050</v>
      </c>
    </row>
    <row r="300" spans="1:8" x14ac:dyDescent="0.3">
      <c r="A300" t="s">
        <v>131</v>
      </c>
      <c r="B300" s="12" t="str">
        <f>B297&amp;" - "&amp;B299&amp;" - "&amp;B296</f>
        <v>Motorbike, electric, &lt;4kW - 2050 - CH</v>
      </c>
    </row>
    <row r="301" spans="1:8" x14ac:dyDescent="0.3">
      <c r="A301" t="s">
        <v>74</v>
      </c>
      <c r="B301" s="12" t="str">
        <f>"transport, "&amp;B297</f>
        <v>transport, Motorbike, electric, &lt;4kW</v>
      </c>
    </row>
    <row r="302" spans="1:8" x14ac:dyDescent="0.3">
      <c r="A302" t="s">
        <v>75</v>
      </c>
      <c r="B302" t="s">
        <v>76</v>
      </c>
    </row>
    <row r="303" spans="1:8" x14ac:dyDescent="0.3">
      <c r="A303" t="s">
        <v>77</v>
      </c>
      <c r="B303" t="s">
        <v>172</v>
      </c>
    </row>
    <row r="304" spans="1:8" x14ac:dyDescent="0.3">
      <c r="A304" t="s">
        <v>79</v>
      </c>
      <c r="B304" t="s">
        <v>90</v>
      </c>
    </row>
    <row r="305" spans="1:2" x14ac:dyDescent="0.3">
      <c r="A305" t="s">
        <v>132</v>
      </c>
      <c r="B305">
        <f>INDEX('vehicles specifications'!$B$3:$CK$86,MATCH(B300,'vehicles specifications'!$A$3:$A$86,0),MATCH("Lifetime [km]",'vehicles specifications'!$B$2:$CK$2,0))</f>
        <v>33400</v>
      </c>
    </row>
    <row r="306" spans="1:2" x14ac:dyDescent="0.3">
      <c r="A306" t="s">
        <v>133</v>
      </c>
      <c r="B306">
        <f>INDEX('vehicles specifications'!$B$3:$CK$86,MATCH(B300,'vehicles specifications'!$A$3:$A$86,0),MATCH("Passengers [unit]",'vehicles specifications'!$B$2:$CK$2,0))</f>
        <v>1.1000000000000001</v>
      </c>
    </row>
    <row r="307" spans="1:2" x14ac:dyDescent="0.3">
      <c r="A307" t="s">
        <v>134</v>
      </c>
      <c r="B307">
        <f>INDEX('vehicles specifications'!$B$3:$CK$86,MATCH(B300,'vehicles specifications'!$A$3:$A$86,0),MATCH("Servicing [unit]",'vehicles specifications'!$B$2:$CK$2,0))</f>
        <v>0.66800000000000004</v>
      </c>
    </row>
    <row r="308" spans="1:2" x14ac:dyDescent="0.3">
      <c r="A308" t="s">
        <v>135</v>
      </c>
      <c r="B308">
        <f>INDEX('vehicles specifications'!$B$3:$CK$86,MATCH(B300,'vehicles specifications'!$A$3:$A$86,0),MATCH("Energy battery replacement [unit]",'vehicles specifications'!$B$2:$CK$2,0))</f>
        <v>0</v>
      </c>
    </row>
    <row r="309" spans="1:2" x14ac:dyDescent="0.3">
      <c r="A309" t="s">
        <v>136</v>
      </c>
      <c r="B309">
        <f>INDEX('vehicles specifications'!$B$3:$CK$86,MATCH(B300,'vehicles specifications'!$A$3:$A$86,0),MATCH("Annual kilometers [km]",'vehicles specifications'!$B$2:$CK$2,0))</f>
        <v>2553</v>
      </c>
    </row>
    <row r="310" spans="1:2" x14ac:dyDescent="0.3">
      <c r="A310" t="s">
        <v>137</v>
      </c>
      <c r="B310" s="2">
        <f>INDEX('vehicles specifications'!$B$3:$CK$86,MATCH(B300,'vehicles specifications'!$A$3:$A$86,0),MATCH("Curb mass [kg]",'vehicles specifications'!$B$2:$CK$2,0))</f>
        <v>75.69</v>
      </c>
    </row>
    <row r="311" spans="1:2" x14ac:dyDescent="0.3">
      <c r="A311" t="s">
        <v>138</v>
      </c>
      <c r="B311">
        <f>INDEX('vehicles specifications'!$B$3:$CK$86,MATCH(B300,'vehicles specifications'!$A$3:$A$86,0),MATCH("Power [kW]",'vehicles specifications'!$B$2:$CK$2,0))</f>
        <v>2.5</v>
      </c>
    </row>
    <row r="312" spans="1:2" x14ac:dyDescent="0.3">
      <c r="A312" t="s">
        <v>139</v>
      </c>
      <c r="B312">
        <f>INDEX('vehicles specifications'!$B$3:$CK$86,MATCH(B300,'vehicles specifications'!$A$3:$A$86,0),MATCH("Energy battery mass [kg]",'vehicles specifications'!$B$2:$CK$2,0))</f>
        <v>14.4</v>
      </c>
    </row>
    <row r="313" spans="1:2" x14ac:dyDescent="0.3">
      <c r="A313" t="s">
        <v>140</v>
      </c>
      <c r="B313" s="21">
        <f>INDEX('vehicles specifications'!$B$3:$CK$86,MATCH(B300,'vehicles specifications'!$A$3:$A$86,0),MATCH("Electric energy stored [kWh]",'vehicles specifications'!$B$2:$CK$2,0))</f>
        <v>6</v>
      </c>
    </row>
    <row r="314" spans="1:2" s="21" customFormat="1" x14ac:dyDescent="0.3">
      <c r="A314" s="21" t="s">
        <v>654</v>
      </c>
      <c r="B314" s="21">
        <f>INDEX('vehicles specifications'!$B$3:$CK$86,MATCH(B300,'vehicles specifications'!$A$3:$A$86,0),MATCH("Electric energy available [kWh]",'vehicles specifications'!$B$2:$CK$2,0))</f>
        <v>4.8000000000000007</v>
      </c>
    </row>
    <row r="315" spans="1:2" x14ac:dyDescent="0.3">
      <c r="A315" t="s">
        <v>143</v>
      </c>
      <c r="B315" s="2">
        <f>INDEX('vehicles specifications'!$B$3:$CK$86,MATCH(B300,'vehicles specifications'!$A$3:$A$86,0),MATCH("Oxydation energy stored [kWh]",'vehicles specifications'!$B$2:$CK$2,0))</f>
        <v>0</v>
      </c>
    </row>
    <row r="316" spans="1:2" x14ac:dyDescent="0.3">
      <c r="A316" t="s">
        <v>145</v>
      </c>
      <c r="B316">
        <f>INDEX('vehicles specifications'!$B$3:$CK$86,MATCH(B300,'vehicles specifications'!$A$3:$A$86,0),MATCH("Fuel mass [kg]",'vehicles specifications'!$B$2:$CK$2,0))</f>
        <v>0</v>
      </c>
    </row>
    <row r="317" spans="1:2" x14ac:dyDescent="0.3">
      <c r="A317" t="s">
        <v>141</v>
      </c>
      <c r="B317" s="2">
        <f>INDEX('vehicles specifications'!$B$3:$CK$86,MATCH(B300,'vehicles specifications'!$A$3:$A$86,0),MATCH("Range [km]",'vehicles specifications'!$B$2:$CK$2,0))</f>
        <v>142.80991735537191</v>
      </c>
    </row>
    <row r="318" spans="1:2" x14ac:dyDescent="0.3">
      <c r="A318" t="s">
        <v>142</v>
      </c>
      <c r="B318" t="str">
        <f>INDEX('vehicles specifications'!$B$3:$CK$86,MATCH(B300,'vehicles specifications'!$A$3:$A$86,0),MATCH("Emission standard",'vehicles specifications'!$B$2:$CK$2,0))</f>
        <v>None</v>
      </c>
    </row>
    <row r="319" spans="1:2" x14ac:dyDescent="0.3">
      <c r="A319" t="s">
        <v>144</v>
      </c>
      <c r="B319" s="6">
        <f>INDEX('vehicles specifications'!$B$3:$CK$86,MATCH(B300,'vehicles specifications'!$A$3:$A$86,0),MATCH("Lightweighting rate [%]",'vehicles specifications'!$B$2:$CK$2,0))</f>
        <v>7.0000000000000007E-2</v>
      </c>
    </row>
    <row r="320" spans="1:2" x14ac:dyDescent="0.3">
      <c r="A320" t="s">
        <v>84</v>
      </c>
      <c r="B320" s="21" t="str">
        <f>"Power: "&amp;B311&amp;" kW. Lifetime: "&amp;B305&amp;" km. Annual kilometers: "&amp;B309&amp;" km. Number of passengers: "&amp;B306&amp;". Curb mass: "&amp;ROUND(B310,1)&amp;" kg. Lightweighting of glider: "&amp;ROUND(B319*100,0)&amp;"%. Emission standard: "&amp;B318&amp;". Service visits throughout lifetime: "&amp;ROUND(B307,1)&amp;". Range: "&amp;ROUND(B317,0)&amp;" km. Battery capacity: "&amp;ROUND(B313,1)&amp;" kWh. Available battery capacity: "&amp;B314&amp;" kWh. Battery mass: "&amp;ROUND(B312,1)&amp; " kg. Battery replacement throughout lifetime: "&amp;ROUND(B308,1)&amp;". Fuel tank capacity: "&amp;ROUND(B315,1)&amp;" kWh. Fuel mass: "&amp;ROUND(B316,1)&amp;" kg. Documentation: "&amp;Readmefirst!$B$2&amp;", "&amp;Readmefirst!$B$3&amp;". "&amp;'lci-kick scooter'!B259</f>
        <v>Power: 2.5 kW. Lifetime: 33400 km. Annual kilometers: 2553 km. Number of passengers: 1.1. Curb mass: 75.7 kg. Lightweighting of glider: 7%. Emission standard: None. Service visits throughout lifetime: 0.7. Range: 143 km. Battery capacity: 6 kWh. Available battery capacity: 4.8 kWh. Battery mass: 14.4 kg. Battery replacement throughout lifetime: 0. Fuel tank capacity: 0 kWh. Fuel mass: 0 kg. Documentation: 2021 UVEK life-cycle inventories update of on-road vehicles, Sacchi R. (PSI), Bauer C. (PSI), 2021. 1785</v>
      </c>
    </row>
    <row r="321" spans="1:8" ht="15.6" x14ac:dyDescent="0.3">
      <c r="A321" s="11" t="s">
        <v>80</v>
      </c>
    </row>
    <row r="322" spans="1:8" x14ac:dyDescent="0.3">
      <c r="A322" t="s">
        <v>81</v>
      </c>
      <c r="B322" t="s">
        <v>82</v>
      </c>
      <c r="C322" t="s">
        <v>73</v>
      </c>
      <c r="D322" t="s">
        <v>77</v>
      </c>
      <c r="E322" t="s">
        <v>83</v>
      </c>
      <c r="F322" t="s">
        <v>75</v>
      </c>
      <c r="G322" t="s">
        <v>84</v>
      </c>
      <c r="H322" t="s">
        <v>74</v>
      </c>
    </row>
    <row r="323" spans="1:8" x14ac:dyDescent="0.3">
      <c r="A323" s="12" t="str">
        <f>B295</f>
        <v>transport, Motorbike, electric, &lt;4kW, 2050</v>
      </c>
      <c r="B323" s="12">
        <v>1</v>
      </c>
      <c r="C323" s="12" t="str">
        <f>B296</f>
        <v>CH</v>
      </c>
      <c r="D323" s="12" t="s">
        <v>172</v>
      </c>
      <c r="E323" s="12"/>
      <c r="F323" s="12" t="s">
        <v>85</v>
      </c>
      <c r="G323" s="12" t="s">
        <v>86</v>
      </c>
      <c r="H323" s="12" t="str">
        <f>B301</f>
        <v>transport, Motorbike, electric, &lt;4kW</v>
      </c>
    </row>
    <row r="324" spans="1:8" x14ac:dyDescent="0.3">
      <c r="A324" s="12" t="str">
        <f>RIGHT(A323,LEN(A323)-11)</f>
        <v>Motorbike, electric, &lt;4kW, 2050</v>
      </c>
      <c r="B324" s="12">
        <f>1/B305</f>
        <v>2.9940119760479042E-5</v>
      </c>
      <c r="C324" s="12" t="str">
        <f>B296</f>
        <v>CH</v>
      </c>
      <c r="D324" s="12" t="s">
        <v>77</v>
      </c>
      <c r="E324" s="12"/>
      <c r="F324" s="12" t="s">
        <v>91</v>
      </c>
      <c r="G324" s="12"/>
      <c r="H324" s="12" t="str">
        <f>RIGHT(H323,LEN(H323)-11)</f>
        <v>Motorbike, electric, &lt;4kW</v>
      </c>
    </row>
    <row r="325" spans="1:8" x14ac:dyDescent="0.3">
      <c r="A325" s="12" t="str">
        <f>INDEX('ei names mapping'!$B$4:$R$33,MATCH(B297,'ei names mapping'!$A$4:$A$33,0),MATCH(G325,'ei names mapping'!$B$3:$R$3,0))</f>
        <v>road maintenance</v>
      </c>
      <c r="B325" s="16">
        <f>INDEX('vehicles specifications'!$B$3:$CK$86,MATCH(B300,'vehicles specifications'!$A$3:$A$86,0),MATCH(G325,'vehicles specifications'!$B$2:$CK$2,0))*INDEX('ei names mapping'!$B$137:$BK$220,MATCH(B300,'ei names mapping'!$A$137:$A$220,0),MATCH(G325,'ei names mapping'!$B$136:$BK$136,0))</f>
        <v>1.2899999999999999E-3</v>
      </c>
      <c r="C325" s="12" t="str">
        <f>INDEX('ei names mapping'!$B$38:$R$67,MATCH(B297,'ei names mapping'!$A$4:$A$33,0),MATCH(G325,'ei names mapping'!$B$3:$R$3,0))</f>
        <v>CH</v>
      </c>
      <c r="D325" s="12" t="str">
        <f>INDEX('ei names mapping'!$B$104:$BK$133,MATCH(B297,'ei names mapping'!$A$4:$A$33,0),MATCH(G325,'ei names mapping'!$B$3:$BK$3,0))</f>
        <v>meter-year</v>
      </c>
      <c r="E325" s="12"/>
      <c r="F325" s="12" t="s">
        <v>91</v>
      </c>
      <c r="G325" t="s">
        <v>117</v>
      </c>
      <c r="H325" s="12" t="str">
        <f>INDEX('ei names mapping'!$B$71:$BK$100,MATCH(B297,'ei names mapping'!$A$4:$A$33,0),MATCH(G325,'ei names mapping'!$B$3:$BK$3,0))</f>
        <v>road maintenance</v>
      </c>
    </row>
    <row r="326" spans="1:8" x14ac:dyDescent="0.3">
      <c r="A326" s="12" t="str">
        <f>INDEX('ei names mapping'!$B$4:$R$33,MATCH(B297,'ei names mapping'!$A$4:$A$33,0),MATCH(G326,'ei names mapping'!$B$3:$R$3,0))</f>
        <v>market for electricity, low voltage</v>
      </c>
      <c r="B326" s="14">
        <f>INDEX('vehicles specifications'!$B$3:$CK$86,MATCH(B300,'vehicles specifications'!$A$3:$A$86,0),MATCH(G326,'vehicles specifications'!$B$2:$CK$2,0))*INDEX('ei names mapping'!$B$137:$BK$220,MATCH(B300,'ei names mapping'!$A$137:$A$220,0),MATCH(G326,'ei names mapping'!$B$136:$BK$136,0))</f>
        <v>3.6972222222222226E-2</v>
      </c>
      <c r="C326" s="12" t="str">
        <f>INDEX('ei names mapping'!$B$38:$R$67,MATCH($B$3,'ei names mapping'!$A$4:$A$33,0),MATCH(G326,'ei names mapping'!$B$3:$R$3,0))</f>
        <v>CH</v>
      </c>
      <c r="D326" s="12" t="str">
        <f>INDEX('ei names mapping'!$B$104:$R$133,MATCH($B$3,'ei names mapping'!$A$4:$A$33,0),MATCH(G326,'ei names mapping'!$B$3:$R$3,0))</f>
        <v>kilowatt hour</v>
      </c>
      <c r="E326" s="12"/>
      <c r="F326" s="12" t="s">
        <v>91</v>
      </c>
      <c r="G326" t="s">
        <v>28</v>
      </c>
      <c r="H326" s="12" t="str">
        <f>INDEX('ei names mapping'!$B$71:$R$100,MATCH(B297,'ei names mapping'!$A$4:$A$33,0),MATCH(G326,'ei names mapping'!$B$3:$R$3,0))</f>
        <v>electricity, low voltage</v>
      </c>
    </row>
    <row r="327" spans="1:8" x14ac:dyDescent="0.3">
      <c r="A327" s="12" t="str">
        <f>INDEX('ei names mapping'!$B$4:$R$33,MATCH(B297,'ei names mapping'!$A$4:$A$33,0),MATCH(G327,'ei names mapping'!$B$3:$R$3,0))</f>
        <v>market for maintenance, electric scooter, without battery</v>
      </c>
      <c r="B327" s="16">
        <f>INDEX('vehicles specifications'!$B$3:$CK$86,MATCH(B300,'vehicles specifications'!$A$3:$A$86,0),MATCH(G327,'vehicles specifications'!$B$2:$CK$2,0))*INDEX('ei names mapping'!$B$137:$BK$220,MATCH(B300,'ei names mapping'!$A$137:$A$220,0),MATCH(G327,'ei names mapping'!$B$136:$BK$136,0))</f>
        <v>2.0000000000000002E-5</v>
      </c>
      <c r="C327" s="12" t="str">
        <f>INDEX('ei names mapping'!$B$38:$BK$67,MATCH(B297,'ei names mapping'!$A$4:$A$33,0),MATCH(G327,'ei names mapping'!$B$3:$BK$3,0))</f>
        <v>GLO</v>
      </c>
      <c r="D327" s="12" t="str">
        <f>INDEX('ei names mapping'!$B$104:$BK$133,MATCH(B297,'ei names mapping'!$A$4:$A$33,0),MATCH(G327,'ei names mapping'!$B$3:$BK$3,0))</f>
        <v>unit</v>
      </c>
      <c r="F327" s="12" t="s">
        <v>91</v>
      </c>
      <c r="G327" s="12" t="s">
        <v>123</v>
      </c>
      <c r="H327" s="12" t="str">
        <f>INDEX('ei names mapping'!$B$71:$BK$100,MATCH(B297,'ei names mapping'!$A$4:$A$33,0),MATCH(G327,'ei names mapping'!$B$3:$BK$3,0))</f>
        <v>maintenance, electric scooter, without battery</v>
      </c>
    </row>
    <row r="328" spans="1:8" s="21" customFormat="1" x14ac:dyDescent="0.3">
      <c r="A328" s="12" t="str">
        <f>INDEX('ei names mapping'!$B$4:$R$33,MATCH(B297,'ei names mapping'!$A$4:$A$33,0),MATCH(G328,'ei names mapping'!$B$3:$R$3,0))</f>
        <v>road construction</v>
      </c>
      <c r="B328" s="16">
        <f>INDEX('vehicles specifications'!$B$3:$CK$86,MATCH(B300,'vehicles specifications'!$A$3:$A$86,0),MATCH(G328,'vehicles specifications'!$B$2:$CK$2,0))*INDEX('ei names mapping'!$B$137:$BK$220,MATCH(B300,'ei names mapping'!$A$137:$A$220,0),MATCH(G328,'ei names mapping'!$B$136:$BK$136,0))</f>
        <v>8.5216530000000002E-5</v>
      </c>
      <c r="C328" s="12" t="str">
        <f>INDEX('ei names mapping'!$B$38:$R$67,MATCH(B297,'ei names mapping'!$A$4:$A$33,0),MATCH(G328,'ei names mapping'!$B$3:$R$3,0))</f>
        <v>CH</v>
      </c>
      <c r="D328" s="12" t="str">
        <f>INDEX('ei names mapping'!$B$104:$R$133,MATCH(B297,'ei names mapping'!$A$104:$A$133,0),MATCH(G328,'ei names mapping'!$B$3:$R$3,0))</f>
        <v>meter-year</v>
      </c>
      <c r="E328" s="12"/>
      <c r="F328" s="12" t="s">
        <v>91</v>
      </c>
      <c r="G328" s="21" t="s">
        <v>108</v>
      </c>
      <c r="H328" s="12" t="str">
        <f>INDEX('ei names mapping'!$B$71:$R$100,MATCH(B297,'ei names mapping'!$A$4:$A$33,0),MATCH(G328,'ei names mapping'!$B$3:$R$3,0))</f>
        <v>road</v>
      </c>
    </row>
    <row r="329" spans="1:8" x14ac:dyDescent="0.3">
      <c r="A329" s="12" t="str">
        <f>INDEX('ei names mapping'!$B$4:$BK$33,MATCH(B297,'ei names mapping'!$A$4:$A$33,0),MATCH(G329,'ei names mapping'!$B$3:$BK$3,0))</f>
        <v>treatment of road wear emissions, passenger car</v>
      </c>
      <c r="B329" s="16">
        <f>INDEX('vehicles specifications'!$B$3:$CK$86,MATCH(B300,'vehicles specifications'!$A$3:$A$86,0),MATCH(G329,'vehicles specifications'!$B$2:$CK$2,0))*INDEX('ei names mapping'!$B$137:$BK$220,MATCH(B300,'ei names mapping'!$A$137:$A$220,0),MATCH(G329,'ei names mapping'!$B$136:$BK$136,0))</f>
        <v>-6.0000000000000002E-6</v>
      </c>
      <c r="C329" s="12" t="str">
        <f>INDEX('ei names mapping'!$B$38:$BK$67,MATCH(B297,'ei names mapping'!$A$4:$A$33,0),MATCH(G329,'ei names mapping'!$B$3:$BK$3,0))</f>
        <v>RER</v>
      </c>
      <c r="D329" s="12" t="str">
        <f>INDEX('ei names mapping'!$B$104:$BK$133,MATCH(B297,'ei names mapping'!$A$4:$A$33,0),MATCH(G329,'ei names mapping'!$B$3:$BK$3,0))</f>
        <v>kilogram</v>
      </c>
      <c r="E329" s="12"/>
      <c r="F329" s="12" t="s">
        <v>91</v>
      </c>
      <c r="G329" t="s">
        <v>29</v>
      </c>
      <c r="H329" s="12" t="str">
        <f>INDEX('ei names mapping'!$B$71:$BK$100,MATCH(B297,'ei names mapping'!$A$4:$A$33,0),MATCH(G329,'ei names mapping'!$B$3:$BK$3,0))</f>
        <v>road wear emissions, passenger car</v>
      </c>
    </row>
    <row r="330" spans="1:8" x14ac:dyDescent="0.3">
      <c r="A330" s="12" t="str">
        <f>INDEX('ei names mapping'!$B$4:$BK$33,MATCH(B297,'ei names mapping'!$A$4:$A$33,0),MATCH(G330,'ei names mapping'!$B$3:$BK$3,0))</f>
        <v>treatment of tyre wear emissions, passenger car</v>
      </c>
      <c r="B330" s="16">
        <f>INDEX('vehicles specifications'!$B$3:$CK$86,MATCH(B300,'vehicles specifications'!$A$3:$A$86,0),MATCH(G330,'vehicles specifications'!$B$2:$CK$2,0))*INDEX('ei names mapping'!$B$137:$BK$220,MATCH(B300,'ei names mapping'!$A$137:$A$220,0),MATCH(G330,'ei names mapping'!$B$136:$BK$136,0))</f>
        <v>-7.3669999999999991E-6</v>
      </c>
      <c r="C330" s="12" t="str">
        <f>INDEX('ei names mapping'!$B$38:$BK$67,MATCH(B297,'ei names mapping'!$A$4:$A$33,0),MATCH(G330,'ei names mapping'!$B$3:$BK$3,0))</f>
        <v>RER</v>
      </c>
      <c r="D330" s="12" t="str">
        <f>INDEX('ei names mapping'!$B$104:$BK$133,MATCH(B297,'ei names mapping'!$A$4:$A$33,0),MATCH(G330,'ei names mapping'!$B$3:$BK$3,0))</f>
        <v>kilogram</v>
      </c>
      <c r="E330" s="12"/>
      <c r="F330" s="12" t="s">
        <v>91</v>
      </c>
      <c r="G330" t="s">
        <v>30</v>
      </c>
      <c r="H330" s="12" t="str">
        <f>INDEX('ei names mapping'!$B$71:$BK$100,MATCH(B297,'ei names mapping'!$A$4:$A$33,0),MATCH(G330,'ei names mapping'!$B$3:$BK$3,0))</f>
        <v>tyre wear emissions, passenger car</v>
      </c>
    </row>
    <row r="331" spans="1:8" x14ac:dyDescent="0.3">
      <c r="A331" s="12" t="str">
        <f>INDEX('ei names mapping'!$B$4:$BK$33,MATCH(B297,'ei names mapping'!$A$4:$A$33,0),MATCH(G331,'ei names mapping'!$B$3:$BK$3,0))</f>
        <v>treatment of brake wear emissions, passenger car</v>
      </c>
      <c r="B331" s="16">
        <f>INDEX('vehicles specifications'!$B$3:$CK$86,MATCH(B300,'vehicles specifications'!$A$3:$A$86,0),MATCH(G331,'vehicles specifications'!$B$2:$CK$2,0))*INDEX('ei names mapping'!$B$137:$BK$220,MATCH(B300,'ei names mapping'!$A$137:$A$220,0),MATCH(G331,'ei names mapping'!$B$136:$BK$136,0))</f>
        <v>-4.1749999999999998E-6</v>
      </c>
      <c r="C331" s="12" t="str">
        <f>INDEX('ei names mapping'!$B$38:$BK$67,MATCH(B297,'ei names mapping'!$A$4:$A$33,0),MATCH(G331,'ei names mapping'!$B$3:$BK$3,0))</f>
        <v>RER</v>
      </c>
      <c r="D331" s="12" t="str">
        <f>INDEX('ei names mapping'!$B$104:$BK$133,MATCH(B297,'ei names mapping'!$A$4:$A$33,0),MATCH(G331,'ei names mapping'!$B$3:$BK$3,0))</f>
        <v>kilogram</v>
      </c>
      <c r="E331" s="12"/>
      <c r="F331" s="12" t="s">
        <v>91</v>
      </c>
      <c r="G331" t="s">
        <v>31</v>
      </c>
      <c r="H331" s="12" t="str">
        <f>INDEX('ei names mapping'!$B$71:$BK$100,MATCH(B297,'ei names mapping'!$A$4:$A$33,0),MATCH(G331,'ei names mapping'!$B$3:$BK$3,0))</f>
        <v>brake wear emissions, passenger car</v>
      </c>
    </row>
    <row r="333" spans="1:8" ht="15.6" x14ac:dyDescent="0.3">
      <c r="A333" s="11" t="s">
        <v>72</v>
      </c>
      <c r="B333" s="9" t="str">
        <f>"transport, "&amp;B335&amp;", "&amp;B337&amp;", label-certified electricity"</f>
        <v>transport, Motorbike, electric, &lt;4kW, 2020, label-certified electricity</v>
      </c>
    </row>
    <row r="334" spans="1:8" x14ac:dyDescent="0.3">
      <c r="A334" t="s">
        <v>73</v>
      </c>
      <c r="B334" t="s">
        <v>37</v>
      </c>
    </row>
    <row r="335" spans="1:8" x14ac:dyDescent="0.3">
      <c r="A335" t="s">
        <v>87</v>
      </c>
      <c r="B335" s="21" t="s">
        <v>520</v>
      </c>
    </row>
    <row r="336" spans="1:8" x14ac:dyDescent="0.3">
      <c r="A336" t="s">
        <v>88</v>
      </c>
      <c r="B336" s="12"/>
    </row>
    <row r="337" spans="1:2" x14ac:dyDescent="0.3">
      <c r="A337" t="s">
        <v>89</v>
      </c>
      <c r="B337" s="12">
        <v>2020</v>
      </c>
    </row>
    <row r="338" spans="1:2" x14ac:dyDescent="0.3">
      <c r="A338" t="s">
        <v>131</v>
      </c>
      <c r="B338" s="12" t="str">
        <f>B335&amp;" - "&amp;B337&amp;" - "&amp;B334</f>
        <v>Motorbike, electric, &lt;4kW - 2020 - CH</v>
      </c>
    </row>
    <row r="339" spans="1:2" x14ac:dyDescent="0.3">
      <c r="A339" t="s">
        <v>74</v>
      </c>
      <c r="B339" s="12" t="str">
        <f>"transport, "&amp;B335</f>
        <v>transport, Motorbike, electric, &lt;4kW</v>
      </c>
    </row>
    <row r="340" spans="1:2" x14ac:dyDescent="0.3">
      <c r="A340" t="s">
        <v>75</v>
      </c>
      <c r="B340" t="s">
        <v>76</v>
      </c>
    </row>
    <row r="341" spans="1:2" x14ac:dyDescent="0.3">
      <c r="A341" t="s">
        <v>77</v>
      </c>
      <c r="B341" t="s">
        <v>172</v>
      </c>
    </row>
    <row r="342" spans="1:2" x14ac:dyDescent="0.3">
      <c r="A342" t="s">
        <v>79</v>
      </c>
      <c r="B342" t="s">
        <v>90</v>
      </c>
    </row>
    <row r="343" spans="1:2" x14ac:dyDescent="0.3">
      <c r="A343" t="s">
        <v>132</v>
      </c>
      <c r="B343">
        <f>INDEX('vehicles specifications'!$B$3:$CK$86,MATCH(B338,'vehicles specifications'!$A$3:$A$86,0),MATCH("Lifetime [km]",'vehicles specifications'!$B$2:$CK$2,0))</f>
        <v>33400</v>
      </c>
    </row>
    <row r="344" spans="1:2" x14ac:dyDescent="0.3">
      <c r="A344" t="s">
        <v>133</v>
      </c>
      <c r="B344">
        <f>INDEX('vehicles specifications'!$B$3:$CK$86,MATCH(B338,'vehicles specifications'!$A$3:$A$86,0),MATCH("Passengers [unit]",'vehicles specifications'!$B$2:$CK$2,0))</f>
        <v>1.1000000000000001</v>
      </c>
    </row>
    <row r="345" spans="1:2" x14ac:dyDescent="0.3">
      <c r="A345" t="s">
        <v>134</v>
      </c>
      <c r="B345">
        <f>INDEX('vehicles specifications'!$B$3:$CK$86,MATCH(B338,'vehicles specifications'!$A$3:$A$86,0),MATCH("Servicing [unit]",'vehicles specifications'!$B$2:$CK$2,0))</f>
        <v>0.66800000000000004</v>
      </c>
    </row>
    <row r="346" spans="1:2" x14ac:dyDescent="0.3">
      <c r="A346" t="s">
        <v>135</v>
      </c>
      <c r="B346">
        <f>INDEX('vehicles specifications'!$B$3:$CK$86,MATCH(B338,'vehicles specifications'!$A$3:$A$86,0),MATCH("Energy battery replacement [unit]",'vehicles specifications'!$B$2:$CK$2,0))</f>
        <v>1</v>
      </c>
    </row>
    <row r="347" spans="1:2" x14ac:dyDescent="0.3">
      <c r="A347" t="s">
        <v>136</v>
      </c>
      <c r="B347">
        <f>INDEX('vehicles specifications'!$B$3:$CK$86,MATCH(B338,'vehicles specifications'!$A$3:$A$86,0),MATCH("Annual kilometers [km]",'vehicles specifications'!$B$2:$CK$2,0))</f>
        <v>2553</v>
      </c>
    </row>
    <row r="348" spans="1:2" x14ac:dyDescent="0.3">
      <c r="A348" t="s">
        <v>137</v>
      </c>
      <c r="B348" s="2">
        <f>INDEX('vehicles specifications'!$B$3:$CK$86,MATCH(B338,'vehicles specifications'!$A$3:$A$86,0),MATCH("Curb mass [kg]",'vehicles specifications'!$B$2:$CK$2,0))</f>
        <v>75.8</v>
      </c>
    </row>
    <row r="349" spans="1:2" x14ac:dyDescent="0.3">
      <c r="A349" t="s">
        <v>138</v>
      </c>
      <c r="B349">
        <f>INDEX('vehicles specifications'!$B$3:$CK$86,MATCH(B338,'vehicles specifications'!$A$3:$A$86,0),MATCH("Power [kW]",'vehicles specifications'!$B$2:$CK$2,0))</f>
        <v>2.5</v>
      </c>
    </row>
    <row r="350" spans="1:2" x14ac:dyDescent="0.3">
      <c r="A350" t="s">
        <v>139</v>
      </c>
      <c r="B350">
        <f>INDEX('vehicles specifications'!$B$3:$CK$86,MATCH(B338,'vehicles specifications'!$A$3:$A$86,0),MATCH("Energy battery mass [kg]",'vehicles specifications'!$B$2:$CK$2,0))</f>
        <v>10.8</v>
      </c>
    </row>
    <row r="351" spans="1:2" x14ac:dyDescent="0.3">
      <c r="A351" t="s">
        <v>140</v>
      </c>
      <c r="B351" s="21">
        <f>INDEX('vehicles specifications'!$B$3:$CK$86,MATCH(B338,'vehicles specifications'!$A$3:$A$86,0),MATCH("Electric energy stored [kWh]",'vehicles specifications'!$B$2:$CK$2,0))</f>
        <v>1.8</v>
      </c>
    </row>
    <row r="352" spans="1:2" s="21" customFormat="1" x14ac:dyDescent="0.3">
      <c r="A352" s="21" t="s">
        <v>654</v>
      </c>
      <c r="B352" s="21">
        <f>INDEX('vehicles specifications'!$B$3:$CK$86,MATCH(B338,'vehicles specifications'!$A$3:$A$86,0),MATCH("Electric energy available [kWh]",'vehicles specifications'!$B$2:$CK$2,0))</f>
        <v>1.4400000000000002</v>
      </c>
    </row>
    <row r="353" spans="1:8" x14ac:dyDescent="0.3">
      <c r="A353" t="s">
        <v>143</v>
      </c>
      <c r="B353" s="2">
        <f>INDEX('vehicles specifications'!$B$3:$CK$86,MATCH(B338,'vehicles specifications'!$A$3:$A$86,0),MATCH("Oxydation energy stored [kWh]",'vehicles specifications'!$B$2:$CK$2,0))</f>
        <v>0</v>
      </c>
    </row>
    <row r="354" spans="1:8" x14ac:dyDescent="0.3">
      <c r="A354" t="s">
        <v>145</v>
      </c>
      <c r="B354">
        <f>INDEX('vehicles specifications'!$B$3:$CK$86,MATCH(B338,'vehicles specifications'!$A$3:$A$86,0),MATCH("Fuel mass [kg]",'vehicles specifications'!$B$2:$CK$2,0))</f>
        <v>0</v>
      </c>
    </row>
    <row r="355" spans="1:8" x14ac:dyDescent="0.3">
      <c r="A355" t="s">
        <v>141</v>
      </c>
      <c r="B355" s="2">
        <f>INDEX('vehicles specifications'!$B$3:$CK$86,MATCH(B338,'vehicles specifications'!$A$3:$A$86,0),MATCH("Range [km]",'vehicles specifications'!$B$2:$CK$2,0))</f>
        <v>42.842975206611577</v>
      </c>
    </row>
    <row r="356" spans="1:8" x14ac:dyDescent="0.3">
      <c r="A356" t="s">
        <v>142</v>
      </c>
      <c r="B356" t="str">
        <f>INDEX('vehicles specifications'!$B$3:$CK$86,MATCH(B338,'vehicles specifications'!$A$3:$A$86,0),MATCH("Emission standard",'vehicles specifications'!$B$2:$CK$2,0))</f>
        <v>None</v>
      </c>
    </row>
    <row r="357" spans="1:8" x14ac:dyDescent="0.3">
      <c r="A357" t="s">
        <v>144</v>
      </c>
      <c r="B357" s="6">
        <f>INDEX('vehicles specifications'!$B$3:$CK$86,MATCH(B338,'vehicles specifications'!$A$3:$A$86,0),MATCH("Lightweighting rate [%]",'vehicles specifications'!$B$2:$CK$2,0))</f>
        <v>0</v>
      </c>
    </row>
    <row r="358" spans="1:8" x14ac:dyDescent="0.3">
      <c r="A358" t="s">
        <v>84</v>
      </c>
      <c r="B358" s="21" t="str">
        <f>"Power: "&amp;B349&amp;" kW. Lifetime: "&amp;B343&amp;" km. Annual kilometers: "&amp;B347&amp;" km. Number of passengers: "&amp;B344&amp;". Curb mass: "&amp;ROUND(B348,1)&amp;" kg. Lightweighting of glider: "&amp;ROUND(B357*100,0)&amp;"%. Emission standard: "&amp;B356&amp;". Service visits throughout lifetime: "&amp;ROUND(B345,1)&amp;". Range: "&amp;ROUND(B355,0)&amp;" km. Battery capacity: "&amp;ROUND(B351,1)&amp;" kWh. Available battery capacity: "&amp;B352&amp;" kWh. Battery mass: "&amp;ROUND(B350,1)&amp; " kg. Battery replacement throughout lifetime: "&amp;ROUND(B346,1)&amp;". Fuel tank capacity: "&amp;ROUND(B353,1)&amp;" kWh. Fuel mass: "&amp;ROUND(B354,1)&amp;" kg. Documentation: "&amp;Readmefirst!$B$2&amp;", "&amp;Readmefirst!$B$3&amp;". "&amp;'lci-kick scooter'!B297</f>
        <v>Power: 2.5 kW. Lifetime: 33400 km. Annual kilometers: 2553 km. Number of passengers: 1.1. Curb mass: 75.8 kg. Lightweighting of glider: 0%. Emission standard: None. Service visits throughout lifetime: 0.7. Range: 43 km. Battery capacity: 1.8 kWh. Available battery capacity: 1.44 kWh. Battery mass: 10.8 kg. Battery replacement throughout lifetime: 1. Fuel tank capacity: 0 kWh. Fuel mass: 0 kg. Documentation: 2021 UVEK life-cycle inventories update of on-road vehicles, Sacchi R. (PSI), Bauer C. (PSI), 2021. 1</v>
      </c>
    </row>
    <row r="359" spans="1:8" ht="15.6" x14ac:dyDescent="0.3">
      <c r="A359" s="11" t="s">
        <v>80</v>
      </c>
    </row>
    <row r="360" spans="1:8" x14ac:dyDescent="0.3">
      <c r="A360" t="s">
        <v>81</v>
      </c>
      <c r="B360" t="s">
        <v>82</v>
      </c>
      <c r="C360" t="s">
        <v>73</v>
      </c>
      <c r="D360" t="s">
        <v>77</v>
      </c>
      <c r="E360" t="s">
        <v>83</v>
      </c>
      <c r="F360" t="s">
        <v>75</v>
      </c>
      <c r="G360" t="s">
        <v>84</v>
      </c>
      <c r="H360" t="s">
        <v>74</v>
      </c>
    </row>
    <row r="361" spans="1:8" x14ac:dyDescent="0.3">
      <c r="A361" s="12" t="str">
        <f>B333</f>
        <v>transport, Motorbike, electric, &lt;4kW, 2020, label-certified electricity</v>
      </c>
      <c r="B361" s="12">
        <v>1</v>
      </c>
      <c r="C361" s="12" t="str">
        <f>B334</f>
        <v>CH</v>
      </c>
      <c r="D361" s="12" t="s">
        <v>172</v>
      </c>
      <c r="E361" s="12"/>
      <c r="F361" s="12" t="s">
        <v>85</v>
      </c>
      <c r="G361" s="12" t="s">
        <v>86</v>
      </c>
      <c r="H361" s="12" t="str">
        <f>B339</f>
        <v>transport, Motorbike, electric, &lt;4kW</v>
      </c>
    </row>
    <row r="362" spans="1:8" x14ac:dyDescent="0.3">
      <c r="A362" s="12" t="str">
        <f>B335&amp;", "&amp;B337</f>
        <v>Motorbike, electric, &lt;4kW, 2020</v>
      </c>
      <c r="B362" s="15">
        <f>1/B343</f>
        <v>2.9940119760479042E-5</v>
      </c>
      <c r="C362" s="12" t="str">
        <f>B334</f>
        <v>CH</v>
      </c>
      <c r="D362" s="12" t="s">
        <v>77</v>
      </c>
      <c r="E362" s="12"/>
      <c r="F362" s="12" t="s">
        <v>91</v>
      </c>
      <c r="G362" s="12"/>
      <c r="H362" s="12" t="str">
        <f>RIGHT(H361,LEN(H361)-11)</f>
        <v>Motorbike, electric, &lt;4kW</v>
      </c>
    </row>
    <row r="363" spans="1:8" x14ac:dyDescent="0.3">
      <c r="A363" s="12" t="str">
        <f>INDEX('ei names mapping'!$B$4:$R$33,MATCH(B335,'ei names mapping'!$A$4:$A$33,0),MATCH(G363,'ei names mapping'!$B$3:$R$3,0))</f>
        <v>road maintenance</v>
      </c>
      <c r="B363" s="16">
        <f>INDEX('vehicles specifications'!$B$3:$CK$86,MATCH(B338,'vehicles specifications'!$A$3:$A$86,0),MATCH(G363,'vehicles specifications'!$B$2:$CK$2,0))*INDEX('ei names mapping'!$B$137:$BK$220,MATCH(B338,'ei names mapping'!$A$137:$A$220,0),MATCH(G363,'ei names mapping'!$B$136:$BK$136,0))</f>
        <v>1.2899999999999999E-3</v>
      </c>
      <c r="C363" s="12" t="str">
        <f>INDEX('ei names mapping'!$B$38:$R$67,MATCH(B335,'ei names mapping'!$A$4:$A$33,0),MATCH(G363,'ei names mapping'!$B$3:$R$3,0))</f>
        <v>CH</v>
      </c>
      <c r="D363" s="12" t="str">
        <f>INDEX('ei names mapping'!$B$104:$BK$133,MATCH(B335,'ei names mapping'!$A$4:$A$33,0),MATCH(G363,'ei names mapping'!$B$3:$BK$3,0))</f>
        <v>meter-year</v>
      </c>
      <c r="E363" s="12"/>
      <c r="F363" s="12" t="s">
        <v>91</v>
      </c>
      <c r="G363" t="s">
        <v>117</v>
      </c>
      <c r="H363" s="12" t="str">
        <f>INDEX('ei names mapping'!$B$71:$BK$100,MATCH(B335,'ei names mapping'!$A$4:$A$33,0),MATCH(G363,'ei names mapping'!$B$3:$BK$3,0))</f>
        <v>road maintenance</v>
      </c>
    </row>
    <row r="364" spans="1:8" x14ac:dyDescent="0.3">
      <c r="A364" s="12" t="s">
        <v>114</v>
      </c>
      <c r="B364" s="14">
        <f>INDEX('vehicles specifications'!$B$3:$CK$86,MATCH(B338,'vehicles specifications'!$A$3:$A$86,0),MATCH(G364,'vehicles specifications'!$B$2:$CK$2,0))*INDEX('ei names mapping'!$B$137:$BK$220,MATCH(B338,'ei names mapping'!$A$137:$A$220,0),MATCH(G364,'ei names mapping'!$B$136:$BK$136,0))</f>
        <v>3.6972222222222226E-2</v>
      </c>
      <c r="C364" s="12" t="str">
        <f>INDEX('ei names mapping'!$B$38:$R$67,MATCH($B$3,'ei names mapping'!$A$4:$A$33,0),MATCH(G364,'ei names mapping'!$B$3:$R$3,0))</f>
        <v>CH</v>
      </c>
      <c r="D364" s="12" t="str">
        <f>INDEX('ei names mapping'!$B$104:$R$133,MATCH($B$335,'ei names mapping'!$A$4:$A$33,0),MATCH(G364,'ei names mapping'!$B$3:$R$3,0))</f>
        <v>kilowatt hour</v>
      </c>
      <c r="E364" s="12"/>
      <c r="F364" s="12" t="s">
        <v>91</v>
      </c>
      <c r="G364" t="s">
        <v>28</v>
      </c>
      <c r="H364" s="12" t="s">
        <v>116</v>
      </c>
    </row>
    <row r="365" spans="1:8" x14ac:dyDescent="0.3">
      <c r="A365" s="12" t="str">
        <f>INDEX('ei names mapping'!$B$4:$R$33,MATCH(B335,'ei names mapping'!$A$4:$A$33,0),MATCH(G365,'ei names mapping'!$B$3:$R$3,0))</f>
        <v>market for maintenance, electric scooter, without battery</v>
      </c>
      <c r="B365" s="16">
        <f>INDEX('vehicles specifications'!$B$3:$CK$86,MATCH(B338,'vehicles specifications'!$A$3:$A$86,0),MATCH(G365,'vehicles specifications'!$B$2:$CK$2,0))*INDEX('ei names mapping'!$B$137:$BK$220,MATCH(B338,'ei names mapping'!$A$137:$A$220,0),MATCH(G365,'ei names mapping'!$B$136:$BK$136,0))</f>
        <v>2.0000000000000002E-5</v>
      </c>
      <c r="C365" s="12" t="str">
        <f>INDEX('ei names mapping'!$B$38:$BK$67,MATCH(B335,'ei names mapping'!$A$4:$A$33,0),MATCH(G365,'ei names mapping'!$B$3:$BK$3,0))</f>
        <v>GLO</v>
      </c>
      <c r="D365" s="12" t="str">
        <f>INDEX('ei names mapping'!$B$104:$BK$133,MATCH(B335,'ei names mapping'!$A$4:$A$33,0),MATCH(G365,'ei names mapping'!$B$3:$BK$3,0))</f>
        <v>unit</v>
      </c>
      <c r="F365" s="12" t="s">
        <v>91</v>
      </c>
      <c r="G365" s="12" t="s">
        <v>123</v>
      </c>
      <c r="H365" s="12" t="str">
        <f>INDEX('ei names mapping'!$B$71:$BK$100,MATCH(B335,'ei names mapping'!$A$4:$A$33,0),MATCH(G365,'ei names mapping'!$B$3:$BK$3,0))</f>
        <v>maintenance, electric scooter, without battery</v>
      </c>
    </row>
    <row r="366" spans="1:8" s="21" customFormat="1" x14ac:dyDescent="0.3">
      <c r="A366" s="12" t="str">
        <f>INDEX('ei names mapping'!$B$4:$R$33,MATCH(B335,'ei names mapping'!$A$4:$A$33,0),MATCH(G366,'ei names mapping'!$B$3:$R$3,0))</f>
        <v>road construction</v>
      </c>
      <c r="B366" s="16">
        <f>INDEX('vehicles specifications'!$B$3:$CK$86,MATCH(B338,'vehicles specifications'!$A$3:$A$86,0),MATCH(G366,'vehicles specifications'!$B$2:$CK$2,0))*INDEX('ei names mapping'!$B$137:$BK$220,MATCH(B338,'ei names mapping'!$A$137:$A$220,0),MATCH(G366,'ei names mapping'!$B$136:$BK$136,0))</f>
        <v>8.5275600000000001E-5</v>
      </c>
      <c r="C366" s="12" t="str">
        <f>INDEX('ei names mapping'!$B$38:$R$67,MATCH(B335,'ei names mapping'!$A$4:$A$33,0),MATCH(G366,'ei names mapping'!$B$3:$R$3,0))</f>
        <v>CH</v>
      </c>
      <c r="D366" s="12" t="str">
        <f>INDEX('ei names mapping'!$B$104:$R$133,MATCH(B335,'ei names mapping'!$A$104:$A$133,0),MATCH(G366,'ei names mapping'!$B$3:$R$3,0))</f>
        <v>meter-year</v>
      </c>
      <c r="E366" s="12"/>
      <c r="F366" s="12" t="s">
        <v>91</v>
      </c>
      <c r="G366" s="21" t="s">
        <v>108</v>
      </c>
      <c r="H366" s="12" t="str">
        <f>INDEX('ei names mapping'!$B$71:$R$100,MATCH(B335,'ei names mapping'!$A$4:$A$33,0),MATCH(G366,'ei names mapping'!$B$3:$R$3,0))</f>
        <v>road</v>
      </c>
    </row>
    <row r="367" spans="1:8" x14ac:dyDescent="0.3">
      <c r="A367" s="12" t="str">
        <f>INDEX('ei names mapping'!$B$4:$BK$33,MATCH(B335,'ei names mapping'!$A$4:$A$33,0),MATCH(G367,'ei names mapping'!$B$3:$BK$3,0))</f>
        <v>treatment of road wear emissions, passenger car</v>
      </c>
      <c r="B367" s="16">
        <f>INDEX('vehicles specifications'!$B$3:$CK$86,MATCH(B338,'vehicles specifications'!$A$3:$A$86,0),MATCH(G367,'vehicles specifications'!$B$2:$CK$2,0))*INDEX('ei names mapping'!$B$137:$BK$220,MATCH(B338,'ei names mapping'!$A$137:$A$220,0),MATCH(G367,'ei names mapping'!$B$136:$BK$136,0))</f>
        <v>-6.0000000000000002E-6</v>
      </c>
      <c r="C367" s="12" t="str">
        <f>INDEX('ei names mapping'!$B$38:$BK$67,MATCH(B335,'ei names mapping'!$A$4:$A$33,0),MATCH(G367,'ei names mapping'!$B$3:$BK$3,0))</f>
        <v>RER</v>
      </c>
      <c r="D367" s="12" t="str">
        <f>INDEX('ei names mapping'!$B$104:$BK$133,MATCH(B335,'ei names mapping'!$A$4:$A$33,0),MATCH(G367,'ei names mapping'!$B$3:$BK$3,0))</f>
        <v>kilogram</v>
      </c>
      <c r="E367" s="12"/>
      <c r="F367" s="12" t="s">
        <v>91</v>
      </c>
      <c r="G367" t="s">
        <v>29</v>
      </c>
      <c r="H367" s="12" t="str">
        <f>INDEX('ei names mapping'!$B$71:$BK$100,MATCH(B335,'ei names mapping'!$A$4:$A$33,0),MATCH(G367,'ei names mapping'!$B$3:$BK$3,0))</f>
        <v>road wear emissions, passenger car</v>
      </c>
    </row>
    <row r="368" spans="1:8" x14ac:dyDescent="0.3">
      <c r="A368" s="12" t="str">
        <f>INDEX('ei names mapping'!$B$4:$BK$33,MATCH(B335,'ei names mapping'!$A$4:$A$33,0),MATCH(G368,'ei names mapping'!$B$3:$BK$3,0))</f>
        <v>treatment of tyre wear emissions, passenger car</v>
      </c>
      <c r="B368" s="16">
        <f>INDEX('vehicles specifications'!$B$3:$CK$86,MATCH(B338,'vehicles specifications'!$A$3:$A$86,0),MATCH(G368,'vehicles specifications'!$B$2:$CK$2,0))*INDEX('ei names mapping'!$B$137:$BK$220,MATCH(B338,'ei names mapping'!$A$137:$A$220,0),MATCH(G368,'ei names mapping'!$B$136:$BK$136,0))</f>
        <v>-7.3669999999999991E-6</v>
      </c>
      <c r="C368" s="12" t="str">
        <f>INDEX('ei names mapping'!$B$38:$BK$67,MATCH(B335,'ei names mapping'!$A$4:$A$33,0),MATCH(G368,'ei names mapping'!$B$3:$BK$3,0))</f>
        <v>RER</v>
      </c>
      <c r="D368" s="12" t="str">
        <f>INDEX('ei names mapping'!$B$104:$BK$133,MATCH(B335,'ei names mapping'!$A$4:$A$33,0),MATCH(G368,'ei names mapping'!$B$3:$BK$3,0))</f>
        <v>kilogram</v>
      </c>
      <c r="E368" s="12"/>
      <c r="F368" s="12" t="s">
        <v>91</v>
      </c>
      <c r="G368" t="s">
        <v>30</v>
      </c>
      <c r="H368" s="12" t="str">
        <f>INDEX('ei names mapping'!$B$71:$BK$100,MATCH(B335,'ei names mapping'!$A$4:$A$33,0),MATCH(G368,'ei names mapping'!$B$3:$BK$3,0))</f>
        <v>tyre wear emissions, passenger car</v>
      </c>
    </row>
    <row r="369" spans="1:8" x14ac:dyDescent="0.3">
      <c r="A369" s="12" t="str">
        <f>INDEX('ei names mapping'!$B$4:$BK$33,MATCH(B335,'ei names mapping'!$A$4:$A$33,0),MATCH(G369,'ei names mapping'!$B$3:$BK$3,0))</f>
        <v>treatment of brake wear emissions, passenger car</v>
      </c>
      <c r="B369" s="16">
        <f>INDEX('vehicles specifications'!$B$3:$CK$86,MATCH(B338,'vehicles specifications'!$A$3:$A$86,0),MATCH(G369,'vehicles specifications'!$B$2:$CK$2,0))*INDEX('ei names mapping'!$B$137:$BK$220,MATCH(B338,'ei names mapping'!$A$137:$A$220,0),MATCH(G369,'ei names mapping'!$B$136:$BK$136,0))</f>
        <v>-4.1749999999999998E-6</v>
      </c>
      <c r="C369" s="12" t="str">
        <f>INDEX('ei names mapping'!$B$38:$BK$67,MATCH(B335,'ei names mapping'!$A$4:$A$33,0),MATCH(G369,'ei names mapping'!$B$3:$BK$3,0))</f>
        <v>RER</v>
      </c>
      <c r="D369" s="12" t="str">
        <f>INDEX('ei names mapping'!$B$104:$BK$133,MATCH(B335,'ei names mapping'!$A$4:$A$33,0),MATCH(G369,'ei names mapping'!$B$3:$BK$3,0))</f>
        <v>kilogram</v>
      </c>
      <c r="E369" s="12"/>
      <c r="F369" s="12" t="s">
        <v>91</v>
      </c>
      <c r="G369" t="s">
        <v>31</v>
      </c>
      <c r="H369" s="12" t="str">
        <f>INDEX('ei names mapping'!$B$71:$BK$100,MATCH(B335,'ei names mapping'!$A$4:$A$33,0),MATCH(G369,'ei names mapping'!$B$3:$BK$3,0))</f>
        <v>brake wear emissions, passenger car</v>
      </c>
    </row>
    <row r="370" spans="1:8" x14ac:dyDescent="0.3">
      <c r="B370" s="6"/>
    </row>
    <row r="371" spans="1:8" ht="15.6" x14ac:dyDescent="0.3">
      <c r="A371" s="11" t="s">
        <v>72</v>
      </c>
      <c r="B371" s="9" t="str">
        <f>"transport, "&amp;B373&amp;", "&amp;B375&amp;", label-certified electricity"</f>
        <v>transport, Motorbike, electric, &lt;4kW, 2030, label-certified electricity</v>
      </c>
    </row>
    <row r="372" spans="1:8" x14ac:dyDescent="0.3">
      <c r="A372" t="s">
        <v>73</v>
      </c>
      <c r="B372" t="s">
        <v>37</v>
      </c>
    </row>
    <row r="373" spans="1:8" x14ac:dyDescent="0.3">
      <c r="A373" t="s">
        <v>87</v>
      </c>
      <c r="B373" s="21" t="s">
        <v>520</v>
      </c>
    </row>
    <row r="374" spans="1:8" x14ac:dyDescent="0.3">
      <c r="A374" t="s">
        <v>88</v>
      </c>
      <c r="B374" s="12"/>
    </row>
    <row r="375" spans="1:8" x14ac:dyDescent="0.3">
      <c r="A375" t="s">
        <v>89</v>
      </c>
      <c r="B375" s="12">
        <v>2030</v>
      </c>
    </row>
    <row r="376" spans="1:8" x14ac:dyDescent="0.3">
      <c r="A376" t="s">
        <v>131</v>
      </c>
      <c r="B376" s="12" t="str">
        <f>B373&amp;" - "&amp;B375&amp;" - "&amp;B372</f>
        <v>Motorbike, electric, &lt;4kW - 2030 - CH</v>
      </c>
    </row>
    <row r="377" spans="1:8" x14ac:dyDescent="0.3">
      <c r="A377" t="s">
        <v>74</v>
      </c>
      <c r="B377" s="12" t="str">
        <f>"transport, "&amp;B373</f>
        <v>transport, Motorbike, electric, &lt;4kW</v>
      </c>
    </row>
    <row r="378" spans="1:8" x14ac:dyDescent="0.3">
      <c r="A378" t="s">
        <v>75</v>
      </c>
      <c r="B378" t="s">
        <v>76</v>
      </c>
    </row>
    <row r="379" spans="1:8" x14ac:dyDescent="0.3">
      <c r="A379" t="s">
        <v>77</v>
      </c>
      <c r="B379" t="s">
        <v>172</v>
      </c>
    </row>
    <row r="380" spans="1:8" x14ac:dyDescent="0.3">
      <c r="A380" t="s">
        <v>79</v>
      </c>
      <c r="B380" t="s">
        <v>90</v>
      </c>
    </row>
    <row r="381" spans="1:8" x14ac:dyDescent="0.3">
      <c r="A381" t="s">
        <v>132</v>
      </c>
      <c r="B381">
        <f>INDEX('vehicles specifications'!$B$3:$CK$86,MATCH(B376,'vehicles specifications'!$A$3:$A$86,0),MATCH("Lifetime [km]",'vehicles specifications'!$B$2:$CK$2,0))</f>
        <v>33400</v>
      </c>
    </row>
    <row r="382" spans="1:8" x14ac:dyDescent="0.3">
      <c r="A382" t="s">
        <v>133</v>
      </c>
      <c r="B382">
        <f>INDEX('vehicles specifications'!$B$3:$CK$86,MATCH(B376,'vehicles specifications'!$A$3:$A$86,0),MATCH("Passengers [unit]",'vehicles specifications'!$B$2:$CK$2,0))</f>
        <v>1.1000000000000001</v>
      </c>
    </row>
    <row r="383" spans="1:8" x14ac:dyDescent="0.3">
      <c r="A383" t="s">
        <v>134</v>
      </c>
      <c r="B383">
        <f>INDEX('vehicles specifications'!$B$3:$CK$86,MATCH(B376,'vehicles specifications'!$A$3:$A$86,0),MATCH("Servicing [unit]",'vehicles specifications'!$B$2:$CK$2,0))</f>
        <v>0.66800000000000004</v>
      </c>
    </row>
    <row r="384" spans="1:8" x14ac:dyDescent="0.3">
      <c r="A384" t="s">
        <v>135</v>
      </c>
      <c r="B384">
        <f>INDEX('vehicles specifications'!$B$3:$CK$86,MATCH(B376,'vehicles specifications'!$A$3:$A$86,0),MATCH("Energy battery replacement [unit]",'vehicles specifications'!$B$2:$CK$2,0))</f>
        <v>0.5</v>
      </c>
    </row>
    <row r="385" spans="1:8" x14ac:dyDescent="0.3">
      <c r="A385" t="s">
        <v>136</v>
      </c>
      <c r="B385">
        <f>INDEX('vehicles specifications'!$B$3:$CK$86,MATCH(B376,'vehicles specifications'!$A$3:$A$86,0),MATCH("Annual kilometers [km]",'vehicles specifications'!$B$2:$CK$2,0))</f>
        <v>2553</v>
      </c>
    </row>
    <row r="386" spans="1:8" x14ac:dyDescent="0.3">
      <c r="A386" t="s">
        <v>137</v>
      </c>
      <c r="B386" s="2">
        <f>INDEX('vehicles specifications'!$B$3:$CK$86,MATCH(B376,'vehicles specifications'!$A$3:$A$86,0),MATCH("Curb mass [kg]",'vehicles specifications'!$B$2:$CK$2,0))</f>
        <v>76.209999999999994</v>
      </c>
    </row>
    <row r="387" spans="1:8" x14ac:dyDescent="0.3">
      <c r="A387" t="s">
        <v>138</v>
      </c>
      <c r="B387">
        <f>INDEX('vehicles specifications'!$B$3:$CK$86,MATCH(B376,'vehicles specifications'!$A$3:$A$86,0),MATCH("Power [kW]",'vehicles specifications'!$B$2:$CK$2,0))</f>
        <v>2.5</v>
      </c>
    </row>
    <row r="388" spans="1:8" x14ac:dyDescent="0.3">
      <c r="A388" t="s">
        <v>139</v>
      </c>
      <c r="B388">
        <f>INDEX('vehicles specifications'!$B$3:$CK$86,MATCH(B376,'vehicles specifications'!$A$3:$A$86,0),MATCH("Energy battery mass [kg]",'vehicles specifications'!$B$2:$CK$2,0))</f>
        <v>12.8</v>
      </c>
    </row>
    <row r="389" spans="1:8" x14ac:dyDescent="0.3">
      <c r="A389" t="s">
        <v>140</v>
      </c>
      <c r="B389" s="21">
        <f>INDEX('vehicles specifications'!$B$3:$CK$86,MATCH(B376,'vehicles specifications'!$A$3:$A$86,0),MATCH("Electric energy stored [kWh]",'vehicles specifications'!$B$2:$CK$2,0))</f>
        <v>3.2</v>
      </c>
    </row>
    <row r="390" spans="1:8" s="21" customFormat="1" x14ac:dyDescent="0.3">
      <c r="A390" s="21" t="s">
        <v>654</v>
      </c>
      <c r="B390" s="21">
        <f>INDEX('vehicles specifications'!$B$3:$CK$86,MATCH(B376,'vehicles specifications'!$A$3:$A$86,0),MATCH("Electric energy available [kWh]",'vehicles specifications'!$B$2:$CK$2,0))</f>
        <v>2.5600000000000005</v>
      </c>
    </row>
    <row r="391" spans="1:8" x14ac:dyDescent="0.3">
      <c r="A391" t="s">
        <v>143</v>
      </c>
      <c r="B391" s="2">
        <f>INDEX('vehicles specifications'!$B$3:$CK$86,MATCH(B376,'vehicles specifications'!$A$3:$A$86,0),MATCH("Oxydation energy stored [kWh]",'vehicles specifications'!$B$2:$CK$2,0))</f>
        <v>0</v>
      </c>
    </row>
    <row r="392" spans="1:8" x14ac:dyDescent="0.3">
      <c r="A392" t="s">
        <v>145</v>
      </c>
      <c r="B392">
        <f>INDEX('vehicles specifications'!$B$3:$CK$86,MATCH(B376,'vehicles specifications'!$A$3:$A$86,0),MATCH("Fuel mass [kg]",'vehicles specifications'!$B$2:$CK$2,0))</f>
        <v>0</v>
      </c>
    </row>
    <row r="393" spans="1:8" x14ac:dyDescent="0.3">
      <c r="A393" t="s">
        <v>141</v>
      </c>
      <c r="B393" s="2">
        <f>INDEX('vehicles specifications'!$B$3:$CK$86,MATCH(B376,'vehicles specifications'!$A$3:$A$86,0),MATCH("Range [km]",'vehicles specifications'!$B$2:$CK$2,0))</f>
        <v>76.165289256198363</v>
      </c>
    </row>
    <row r="394" spans="1:8" x14ac:dyDescent="0.3">
      <c r="A394" t="s">
        <v>142</v>
      </c>
      <c r="B394" t="str">
        <f>INDEX('vehicles specifications'!$B$3:$CK$86,MATCH(B376,'vehicles specifications'!$A$3:$A$86,0),MATCH("Emission standard",'vehicles specifications'!$B$2:$CK$2,0))</f>
        <v>None</v>
      </c>
    </row>
    <row r="395" spans="1:8" x14ac:dyDescent="0.3">
      <c r="A395" t="s">
        <v>144</v>
      </c>
      <c r="B395" s="6">
        <f>INDEX('vehicles specifications'!$B$3:$CK$86,MATCH(B376,'vehicles specifications'!$A$3:$A$86,0),MATCH("Lightweighting rate [%]",'vehicles specifications'!$B$2:$CK$2,0))</f>
        <v>0.03</v>
      </c>
    </row>
    <row r="396" spans="1:8" x14ac:dyDescent="0.3">
      <c r="A396" t="s">
        <v>84</v>
      </c>
      <c r="B396" s="21" t="str">
        <f>"Power: "&amp;B387&amp;" kW. Lifetime: "&amp;B381&amp;" km. Annual kilometers: "&amp;B385&amp;" km. Number of passengers: "&amp;B382&amp;". Curb mass: "&amp;ROUND(B386,1)&amp;" kg. Lightweighting of glider: "&amp;ROUND(B395*100,0)&amp;"%. Emission standard: "&amp;B394&amp;". Service visits throughout lifetime: "&amp;ROUND(B383,1)&amp;". Range: "&amp;ROUND(B393,0)&amp;" km. Battery capacity: "&amp;ROUND(B389,1)&amp;" kWh. Available battery capacity: "&amp;B390&amp;" kWh. Battery mass: "&amp;ROUND(B388,1)&amp; " kg. Battery replacement throughout lifetime: "&amp;ROUND(B384,1)&amp;". Fuel tank capacity: "&amp;ROUND(B391,1)&amp;" kWh. Fuel mass: "&amp;ROUND(B392,1)&amp;" kg. Documentation: "&amp;Readmefirst!$B$2&amp;", "&amp;Readmefirst!$B$3&amp;". "&amp;'lci-kick scooter'!B335</f>
        <v xml:space="preserve">Power: 2.5 kW. Lifetime: 33400 km. Annual kilometers: 2553 km. Number of passengers: 1.1. Curb mass: 76.2 kg. Lightweighting of glider: 3%. Emission standard: None. Service visits throughout lifetime: 0.7. Range: 76 km. Battery capacity: 3.2 kWh. Available battery capacity: 2.56 kWh. Battery mass: 12.8 kg. Battery replacement throughout lifetime: 0.5. Fuel tank capacity: 0 kWh. Fuel mass: 0 kg. Documentation: 2021 UVEK life-cycle inventories update of on-road vehicles, Sacchi R. (PSI), Bauer C. (PSI), 2021. </v>
      </c>
    </row>
    <row r="397" spans="1:8" ht="15.6" x14ac:dyDescent="0.3">
      <c r="A397" s="11" t="s">
        <v>80</v>
      </c>
    </row>
    <row r="398" spans="1:8" x14ac:dyDescent="0.3">
      <c r="A398" t="s">
        <v>81</v>
      </c>
      <c r="B398" t="s">
        <v>82</v>
      </c>
      <c r="C398" t="s">
        <v>73</v>
      </c>
      <c r="D398" t="s">
        <v>77</v>
      </c>
      <c r="E398" t="s">
        <v>83</v>
      </c>
      <c r="F398" t="s">
        <v>75</v>
      </c>
      <c r="G398" t="s">
        <v>84</v>
      </c>
      <c r="H398" t="s">
        <v>74</v>
      </c>
    </row>
    <row r="399" spans="1:8" x14ac:dyDescent="0.3">
      <c r="A399" s="12" t="str">
        <f>B371</f>
        <v>transport, Motorbike, electric, &lt;4kW, 2030, label-certified electricity</v>
      </c>
      <c r="B399" s="12">
        <v>1</v>
      </c>
      <c r="C399" s="12" t="str">
        <f>B372</f>
        <v>CH</v>
      </c>
      <c r="D399" s="12" t="s">
        <v>172</v>
      </c>
      <c r="E399" s="12"/>
      <c r="F399" s="12" t="s">
        <v>85</v>
      </c>
      <c r="G399" s="12" t="s">
        <v>86</v>
      </c>
      <c r="H399" s="12" t="str">
        <f>B377</f>
        <v>transport, Motorbike, electric, &lt;4kW</v>
      </c>
    </row>
    <row r="400" spans="1:8" x14ac:dyDescent="0.3">
      <c r="A400" s="12" t="str">
        <f>B373&amp;", "&amp;B375</f>
        <v>Motorbike, electric, &lt;4kW, 2030</v>
      </c>
      <c r="B400" s="12">
        <f>1/B381</f>
        <v>2.9940119760479042E-5</v>
      </c>
      <c r="C400" s="12" t="str">
        <f>B372</f>
        <v>CH</v>
      </c>
      <c r="D400" s="12" t="s">
        <v>77</v>
      </c>
      <c r="E400" s="12"/>
      <c r="F400" s="12" t="s">
        <v>91</v>
      </c>
      <c r="G400" s="12"/>
      <c r="H400" s="12" t="str">
        <f>RIGHT(H399,LEN(H399)-11)</f>
        <v>Motorbike, electric, &lt;4kW</v>
      </c>
    </row>
    <row r="401" spans="1:8" x14ac:dyDescent="0.3">
      <c r="A401" s="12" t="str">
        <f>INDEX('ei names mapping'!$B$4:$R$33,MATCH(B373,'ei names mapping'!$A$4:$A$33,0),MATCH(G401,'ei names mapping'!$B$3:$R$3,0))</f>
        <v>road maintenance</v>
      </c>
      <c r="B401" s="16">
        <f>INDEX('vehicles specifications'!$B$3:$CK$86,MATCH(B376,'vehicles specifications'!$A$3:$A$86,0),MATCH(G401,'vehicles specifications'!$B$2:$CK$2,0))*INDEX('ei names mapping'!$B$137:$BK$220,MATCH(B376,'ei names mapping'!$A$137:$A$220,0),MATCH(G401,'ei names mapping'!$B$136:$BK$136,0))</f>
        <v>1.2899999999999999E-3</v>
      </c>
      <c r="C401" s="12" t="str">
        <f>INDEX('ei names mapping'!$B$38:$R$67,MATCH(B373,'ei names mapping'!$A$4:$A$33,0),MATCH(G401,'ei names mapping'!$B$3:$R$3,0))</f>
        <v>CH</v>
      </c>
      <c r="D401" s="12" t="str">
        <f>INDEX('ei names mapping'!$B$104:$BK$133,MATCH(B373,'ei names mapping'!$A$4:$A$33,0),MATCH(G401,'ei names mapping'!$B$3:$BK$3,0))</f>
        <v>meter-year</v>
      </c>
      <c r="E401" s="12"/>
      <c r="F401" s="12" t="s">
        <v>91</v>
      </c>
      <c r="G401" t="s">
        <v>117</v>
      </c>
      <c r="H401" s="12" t="str">
        <f>INDEX('ei names mapping'!$B$71:$BK$100,MATCH(B373,'ei names mapping'!$A$4:$A$33,0),MATCH(G401,'ei names mapping'!$B$3:$BK$3,0))</f>
        <v>road maintenance</v>
      </c>
    </row>
    <row r="402" spans="1:8" x14ac:dyDescent="0.3">
      <c r="A402" s="12" t="s">
        <v>114</v>
      </c>
      <c r="B402" s="14">
        <f>INDEX('vehicles specifications'!$B$3:$CK$86,MATCH(B376,'vehicles specifications'!$A$3:$A$86,0),MATCH(G402,'vehicles specifications'!$B$2:$CK$2,0))*INDEX('ei names mapping'!$B$137:$BK$220,MATCH(B376,'ei names mapping'!$A$137:$A$220,0),MATCH(G402,'ei names mapping'!$B$136:$BK$136,0))</f>
        <v>3.6972222222222226E-2</v>
      </c>
      <c r="C402" s="12" t="str">
        <f>INDEX('ei names mapping'!$B$38:$R$67,MATCH($B$3,'ei names mapping'!$A$4:$A$33,0),MATCH(G402,'ei names mapping'!$B$3:$R$3,0))</f>
        <v>CH</v>
      </c>
      <c r="D402" s="12" t="str">
        <f>INDEX('ei names mapping'!$B$104:$R$133,MATCH($B$3,'ei names mapping'!$A$4:$A$33,0),MATCH(G402,'ei names mapping'!$B$3:$R$3,0))</f>
        <v>kilowatt hour</v>
      </c>
      <c r="E402" s="12"/>
      <c r="F402" s="12" t="s">
        <v>91</v>
      </c>
      <c r="G402" t="s">
        <v>28</v>
      </c>
      <c r="H402" s="12" t="s">
        <v>116</v>
      </c>
    </row>
    <row r="403" spans="1:8" x14ac:dyDescent="0.3">
      <c r="A403" s="12" t="str">
        <f>INDEX('ei names mapping'!$B$4:$R$33,MATCH(B373,'ei names mapping'!$A$4:$A$33,0),MATCH(G403,'ei names mapping'!$B$3:$R$3,0))</f>
        <v>market for maintenance, electric scooter, without battery</v>
      </c>
      <c r="B403" s="16">
        <f>INDEX('vehicles specifications'!$B$3:$CK$86,MATCH(B376,'vehicles specifications'!$A$3:$A$86,0),MATCH(G403,'vehicles specifications'!$B$2:$CK$2,0))*INDEX('ei names mapping'!$B$137:$BK$220,MATCH(B376,'ei names mapping'!$A$137:$A$220,0),MATCH(G403,'ei names mapping'!$B$136:$BK$136,0))</f>
        <v>2.0000000000000002E-5</v>
      </c>
      <c r="C403" s="12" t="str">
        <f>INDEX('ei names mapping'!$B$38:$BK$67,MATCH(B373,'ei names mapping'!$A$4:$A$33,0),MATCH(G403,'ei names mapping'!$B$3:$BK$3,0))</f>
        <v>GLO</v>
      </c>
      <c r="D403" s="12" t="str">
        <f>INDEX('ei names mapping'!$B$104:$BK$133,MATCH(B373,'ei names mapping'!$A$4:$A$33,0),MATCH(G403,'ei names mapping'!$B$3:$BK$3,0))</f>
        <v>unit</v>
      </c>
      <c r="F403" s="12" t="s">
        <v>91</v>
      </c>
      <c r="G403" s="12" t="s">
        <v>123</v>
      </c>
      <c r="H403" s="12" t="str">
        <f>INDEX('ei names mapping'!$B$71:$BK$100,MATCH(B373,'ei names mapping'!$A$4:$A$33,0),MATCH(G403,'ei names mapping'!$B$3:$BK$3,0))</f>
        <v>maintenance, electric scooter, without battery</v>
      </c>
    </row>
    <row r="404" spans="1:8" s="21" customFormat="1" x14ac:dyDescent="0.3">
      <c r="A404" s="12" t="str">
        <f>INDEX('ei names mapping'!$B$4:$R$33,MATCH(B373,'ei names mapping'!$A$4:$A$33,0),MATCH(G404,'ei names mapping'!$B$3:$R$3,0))</f>
        <v>road construction</v>
      </c>
      <c r="B404" s="16">
        <f>INDEX('vehicles specifications'!$B$3:$CK$86,MATCH(B376,'vehicles specifications'!$A$3:$A$86,0),MATCH(G404,'vehicles specifications'!$B$2:$CK$2,0))*INDEX('ei names mapping'!$B$137:$BK$220,MATCH(B376,'ei names mapping'!$A$137:$A$220,0),MATCH(G404,'ei names mapping'!$B$136:$BK$136,0))</f>
        <v>8.5495769999999993E-5</v>
      </c>
      <c r="C404" s="12" t="str">
        <f>INDEX('ei names mapping'!$B$38:$R$67,MATCH(B373,'ei names mapping'!$A$4:$A$33,0),MATCH(G404,'ei names mapping'!$B$3:$R$3,0))</f>
        <v>CH</v>
      </c>
      <c r="D404" s="12" t="str">
        <f>INDEX('ei names mapping'!$B$104:$R$133,MATCH(B373,'ei names mapping'!$A$104:$A$133,0),MATCH(G404,'ei names mapping'!$B$3:$R$3,0))</f>
        <v>meter-year</v>
      </c>
      <c r="E404" s="12"/>
      <c r="F404" s="12" t="s">
        <v>91</v>
      </c>
      <c r="G404" s="21" t="s">
        <v>108</v>
      </c>
      <c r="H404" s="12" t="str">
        <f>INDEX('ei names mapping'!$B$71:$R$100,MATCH(B373,'ei names mapping'!$A$4:$A$33,0),MATCH(G404,'ei names mapping'!$B$3:$R$3,0))</f>
        <v>road</v>
      </c>
    </row>
    <row r="405" spans="1:8" x14ac:dyDescent="0.3">
      <c r="A405" s="12" t="str">
        <f>INDEX('ei names mapping'!$B$4:$BK$33,MATCH(B373,'ei names mapping'!$A$4:$A$33,0),MATCH(G405,'ei names mapping'!$B$3:$BK$3,0))</f>
        <v>treatment of road wear emissions, passenger car</v>
      </c>
      <c r="B405" s="16">
        <f>INDEX('vehicles specifications'!$B$3:$CK$86,MATCH(B376,'vehicles specifications'!$A$3:$A$86,0),MATCH(G405,'vehicles specifications'!$B$2:$CK$2,0))*INDEX('ei names mapping'!$B$137:$BK$220,MATCH(B376,'ei names mapping'!$A$137:$A$220,0),MATCH(G405,'ei names mapping'!$B$136:$BK$136,0))</f>
        <v>-6.0000000000000002E-6</v>
      </c>
      <c r="C405" s="12" t="str">
        <f>INDEX('ei names mapping'!$B$38:$BK$67,MATCH(B373,'ei names mapping'!$A$4:$A$33,0),MATCH(G405,'ei names mapping'!$B$3:$BK$3,0))</f>
        <v>RER</v>
      </c>
      <c r="D405" s="12" t="str">
        <f>INDEX('ei names mapping'!$B$104:$BK$133,MATCH(B373,'ei names mapping'!$A$4:$A$33,0),MATCH(G405,'ei names mapping'!$B$3:$BK$3,0))</f>
        <v>kilogram</v>
      </c>
      <c r="E405" s="12"/>
      <c r="F405" s="12" t="s">
        <v>91</v>
      </c>
      <c r="G405" t="s">
        <v>29</v>
      </c>
      <c r="H405" s="12" t="str">
        <f>INDEX('ei names mapping'!$B$71:$BK$100,MATCH(B373,'ei names mapping'!$A$4:$A$33,0),MATCH(G405,'ei names mapping'!$B$3:$BK$3,0))</f>
        <v>road wear emissions, passenger car</v>
      </c>
    </row>
    <row r="406" spans="1:8" x14ac:dyDescent="0.3">
      <c r="A406" s="12" t="str">
        <f>INDEX('ei names mapping'!$B$4:$BK$33,MATCH(B373,'ei names mapping'!$A$4:$A$33,0),MATCH(G406,'ei names mapping'!$B$3:$BK$3,0))</f>
        <v>treatment of tyre wear emissions, passenger car</v>
      </c>
      <c r="B406" s="16">
        <f>INDEX('vehicles specifications'!$B$3:$CK$86,MATCH(B376,'vehicles specifications'!$A$3:$A$86,0),MATCH(G406,'vehicles specifications'!$B$2:$CK$2,0))*INDEX('ei names mapping'!$B$137:$BK$220,MATCH(B376,'ei names mapping'!$A$137:$A$220,0),MATCH(G406,'ei names mapping'!$B$136:$BK$136,0))</f>
        <v>-7.3669999999999991E-6</v>
      </c>
      <c r="C406" s="12" t="str">
        <f>INDEX('ei names mapping'!$B$38:$BK$67,MATCH(B373,'ei names mapping'!$A$4:$A$33,0),MATCH(G406,'ei names mapping'!$B$3:$BK$3,0))</f>
        <v>RER</v>
      </c>
      <c r="D406" s="12" t="str">
        <f>INDEX('ei names mapping'!$B$104:$BK$133,MATCH(B373,'ei names mapping'!$A$4:$A$33,0),MATCH(G406,'ei names mapping'!$B$3:$BK$3,0))</f>
        <v>kilogram</v>
      </c>
      <c r="E406" s="12"/>
      <c r="F406" s="12" t="s">
        <v>91</v>
      </c>
      <c r="G406" t="s">
        <v>30</v>
      </c>
      <c r="H406" s="12" t="str">
        <f>INDEX('ei names mapping'!$B$71:$BK$100,MATCH(B373,'ei names mapping'!$A$4:$A$33,0),MATCH(G406,'ei names mapping'!$B$3:$BK$3,0))</f>
        <v>tyre wear emissions, passenger car</v>
      </c>
    </row>
    <row r="407" spans="1:8" x14ac:dyDescent="0.3">
      <c r="A407" s="12" t="str">
        <f>INDEX('ei names mapping'!$B$4:$BK$33,MATCH(B373,'ei names mapping'!$A$4:$A$33,0),MATCH(G407,'ei names mapping'!$B$3:$BK$3,0))</f>
        <v>treatment of brake wear emissions, passenger car</v>
      </c>
      <c r="B407" s="16">
        <f>INDEX('vehicles specifications'!$B$3:$CK$86,MATCH(B376,'vehicles specifications'!$A$3:$A$86,0),MATCH(G407,'vehicles specifications'!$B$2:$CK$2,0))*INDEX('ei names mapping'!$B$137:$BK$220,MATCH(B376,'ei names mapping'!$A$137:$A$220,0),MATCH(G407,'ei names mapping'!$B$136:$BK$136,0))</f>
        <v>-4.1749999999999998E-6</v>
      </c>
      <c r="C407" s="12" t="str">
        <f>INDEX('ei names mapping'!$B$38:$BK$67,MATCH(B373,'ei names mapping'!$A$4:$A$33,0),MATCH(G407,'ei names mapping'!$B$3:$BK$3,0))</f>
        <v>RER</v>
      </c>
      <c r="D407" s="12" t="str">
        <f>INDEX('ei names mapping'!$B$104:$BK$133,MATCH(B373,'ei names mapping'!$A$4:$A$33,0),MATCH(G407,'ei names mapping'!$B$3:$BK$3,0))</f>
        <v>kilogram</v>
      </c>
      <c r="E407" s="12"/>
      <c r="F407" s="12" t="s">
        <v>91</v>
      </c>
      <c r="G407" t="s">
        <v>31</v>
      </c>
      <c r="H407" s="12" t="str">
        <f>INDEX('ei names mapping'!$B$71:$BK$100,MATCH(B373,'ei names mapping'!$A$4:$A$33,0),MATCH(G407,'ei names mapping'!$B$3:$BK$3,0))</f>
        <v>brake wear emissions, passenger car</v>
      </c>
    </row>
    <row r="409" spans="1:8" ht="15.6" x14ac:dyDescent="0.3">
      <c r="A409" s="11" t="s">
        <v>72</v>
      </c>
      <c r="B409" s="9" t="str">
        <f>"transport, "&amp;B411&amp;", "&amp;B413&amp;", label-certified electricity"</f>
        <v>transport, Motorbike, electric, &lt;4kW, 2040, label-certified electricity</v>
      </c>
    </row>
    <row r="410" spans="1:8" x14ac:dyDescent="0.3">
      <c r="A410" t="s">
        <v>73</v>
      </c>
      <c r="B410" t="s">
        <v>37</v>
      </c>
    </row>
    <row r="411" spans="1:8" x14ac:dyDescent="0.3">
      <c r="A411" t="s">
        <v>87</v>
      </c>
      <c r="B411" s="21" t="s">
        <v>520</v>
      </c>
    </row>
    <row r="412" spans="1:8" x14ac:dyDescent="0.3">
      <c r="A412" t="s">
        <v>88</v>
      </c>
      <c r="B412" s="12"/>
    </row>
    <row r="413" spans="1:8" x14ac:dyDescent="0.3">
      <c r="A413" t="s">
        <v>89</v>
      </c>
      <c r="B413" s="12">
        <v>2040</v>
      </c>
    </row>
    <row r="414" spans="1:8" x14ac:dyDescent="0.3">
      <c r="A414" t="s">
        <v>131</v>
      </c>
      <c r="B414" s="12" t="str">
        <f>B411&amp;" - "&amp;B413&amp;" - "&amp;B410</f>
        <v>Motorbike, electric, &lt;4kW - 2040 - CH</v>
      </c>
    </row>
    <row r="415" spans="1:8" x14ac:dyDescent="0.3">
      <c r="A415" t="s">
        <v>74</v>
      </c>
      <c r="B415" s="12" t="str">
        <f>"transport, "&amp;B411</f>
        <v>transport, Motorbike, electric, &lt;4kW</v>
      </c>
    </row>
    <row r="416" spans="1:8" x14ac:dyDescent="0.3">
      <c r="A416" t="s">
        <v>75</v>
      </c>
      <c r="B416" t="s">
        <v>76</v>
      </c>
    </row>
    <row r="417" spans="1:2" x14ac:dyDescent="0.3">
      <c r="A417" t="s">
        <v>77</v>
      </c>
      <c r="B417" t="s">
        <v>172</v>
      </c>
    </row>
    <row r="418" spans="1:2" x14ac:dyDescent="0.3">
      <c r="A418" t="s">
        <v>79</v>
      </c>
      <c r="B418" t="s">
        <v>90</v>
      </c>
    </row>
    <row r="419" spans="1:2" x14ac:dyDescent="0.3">
      <c r="A419" t="s">
        <v>132</v>
      </c>
      <c r="B419">
        <f>INDEX('vehicles specifications'!$B$3:$CK$86,MATCH(B414,'vehicles specifications'!$A$3:$A$86,0),MATCH("Lifetime [km]",'vehicles specifications'!$B$2:$CK$2,0))</f>
        <v>33400</v>
      </c>
    </row>
    <row r="420" spans="1:2" x14ac:dyDescent="0.3">
      <c r="A420" t="s">
        <v>133</v>
      </c>
      <c r="B420">
        <f>INDEX('vehicles specifications'!$B$3:$CK$86,MATCH(B414,'vehicles specifications'!$A$3:$A$86,0),MATCH("Passengers [unit]",'vehicles specifications'!$B$2:$CK$2,0))</f>
        <v>1.1000000000000001</v>
      </c>
    </row>
    <row r="421" spans="1:2" x14ac:dyDescent="0.3">
      <c r="A421" t="s">
        <v>134</v>
      </c>
      <c r="B421">
        <f>INDEX('vehicles specifications'!$B$3:$CK$86,MATCH(B414,'vehicles specifications'!$A$3:$A$86,0),MATCH("Servicing [unit]",'vehicles specifications'!$B$2:$CK$2,0))</f>
        <v>0.66800000000000004</v>
      </c>
    </row>
    <row r="422" spans="1:2" x14ac:dyDescent="0.3">
      <c r="A422" t="s">
        <v>135</v>
      </c>
      <c r="B422">
        <f>INDEX('vehicles specifications'!$B$3:$CK$86,MATCH(B414,'vehicles specifications'!$A$3:$A$86,0),MATCH("Energy battery replacement [unit]",'vehicles specifications'!$B$2:$CK$2,0))</f>
        <v>0.25</v>
      </c>
    </row>
    <row r="423" spans="1:2" x14ac:dyDescent="0.3">
      <c r="A423" t="s">
        <v>136</v>
      </c>
      <c r="B423">
        <f>INDEX('vehicles specifications'!$B$3:$CK$86,MATCH(B414,'vehicles specifications'!$A$3:$A$86,0),MATCH("Annual kilometers [km]",'vehicles specifications'!$B$2:$CK$2,0))</f>
        <v>2553</v>
      </c>
    </row>
    <row r="424" spans="1:2" x14ac:dyDescent="0.3">
      <c r="A424" t="s">
        <v>137</v>
      </c>
      <c r="B424" s="2">
        <f>INDEX('vehicles specifications'!$B$3:$CK$86,MATCH(B414,'vehicles specifications'!$A$3:$A$86,0),MATCH("Curb mass [kg]",'vehicles specifications'!$B$2:$CK$2,0))</f>
        <v>75.849999999999994</v>
      </c>
    </row>
    <row r="425" spans="1:2" x14ac:dyDescent="0.3">
      <c r="A425" t="s">
        <v>138</v>
      </c>
      <c r="B425">
        <f>INDEX('vehicles specifications'!$B$3:$CK$86,MATCH(B414,'vehicles specifications'!$A$3:$A$86,0),MATCH("Power [kW]",'vehicles specifications'!$B$2:$CK$2,0))</f>
        <v>2.5</v>
      </c>
    </row>
    <row r="426" spans="1:2" x14ac:dyDescent="0.3">
      <c r="A426" t="s">
        <v>139</v>
      </c>
      <c r="B426">
        <f>INDEX('vehicles specifications'!$B$3:$CK$86,MATCH(B414,'vehicles specifications'!$A$3:$A$86,0),MATCH("Energy battery mass [kg]",'vehicles specifications'!$B$2:$CK$2,0))</f>
        <v>13.5</v>
      </c>
    </row>
    <row r="427" spans="1:2" x14ac:dyDescent="0.3">
      <c r="A427" t="s">
        <v>140</v>
      </c>
      <c r="B427" s="21">
        <f>INDEX('vehicles specifications'!$B$3:$CK$86,MATCH(B414,'vehicles specifications'!$A$3:$A$86,0),MATCH("Electric energy stored [kWh]",'vehicles specifications'!$B$2:$CK$2,0))</f>
        <v>4.5</v>
      </c>
    </row>
    <row r="428" spans="1:2" s="21" customFormat="1" x14ac:dyDescent="0.3">
      <c r="A428" s="21" t="s">
        <v>654</v>
      </c>
      <c r="B428" s="21">
        <f>INDEX('vehicles specifications'!$B$3:$CK$86,MATCH(B414,'vehicles specifications'!$A$3:$A$86,0),MATCH("Electric energy available [kWh]",'vehicles specifications'!$B$2:$CK$2,0))</f>
        <v>3.6</v>
      </c>
    </row>
    <row r="429" spans="1:2" x14ac:dyDescent="0.3">
      <c r="A429" t="s">
        <v>143</v>
      </c>
      <c r="B429" s="2">
        <f>INDEX('vehicles specifications'!$B$3:$CK$86,MATCH(B414,'vehicles specifications'!$A$3:$A$86,0),MATCH("Oxydation energy stored [kWh]",'vehicles specifications'!$B$2:$CK$2,0))</f>
        <v>0</v>
      </c>
    </row>
    <row r="430" spans="1:2" x14ac:dyDescent="0.3">
      <c r="A430" t="s">
        <v>145</v>
      </c>
      <c r="B430">
        <f>INDEX('vehicles specifications'!$B$3:$CK$86,MATCH(B414,'vehicles specifications'!$A$3:$A$86,0),MATCH("Fuel mass [kg]",'vehicles specifications'!$B$2:$CK$2,0))</f>
        <v>0</v>
      </c>
    </row>
    <row r="431" spans="1:2" x14ac:dyDescent="0.3">
      <c r="A431" t="s">
        <v>141</v>
      </c>
      <c r="B431" s="2">
        <f>INDEX('vehicles specifications'!$B$3:$CK$86,MATCH(B414,'vehicles specifications'!$A$3:$A$86,0),MATCH("Range [km]",'vehicles specifications'!$B$2:$CK$2,0))</f>
        <v>107.10743801652892</v>
      </c>
    </row>
    <row r="432" spans="1:2" x14ac:dyDescent="0.3">
      <c r="A432" t="s">
        <v>142</v>
      </c>
      <c r="B432" t="str">
        <f>INDEX('vehicles specifications'!$B$3:$CK$86,MATCH(B414,'vehicles specifications'!$A$3:$A$86,0),MATCH("Emission standard",'vehicles specifications'!$B$2:$CK$2,0))</f>
        <v>None</v>
      </c>
    </row>
    <row r="433" spans="1:8" x14ac:dyDescent="0.3">
      <c r="A433" t="s">
        <v>144</v>
      </c>
      <c r="B433" s="6">
        <f>INDEX('vehicles specifications'!$B$3:$CK$86,MATCH(B414,'vehicles specifications'!$A$3:$A$86,0),MATCH("Lightweighting rate [%]",'vehicles specifications'!$B$2:$CK$2,0))</f>
        <v>0.05</v>
      </c>
    </row>
    <row r="434" spans="1:8" x14ac:dyDescent="0.3">
      <c r="A434" t="s">
        <v>84</v>
      </c>
      <c r="B434" s="21" t="str">
        <f>"Power: "&amp;B425&amp;" kW. Lifetime: "&amp;B419&amp;" km. Annual kilometers: "&amp;B423&amp;" km. Number of passengers: "&amp;B420&amp;". Curb mass: "&amp;ROUND(B424,1)&amp;" kg. Lightweighting of glider: "&amp;ROUND(B433*100,0)&amp;"%. Emission standard: "&amp;B432&amp;". Service visits throughout lifetime: "&amp;ROUND(B421,1)&amp;". Range: "&amp;ROUND(B431,0)&amp;" km. Battery capacity: "&amp;ROUND(B427,1)&amp;" kWh. Available battery capacity: "&amp;B428&amp;" kWh. Battery mass: "&amp;ROUND(B426,1)&amp; " kg. Battery replacement throughout lifetime: "&amp;ROUND(B422,1)&amp;". Fuel tank capacity: "&amp;ROUND(B429,1)&amp;" kWh. Fuel mass: "&amp;ROUND(B430,1)&amp;" kg. Documentation: "&amp;Readmefirst!$B$2&amp;", "&amp;Readmefirst!$B$3&amp;". "&amp;'lci-kick scooter'!B373</f>
        <v xml:space="preserve">Power: 2.5 kW. Lifetime: 33400 km. Annual kilometers: 2553 km. Number of passengers: 1.1. Curb mass: 75.9 kg. Lightweighting of glider: 5%. Emission standard: None. Service visits throughout lifetime: 0.7. Range: 107 km. Battery capacity: 4.5 kWh. Available battery capacity: 3.6 kWh. Battery mass: 13.5 kg. Battery replacement throughout lifetime: 0.3. Fuel tank capacity: 0 kWh. Fuel mass: 0 kg. Documentation: 2021 UVEK life-cycle inventories update of on-road vehicles, Sacchi R. (PSI), Bauer C. (PSI), 2021. </v>
      </c>
    </row>
    <row r="435" spans="1:8" ht="15.6" x14ac:dyDescent="0.3">
      <c r="A435" s="11" t="s">
        <v>80</v>
      </c>
    </row>
    <row r="436" spans="1:8" x14ac:dyDescent="0.3">
      <c r="A436" t="s">
        <v>81</v>
      </c>
      <c r="B436" t="s">
        <v>82</v>
      </c>
      <c r="C436" t="s">
        <v>73</v>
      </c>
      <c r="D436" t="s">
        <v>77</v>
      </c>
      <c r="E436" t="s">
        <v>83</v>
      </c>
      <c r="F436" t="s">
        <v>75</v>
      </c>
      <c r="G436" t="s">
        <v>84</v>
      </c>
      <c r="H436" t="s">
        <v>74</v>
      </c>
    </row>
    <row r="437" spans="1:8" x14ac:dyDescent="0.3">
      <c r="A437" s="12" t="str">
        <f>B409</f>
        <v>transport, Motorbike, electric, &lt;4kW, 2040, label-certified electricity</v>
      </c>
      <c r="B437" s="12">
        <v>1</v>
      </c>
      <c r="C437" s="12" t="str">
        <f>B410</f>
        <v>CH</v>
      </c>
      <c r="D437" s="12" t="s">
        <v>172</v>
      </c>
      <c r="E437" s="12"/>
      <c r="F437" s="12" t="s">
        <v>85</v>
      </c>
      <c r="G437" s="12" t="s">
        <v>86</v>
      </c>
      <c r="H437" s="12" t="str">
        <f>B415</f>
        <v>transport, Motorbike, electric, &lt;4kW</v>
      </c>
    </row>
    <row r="438" spans="1:8" x14ac:dyDescent="0.3">
      <c r="A438" s="12" t="str">
        <f>B411&amp;", "&amp;B413</f>
        <v>Motorbike, electric, &lt;4kW, 2040</v>
      </c>
      <c r="B438" s="12">
        <f>1/B419</f>
        <v>2.9940119760479042E-5</v>
      </c>
      <c r="C438" s="12" t="str">
        <f>B410</f>
        <v>CH</v>
      </c>
      <c r="D438" s="12" t="s">
        <v>77</v>
      </c>
      <c r="E438" s="12"/>
      <c r="F438" s="12" t="s">
        <v>91</v>
      </c>
      <c r="G438" s="12"/>
      <c r="H438" s="12" t="str">
        <f>RIGHT(H437,LEN(H437)-11)</f>
        <v>Motorbike, electric, &lt;4kW</v>
      </c>
    </row>
    <row r="439" spans="1:8" x14ac:dyDescent="0.3">
      <c r="A439" s="12" t="str">
        <f>INDEX('ei names mapping'!$B$4:$R$33,MATCH(B411,'ei names mapping'!$A$4:$A$33,0),MATCH(G439,'ei names mapping'!$B$3:$R$3,0))</f>
        <v>road maintenance</v>
      </c>
      <c r="B439" s="16">
        <f>INDEX('vehicles specifications'!$B$3:$CK$86,MATCH(B414,'vehicles specifications'!$A$3:$A$86,0),MATCH(G439,'vehicles specifications'!$B$2:$CK$2,0))*INDEX('ei names mapping'!$B$137:$BK$220,MATCH(B414,'ei names mapping'!$A$137:$A$220,0),MATCH(G439,'ei names mapping'!$B$136:$BK$136,0))</f>
        <v>1.2899999999999999E-3</v>
      </c>
      <c r="C439" s="12" t="str">
        <f>INDEX('ei names mapping'!$B$38:$R$67,MATCH(B411,'ei names mapping'!$A$4:$A$33,0),MATCH(G439,'ei names mapping'!$B$3:$R$3,0))</f>
        <v>CH</v>
      </c>
      <c r="D439" s="12" t="str">
        <f>INDEX('ei names mapping'!$B$104:$BK$133,MATCH(B411,'ei names mapping'!$A$4:$A$33,0),MATCH(G439,'ei names mapping'!$B$3:$BK$3,0))</f>
        <v>meter-year</v>
      </c>
      <c r="E439" s="12"/>
      <c r="F439" s="12" t="s">
        <v>91</v>
      </c>
      <c r="G439" t="s">
        <v>117</v>
      </c>
      <c r="H439" s="12" t="str">
        <f>INDEX('ei names mapping'!$B$71:$BK$100,MATCH(B411,'ei names mapping'!$A$4:$A$33,0),MATCH(G439,'ei names mapping'!$B$3:$BK$3,0))</f>
        <v>road maintenance</v>
      </c>
    </row>
    <row r="440" spans="1:8" x14ac:dyDescent="0.3">
      <c r="A440" s="12" t="s">
        <v>114</v>
      </c>
      <c r="B440" s="14">
        <f>INDEX('vehicles specifications'!$B$3:$CK$86,MATCH(B414,'vehicles specifications'!$A$3:$A$86,0),MATCH(G440,'vehicles specifications'!$B$2:$CK$2,0))*INDEX('ei names mapping'!$B$137:$BK$220,MATCH(B414,'ei names mapping'!$A$137:$A$220,0),MATCH(G440,'ei names mapping'!$B$136:$BK$136,0))</f>
        <v>3.6972222222222226E-2</v>
      </c>
      <c r="C440" s="12" t="str">
        <f>INDEX('ei names mapping'!$B$38:$R$67,MATCH($B$3,'ei names mapping'!$A$4:$A$33,0),MATCH(G440,'ei names mapping'!$B$3:$R$3,0))</f>
        <v>CH</v>
      </c>
      <c r="D440" s="12" t="str">
        <f>INDEX('ei names mapping'!$B$104:$R$133,MATCH($B$3,'ei names mapping'!$A$4:$A$33,0),MATCH(G440,'ei names mapping'!$B$3:$R$3,0))</f>
        <v>kilowatt hour</v>
      </c>
      <c r="E440" s="12"/>
      <c r="F440" s="12" t="s">
        <v>91</v>
      </c>
      <c r="G440" t="s">
        <v>28</v>
      </c>
      <c r="H440" s="12" t="s">
        <v>116</v>
      </c>
    </row>
    <row r="441" spans="1:8" x14ac:dyDescent="0.3">
      <c r="A441" s="12" t="str">
        <f>INDEX('ei names mapping'!$B$4:$R$33,MATCH(B411,'ei names mapping'!$A$4:$A$33,0),MATCH(G441,'ei names mapping'!$B$3:$R$3,0))</f>
        <v>market for maintenance, electric scooter, without battery</v>
      </c>
      <c r="B441" s="16">
        <f>INDEX('vehicles specifications'!$B$3:$CK$86,MATCH(B414,'vehicles specifications'!$A$3:$A$86,0),MATCH(G441,'vehicles specifications'!$B$2:$CK$2,0))*INDEX('ei names mapping'!$B$137:$BK$220,MATCH(B414,'ei names mapping'!$A$137:$A$220,0),MATCH(G441,'ei names mapping'!$B$136:$BK$136,0))</f>
        <v>2.0000000000000002E-5</v>
      </c>
      <c r="C441" s="12" t="str">
        <f>INDEX('ei names mapping'!$B$38:$BK$67,MATCH(B411,'ei names mapping'!$A$4:$A$33,0),MATCH(G441,'ei names mapping'!$B$3:$BK$3,0))</f>
        <v>GLO</v>
      </c>
      <c r="D441" s="12" t="str">
        <f>INDEX('ei names mapping'!$B$104:$BK$133,MATCH(B411,'ei names mapping'!$A$4:$A$33,0),MATCH(G441,'ei names mapping'!$B$3:$BK$3,0))</f>
        <v>unit</v>
      </c>
      <c r="F441" s="12" t="s">
        <v>91</v>
      </c>
      <c r="G441" s="12" t="s">
        <v>123</v>
      </c>
      <c r="H441" s="12" t="str">
        <f>INDEX('ei names mapping'!$B$71:$BK$100,MATCH(B411,'ei names mapping'!$A$4:$A$33,0),MATCH(G441,'ei names mapping'!$B$3:$BK$3,0))</f>
        <v>maintenance, electric scooter, without battery</v>
      </c>
    </row>
    <row r="442" spans="1:8" s="21" customFormat="1" x14ac:dyDescent="0.3">
      <c r="A442" s="12" t="str">
        <f>INDEX('ei names mapping'!$B$4:$R$33,MATCH(B411,'ei names mapping'!$A$4:$A$33,0),MATCH(G442,'ei names mapping'!$B$3:$R$3,0))</f>
        <v>road construction</v>
      </c>
      <c r="B442" s="16">
        <f>INDEX('vehicles specifications'!$B$3:$CK$86,MATCH(B414,'vehicles specifications'!$A$3:$A$86,0),MATCH(G442,'vehicles specifications'!$B$2:$CK$2,0))*INDEX('ei names mapping'!$B$137:$BK$220,MATCH(B414,'ei names mapping'!$A$137:$A$220,0),MATCH(G442,'ei names mapping'!$B$136:$BK$136,0))</f>
        <v>8.5302449999999995E-5</v>
      </c>
      <c r="C442" s="12" t="str">
        <f>INDEX('ei names mapping'!$B$38:$R$67,MATCH(B411,'ei names mapping'!$A$4:$A$33,0),MATCH(G442,'ei names mapping'!$B$3:$R$3,0))</f>
        <v>CH</v>
      </c>
      <c r="D442" s="12" t="str">
        <f>INDEX('ei names mapping'!$B$104:$R$133,MATCH(B411,'ei names mapping'!$A$104:$A$133,0),MATCH(G442,'ei names mapping'!$B$3:$R$3,0))</f>
        <v>meter-year</v>
      </c>
      <c r="E442" s="12"/>
      <c r="F442" s="12" t="s">
        <v>91</v>
      </c>
      <c r="G442" s="21" t="s">
        <v>108</v>
      </c>
      <c r="H442" s="12" t="str">
        <f>INDEX('ei names mapping'!$B$71:$R$100,MATCH(B411,'ei names mapping'!$A$4:$A$33,0),MATCH(G442,'ei names mapping'!$B$3:$R$3,0))</f>
        <v>road</v>
      </c>
    </row>
    <row r="443" spans="1:8" x14ac:dyDescent="0.3">
      <c r="A443" s="12" t="str">
        <f>INDEX('ei names mapping'!$B$4:$BK$33,MATCH(B411,'ei names mapping'!$A$4:$A$33,0),MATCH(G443,'ei names mapping'!$B$3:$BK$3,0))</f>
        <v>treatment of road wear emissions, passenger car</v>
      </c>
      <c r="B443" s="16">
        <f>INDEX('vehicles specifications'!$B$3:$CK$86,MATCH(B414,'vehicles specifications'!$A$3:$A$86,0),MATCH(G443,'vehicles specifications'!$B$2:$CK$2,0))*INDEX('ei names mapping'!$B$137:$BK$220,MATCH(B414,'ei names mapping'!$A$137:$A$220,0),MATCH(G443,'ei names mapping'!$B$136:$BK$136,0))</f>
        <v>-6.0000000000000002E-6</v>
      </c>
      <c r="C443" s="12" t="str">
        <f>INDEX('ei names mapping'!$B$38:$BK$67,MATCH(B411,'ei names mapping'!$A$4:$A$33,0),MATCH(G443,'ei names mapping'!$B$3:$BK$3,0))</f>
        <v>RER</v>
      </c>
      <c r="D443" s="12" t="str">
        <f>INDEX('ei names mapping'!$B$104:$BK$133,MATCH(B411,'ei names mapping'!$A$4:$A$33,0),MATCH(G443,'ei names mapping'!$B$3:$BK$3,0))</f>
        <v>kilogram</v>
      </c>
      <c r="E443" s="12"/>
      <c r="F443" s="12" t="s">
        <v>91</v>
      </c>
      <c r="G443" t="s">
        <v>29</v>
      </c>
      <c r="H443" s="12" t="str">
        <f>INDEX('ei names mapping'!$B$71:$BK$100,MATCH(B411,'ei names mapping'!$A$4:$A$33,0),MATCH(G443,'ei names mapping'!$B$3:$BK$3,0))</f>
        <v>road wear emissions, passenger car</v>
      </c>
    </row>
    <row r="444" spans="1:8" x14ac:dyDescent="0.3">
      <c r="A444" s="12" t="str">
        <f>INDEX('ei names mapping'!$B$4:$BK$33,MATCH(B411,'ei names mapping'!$A$4:$A$33,0),MATCH(G444,'ei names mapping'!$B$3:$BK$3,0))</f>
        <v>treatment of tyre wear emissions, passenger car</v>
      </c>
      <c r="B444" s="16">
        <f>INDEX('vehicles specifications'!$B$3:$CK$86,MATCH(B414,'vehicles specifications'!$A$3:$A$86,0),MATCH(G444,'vehicles specifications'!$B$2:$CK$2,0))*INDEX('ei names mapping'!$B$137:$BK$220,MATCH(B414,'ei names mapping'!$A$137:$A$220,0),MATCH(G444,'ei names mapping'!$B$136:$BK$136,0))</f>
        <v>-7.3669999999999991E-6</v>
      </c>
      <c r="C444" s="12" t="str">
        <f>INDEX('ei names mapping'!$B$38:$BK$67,MATCH(B411,'ei names mapping'!$A$4:$A$33,0),MATCH(G444,'ei names mapping'!$B$3:$BK$3,0))</f>
        <v>RER</v>
      </c>
      <c r="D444" s="12" t="str">
        <f>INDEX('ei names mapping'!$B$104:$BK$133,MATCH(B411,'ei names mapping'!$A$4:$A$33,0),MATCH(G444,'ei names mapping'!$B$3:$BK$3,0))</f>
        <v>kilogram</v>
      </c>
      <c r="E444" s="12"/>
      <c r="F444" s="12" t="s">
        <v>91</v>
      </c>
      <c r="G444" t="s">
        <v>30</v>
      </c>
      <c r="H444" s="12" t="str">
        <f>INDEX('ei names mapping'!$B$71:$BK$100,MATCH(B411,'ei names mapping'!$A$4:$A$33,0),MATCH(G444,'ei names mapping'!$B$3:$BK$3,0))</f>
        <v>tyre wear emissions, passenger car</v>
      </c>
    </row>
    <row r="445" spans="1:8" x14ac:dyDescent="0.3">
      <c r="A445" s="12" t="str">
        <f>INDEX('ei names mapping'!$B$4:$BK$33,MATCH(B411,'ei names mapping'!$A$4:$A$33,0),MATCH(G445,'ei names mapping'!$B$3:$BK$3,0))</f>
        <v>treatment of brake wear emissions, passenger car</v>
      </c>
      <c r="B445" s="16">
        <f>INDEX('vehicles specifications'!$B$3:$CK$86,MATCH(B414,'vehicles specifications'!$A$3:$A$86,0),MATCH(G445,'vehicles specifications'!$B$2:$CK$2,0))*INDEX('ei names mapping'!$B$137:$BK$220,MATCH(B414,'ei names mapping'!$A$137:$A$220,0),MATCH(G445,'ei names mapping'!$B$136:$BK$136,0))</f>
        <v>-4.1749999999999998E-6</v>
      </c>
      <c r="C445" s="12" t="str">
        <f>INDEX('ei names mapping'!$B$38:$BK$67,MATCH(B411,'ei names mapping'!$A$4:$A$33,0),MATCH(G445,'ei names mapping'!$B$3:$BK$3,0))</f>
        <v>RER</v>
      </c>
      <c r="D445" s="12" t="str">
        <f>INDEX('ei names mapping'!$B$104:$BK$133,MATCH(B411,'ei names mapping'!$A$4:$A$33,0),MATCH(G445,'ei names mapping'!$B$3:$BK$3,0))</f>
        <v>kilogram</v>
      </c>
      <c r="E445" s="12"/>
      <c r="F445" s="12" t="s">
        <v>91</v>
      </c>
      <c r="G445" t="s">
        <v>31</v>
      </c>
      <c r="H445" s="12" t="str">
        <f>INDEX('ei names mapping'!$B$71:$BK$100,MATCH(B411,'ei names mapping'!$A$4:$A$33,0),MATCH(G445,'ei names mapping'!$B$3:$BK$3,0))</f>
        <v>brake wear emissions, passenger car</v>
      </c>
    </row>
    <row r="447" spans="1:8" ht="15.6" x14ac:dyDescent="0.3">
      <c r="A447" s="11" t="s">
        <v>72</v>
      </c>
      <c r="B447" s="9" t="str">
        <f>"transport, "&amp;B449&amp;", "&amp;B451&amp;", label-certified electricity"</f>
        <v>transport, Motorbike, electric, &lt;4kW, 2050, label-certified electricity</v>
      </c>
    </row>
    <row r="448" spans="1:8" x14ac:dyDescent="0.3">
      <c r="A448" t="s">
        <v>73</v>
      </c>
      <c r="B448" t="s">
        <v>37</v>
      </c>
    </row>
    <row r="449" spans="1:2" x14ac:dyDescent="0.3">
      <c r="A449" t="s">
        <v>87</v>
      </c>
      <c r="B449" s="21" t="s">
        <v>520</v>
      </c>
    </row>
    <row r="450" spans="1:2" x14ac:dyDescent="0.3">
      <c r="A450" t="s">
        <v>88</v>
      </c>
      <c r="B450" s="12"/>
    </row>
    <row r="451" spans="1:2" x14ac:dyDescent="0.3">
      <c r="A451" t="s">
        <v>89</v>
      </c>
      <c r="B451" s="12">
        <v>2050</v>
      </c>
    </row>
    <row r="452" spans="1:2" x14ac:dyDescent="0.3">
      <c r="A452" t="s">
        <v>131</v>
      </c>
      <c r="B452" s="12" t="str">
        <f>B449&amp;" - "&amp;B451&amp;" - "&amp;B448</f>
        <v>Motorbike, electric, &lt;4kW - 2050 - CH</v>
      </c>
    </row>
    <row r="453" spans="1:2" x14ac:dyDescent="0.3">
      <c r="A453" t="s">
        <v>74</v>
      </c>
      <c r="B453" s="12" t="str">
        <f>"transport, "&amp;B449</f>
        <v>transport, Motorbike, electric, &lt;4kW</v>
      </c>
    </row>
    <row r="454" spans="1:2" x14ac:dyDescent="0.3">
      <c r="A454" t="s">
        <v>75</v>
      </c>
      <c r="B454" t="s">
        <v>76</v>
      </c>
    </row>
    <row r="455" spans="1:2" x14ac:dyDescent="0.3">
      <c r="A455" t="s">
        <v>77</v>
      </c>
      <c r="B455" t="s">
        <v>172</v>
      </c>
    </row>
    <row r="456" spans="1:2" x14ac:dyDescent="0.3">
      <c r="A456" t="s">
        <v>79</v>
      </c>
      <c r="B456" t="s">
        <v>90</v>
      </c>
    </row>
    <row r="457" spans="1:2" x14ac:dyDescent="0.3">
      <c r="A457" t="s">
        <v>132</v>
      </c>
      <c r="B457">
        <f>INDEX('vehicles specifications'!$B$3:$CK$86,MATCH(B452,'vehicles specifications'!$A$3:$A$86,0),MATCH("Lifetime [km]",'vehicles specifications'!$B$2:$CK$2,0))</f>
        <v>33400</v>
      </c>
    </row>
    <row r="458" spans="1:2" x14ac:dyDescent="0.3">
      <c r="A458" t="s">
        <v>133</v>
      </c>
      <c r="B458">
        <f>INDEX('vehicles specifications'!$B$3:$CK$86,MATCH(B452,'vehicles specifications'!$A$3:$A$86,0),MATCH("Passengers [unit]",'vehicles specifications'!$B$2:$CK$2,0))</f>
        <v>1.1000000000000001</v>
      </c>
    </row>
    <row r="459" spans="1:2" x14ac:dyDescent="0.3">
      <c r="A459" t="s">
        <v>134</v>
      </c>
      <c r="B459">
        <f>INDEX('vehicles specifications'!$B$3:$CK$86,MATCH(B452,'vehicles specifications'!$A$3:$A$86,0),MATCH("Servicing [unit]",'vehicles specifications'!$B$2:$CK$2,0))</f>
        <v>0.66800000000000004</v>
      </c>
    </row>
    <row r="460" spans="1:2" x14ac:dyDescent="0.3">
      <c r="A460" t="s">
        <v>135</v>
      </c>
      <c r="B460">
        <f>INDEX('vehicles specifications'!$B$3:$CK$86,MATCH(B452,'vehicles specifications'!$A$3:$A$86,0),MATCH("Energy battery replacement [unit]",'vehicles specifications'!$B$2:$CK$2,0))</f>
        <v>0</v>
      </c>
    </row>
    <row r="461" spans="1:2" x14ac:dyDescent="0.3">
      <c r="A461" t="s">
        <v>136</v>
      </c>
      <c r="B461">
        <f>INDEX('vehicles specifications'!$B$3:$CK$86,MATCH(B452,'vehicles specifications'!$A$3:$A$86,0),MATCH("Annual kilometers [km]",'vehicles specifications'!$B$2:$CK$2,0))</f>
        <v>2553</v>
      </c>
    </row>
    <row r="462" spans="1:2" x14ac:dyDescent="0.3">
      <c r="A462" t="s">
        <v>137</v>
      </c>
      <c r="B462" s="2">
        <f>INDEX('vehicles specifications'!$B$3:$CK$86,MATCH(B452,'vehicles specifications'!$A$3:$A$86,0),MATCH("Curb mass [kg]",'vehicles specifications'!$B$2:$CK$2,0))</f>
        <v>75.69</v>
      </c>
    </row>
    <row r="463" spans="1:2" x14ac:dyDescent="0.3">
      <c r="A463" t="s">
        <v>138</v>
      </c>
      <c r="B463">
        <f>INDEX('vehicles specifications'!$B$3:$CK$86,MATCH(B452,'vehicles specifications'!$A$3:$A$86,0),MATCH("Power [kW]",'vehicles specifications'!$B$2:$CK$2,0))</f>
        <v>2.5</v>
      </c>
    </row>
    <row r="464" spans="1:2" x14ac:dyDescent="0.3">
      <c r="A464" t="s">
        <v>139</v>
      </c>
      <c r="B464">
        <f>INDEX('vehicles specifications'!$B$3:$CK$86,MATCH(B452,'vehicles specifications'!$A$3:$A$86,0),MATCH("Energy battery mass [kg]",'vehicles specifications'!$B$2:$CK$2,0))</f>
        <v>14.4</v>
      </c>
    </row>
    <row r="465" spans="1:8" x14ac:dyDescent="0.3">
      <c r="A465" t="s">
        <v>140</v>
      </c>
      <c r="B465">
        <f>INDEX('vehicles specifications'!$B$3:$CK$86,MATCH(B452,'vehicles specifications'!$A$3:$A$86,0),MATCH("Electric energy stored [kWh]",'vehicles specifications'!$B$2:$CK$2,0))</f>
        <v>6</v>
      </c>
    </row>
    <row r="466" spans="1:8" s="21" customFormat="1" x14ac:dyDescent="0.3">
      <c r="A466" s="21" t="s">
        <v>654</v>
      </c>
      <c r="B466" s="21">
        <f>INDEX('vehicles specifications'!$B$3:$CK$86,MATCH(B452,'vehicles specifications'!$A$3:$A$86,0),MATCH("Electric energy available [kWh]",'vehicles specifications'!$B$2:$CK$2,0))</f>
        <v>4.8000000000000007</v>
      </c>
    </row>
    <row r="467" spans="1:8" x14ac:dyDescent="0.3">
      <c r="A467" t="s">
        <v>143</v>
      </c>
      <c r="B467" s="2">
        <f>INDEX('vehicles specifications'!$B$3:$CK$86,MATCH(B452,'vehicles specifications'!$A$3:$A$86,0),MATCH("Oxydation energy stored [kWh]",'vehicles specifications'!$B$2:$CK$2,0))</f>
        <v>0</v>
      </c>
    </row>
    <row r="468" spans="1:8" x14ac:dyDescent="0.3">
      <c r="A468" t="s">
        <v>145</v>
      </c>
      <c r="B468">
        <f>INDEX('vehicles specifications'!$B$3:$CK$86,MATCH(B452,'vehicles specifications'!$A$3:$A$86,0),MATCH("Fuel mass [kg]",'vehicles specifications'!$B$2:$CK$2,0))</f>
        <v>0</v>
      </c>
    </row>
    <row r="469" spans="1:8" x14ac:dyDescent="0.3">
      <c r="A469" t="s">
        <v>141</v>
      </c>
      <c r="B469" s="2">
        <f>INDEX('vehicles specifications'!$B$3:$CK$86,MATCH(B452,'vehicles specifications'!$A$3:$A$86,0),MATCH("Range [km]",'vehicles specifications'!$B$2:$CK$2,0))</f>
        <v>142.80991735537191</v>
      </c>
    </row>
    <row r="470" spans="1:8" x14ac:dyDescent="0.3">
      <c r="A470" t="s">
        <v>142</v>
      </c>
      <c r="B470" t="str">
        <f>INDEX('vehicles specifications'!$B$3:$CK$86,MATCH(B452,'vehicles specifications'!$A$3:$A$86,0),MATCH("Emission standard",'vehicles specifications'!$B$2:$CK$2,0))</f>
        <v>None</v>
      </c>
    </row>
    <row r="471" spans="1:8" x14ac:dyDescent="0.3">
      <c r="A471" t="s">
        <v>144</v>
      </c>
      <c r="B471" s="6">
        <f>INDEX('vehicles specifications'!$B$3:$CK$86,MATCH(B452,'vehicles specifications'!$A$3:$A$86,0),MATCH("Lightweighting rate [%]",'vehicles specifications'!$B$2:$CK$2,0))</f>
        <v>7.0000000000000007E-2</v>
      </c>
    </row>
    <row r="472" spans="1:8" x14ac:dyDescent="0.3">
      <c r="A472" t="s">
        <v>84</v>
      </c>
      <c r="B472" s="21" t="str">
        <f>"Power: "&amp;B463&amp;" kW. Lifetime: "&amp;B457&amp;" km. Annual kilometers: "&amp;B461&amp;" km. Number of passengers: "&amp;B458&amp;". Curb mass: "&amp;ROUND(B462,1)&amp;" kg. Lightweighting of glider: "&amp;ROUND(B471*100,0)&amp;"%. Emission standard: "&amp;B470&amp;". Service visits throughout lifetime: "&amp;ROUND(B459,1)&amp;". Range: "&amp;ROUND(B469,0)&amp;" km. Battery capacity: "&amp;ROUND(B465,1)&amp;" kWh. Available battery capacity: "&amp;B466&amp;" kWh. Battery mass: "&amp;ROUND(B464,1)&amp; " kg. Battery replacement throughout lifetime: "&amp;ROUND(B460,1)&amp;". Fuel tank capacity: "&amp;ROUND(B467,1)&amp;" kWh. Fuel mass: "&amp;ROUND(B468,1)&amp;" kg. Documentation: "&amp;Readmefirst!$B$2&amp;", "&amp;Readmefirst!$B$3&amp;". "&amp;'lci-kick scooter'!B411</f>
        <v xml:space="preserve">Power: 2.5 kW. Lifetime: 33400 km. Annual kilometers: 2553 km. Number of passengers: 1.1. Curb mass: 75.7 kg. Lightweighting of glider: 7%. Emission standard: None. Service visits throughout lifetime: 0.7. Range: 143 km. Battery capacity: 6 kWh. Available battery capacity: 4.8 kWh. Battery mass: 14.4 kg. Battery replacement throughout lifetime: 0. Fuel tank capacity: 0 kWh. Fuel mass: 0 kg. Documentation: 2021 UVEK life-cycle inventories update of on-road vehicles, Sacchi R. (PSI), Bauer C. (PSI), 2021. </v>
      </c>
    </row>
    <row r="473" spans="1:8" ht="15.6" x14ac:dyDescent="0.3">
      <c r="A473" s="11" t="s">
        <v>80</v>
      </c>
    </row>
    <row r="474" spans="1:8" x14ac:dyDescent="0.3">
      <c r="A474" t="s">
        <v>81</v>
      </c>
      <c r="B474" t="s">
        <v>82</v>
      </c>
      <c r="C474" t="s">
        <v>73</v>
      </c>
      <c r="D474" t="s">
        <v>77</v>
      </c>
      <c r="E474" t="s">
        <v>83</v>
      </c>
      <c r="F474" t="s">
        <v>75</v>
      </c>
      <c r="G474" t="s">
        <v>84</v>
      </c>
      <c r="H474" t="s">
        <v>74</v>
      </c>
    </row>
    <row r="475" spans="1:8" x14ac:dyDescent="0.3">
      <c r="A475" s="12" t="str">
        <f>B447</f>
        <v>transport, Motorbike, electric, &lt;4kW, 2050, label-certified electricity</v>
      </c>
      <c r="B475" s="12">
        <v>1</v>
      </c>
      <c r="C475" s="12" t="str">
        <f>B448</f>
        <v>CH</v>
      </c>
      <c r="D475" s="12" t="s">
        <v>172</v>
      </c>
      <c r="E475" s="12"/>
      <c r="F475" s="12" t="s">
        <v>85</v>
      </c>
      <c r="G475" s="12" t="s">
        <v>86</v>
      </c>
      <c r="H475" s="12" t="str">
        <f>B453</f>
        <v>transport, Motorbike, electric, &lt;4kW</v>
      </c>
    </row>
    <row r="476" spans="1:8" x14ac:dyDescent="0.3">
      <c r="A476" s="12" t="str">
        <f>B449&amp;", "&amp;B451</f>
        <v>Motorbike, electric, &lt;4kW, 2050</v>
      </c>
      <c r="B476" s="12">
        <f>1/B457</f>
        <v>2.9940119760479042E-5</v>
      </c>
      <c r="C476" s="12" t="str">
        <f>B448</f>
        <v>CH</v>
      </c>
      <c r="D476" s="12" t="s">
        <v>77</v>
      </c>
      <c r="E476" s="12"/>
      <c r="F476" s="12" t="s">
        <v>91</v>
      </c>
      <c r="G476" s="12"/>
      <c r="H476" s="12" t="str">
        <f>RIGHT(H475,LEN(H475)-11)</f>
        <v>Motorbike, electric, &lt;4kW</v>
      </c>
    </row>
    <row r="477" spans="1:8" x14ac:dyDescent="0.3">
      <c r="A477" s="12" t="str">
        <f>INDEX('ei names mapping'!$B$4:$R$33,MATCH(B449,'ei names mapping'!$A$4:$A$33,0),MATCH(G477,'ei names mapping'!$B$3:$R$3,0))</f>
        <v>road maintenance</v>
      </c>
      <c r="B477" s="16">
        <f>INDEX('vehicles specifications'!$B$3:$CK$86,MATCH(B452,'vehicles specifications'!$A$3:$A$86,0),MATCH(G477,'vehicles specifications'!$B$2:$CK$2,0))*INDEX('ei names mapping'!$B$137:$BK$220,MATCH(B452,'ei names mapping'!$A$137:$A$220,0),MATCH(G477,'ei names mapping'!$B$136:$BK$136,0))</f>
        <v>1.2899999999999999E-3</v>
      </c>
      <c r="C477" s="12" t="str">
        <f>INDEX('ei names mapping'!$B$38:$R$67,MATCH(B449,'ei names mapping'!$A$4:$A$33,0),MATCH(G477,'ei names mapping'!$B$3:$R$3,0))</f>
        <v>CH</v>
      </c>
      <c r="D477" s="12" t="str">
        <f>INDEX('ei names mapping'!$B$104:$BK$133,MATCH(B449,'ei names mapping'!$A$4:$A$33,0),MATCH(G477,'ei names mapping'!$B$3:$BK$3,0))</f>
        <v>meter-year</v>
      </c>
      <c r="E477" s="12"/>
      <c r="F477" s="12" t="s">
        <v>91</v>
      </c>
      <c r="G477" t="s">
        <v>117</v>
      </c>
      <c r="H477" s="12" t="str">
        <f>INDEX('ei names mapping'!$B$71:$BK$100,MATCH(B449,'ei names mapping'!$A$4:$A$33,0),MATCH(G477,'ei names mapping'!$B$3:$BK$3,0))</f>
        <v>road maintenance</v>
      </c>
    </row>
    <row r="478" spans="1:8" x14ac:dyDescent="0.3">
      <c r="A478" s="12" t="s">
        <v>114</v>
      </c>
      <c r="B478" s="14">
        <f>INDEX('vehicles specifications'!$B$3:$CK$86,MATCH(B452,'vehicles specifications'!$A$3:$A$86,0),MATCH(G478,'vehicles specifications'!$B$2:$CK$2,0))*INDEX('ei names mapping'!$B$137:$BK$220,MATCH(B452,'ei names mapping'!$A$137:$A$220,0),MATCH(G478,'ei names mapping'!$B$136:$BK$136,0))</f>
        <v>3.6972222222222226E-2</v>
      </c>
      <c r="C478" s="12" t="str">
        <f>INDEX('ei names mapping'!$B$38:$R$67,MATCH($B$3,'ei names mapping'!$A$4:$A$33,0),MATCH(G478,'ei names mapping'!$B$3:$R$3,0))</f>
        <v>CH</v>
      </c>
      <c r="D478" s="12" t="str">
        <f>INDEX('ei names mapping'!$B$104:$R$133,MATCH($B$3,'ei names mapping'!$A$4:$A$33,0),MATCH(G478,'ei names mapping'!$B$3:$R$3,0))</f>
        <v>kilowatt hour</v>
      </c>
      <c r="E478" s="12"/>
      <c r="F478" s="12" t="s">
        <v>91</v>
      </c>
      <c r="G478" t="s">
        <v>28</v>
      </c>
      <c r="H478" s="12" t="s">
        <v>116</v>
      </c>
    </row>
    <row r="479" spans="1:8" x14ac:dyDescent="0.3">
      <c r="A479" s="12" t="str">
        <f>INDEX('ei names mapping'!$B$4:$R$33,MATCH(B449,'ei names mapping'!$A$4:$A$33,0),MATCH(G479,'ei names mapping'!$B$3:$R$3,0))</f>
        <v>market for maintenance, electric scooter, without battery</v>
      </c>
      <c r="B479" s="16">
        <f>INDEX('vehicles specifications'!$B$3:$CK$86,MATCH(B452,'vehicles specifications'!$A$3:$A$86,0),MATCH(G479,'vehicles specifications'!$B$2:$CK$2,0))*INDEX('ei names mapping'!$B$137:$BK$220,MATCH(B452,'ei names mapping'!$A$137:$A$220,0),MATCH(G479,'ei names mapping'!$B$136:$BK$136,0))</f>
        <v>2.0000000000000002E-5</v>
      </c>
      <c r="C479" s="12" t="str">
        <f>INDEX('ei names mapping'!$B$38:$BK$67,MATCH(B449,'ei names mapping'!$A$4:$A$33,0),MATCH(G479,'ei names mapping'!$B$3:$BK$3,0))</f>
        <v>GLO</v>
      </c>
      <c r="D479" s="12" t="str">
        <f>INDEX('ei names mapping'!$B$104:$BK$133,MATCH(B449,'ei names mapping'!$A$4:$A$33,0),MATCH(G479,'ei names mapping'!$B$3:$BK$3,0))</f>
        <v>unit</v>
      </c>
      <c r="F479" s="12" t="s">
        <v>91</v>
      </c>
      <c r="G479" s="12" t="s">
        <v>123</v>
      </c>
      <c r="H479" s="12" t="str">
        <f>INDEX('ei names mapping'!$B$71:$BK$100,MATCH(B449,'ei names mapping'!$A$4:$A$33,0),MATCH(G479,'ei names mapping'!$B$3:$BK$3,0))</f>
        <v>maintenance, electric scooter, without battery</v>
      </c>
    </row>
    <row r="480" spans="1:8" s="21" customFormat="1" x14ac:dyDescent="0.3">
      <c r="A480" s="12" t="str">
        <f>INDEX('ei names mapping'!$B$4:$R$33,MATCH(B449,'ei names mapping'!$A$4:$A$33,0),MATCH(G480,'ei names mapping'!$B$3:$R$3,0))</f>
        <v>road construction</v>
      </c>
      <c r="B480" s="16">
        <f>INDEX('vehicles specifications'!$B$3:$CK$86,MATCH(B452,'vehicles specifications'!$A$3:$A$86,0),MATCH(G480,'vehicles specifications'!$B$2:$CK$2,0))*INDEX('ei names mapping'!$B$137:$BK$220,MATCH(B452,'ei names mapping'!$A$137:$A$220,0),MATCH(G480,'ei names mapping'!$B$136:$BK$136,0))</f>
        <v>8.5216530000000002E-5</v>
      </c>
      <c r="C480" s="12" t="str">
        <f>INDEX('ei names mapping'!$B$38:$R$67,MATCH(B449,'ei names mapping'!$A$4:$A$33,0),MATCH(G480,'ei names mapping'!$B$3:$R$3,0))</f>
        <v>CH</v>
      </c>
      <c r="D480" s="12" t="str">
        <f>INDEX('ei names mapping'!$B$104:$R$133,MATCH(B449,'ei names mapping'!$A$104:$A$133,0),MATCH(G480,'ei names mapping'!$B$3:$R$3,0))</f>
        <v>meter-year</v>
      </c>
      <c r="E480" s="12"/>
      <c r="F480" s="12" t="s">
        <v>91</v>
      </c>
      <c r="G480" s="21" t="s">
        <v>108</v>
      </c>
      <c r="H480" s="12" t="str">
        <f>INDEX('ei names mapping'!$B$71:$R$100,MATCH(B449,'ei names mapping'!$A$4:$A$33,0),MATCH(G480,'ei names mapping'!$B$3:$R$3,0))</f>
        <v>road</v>
      </c>
    </row>
    <row r="481" spans="1:8" x14ac:dyDescent="0.3">
      <c r="A481" s="12" t="str">
        <f>INDEX('ei names mapping'!$B$4:$BK$33,MATCH(B449,'ei names mapping'!$A$4:$A$33,0),MATCH(G481,'ei names mapping'!$B$3:$BK$3,0))</f>
        <v>treatment of road wear emissions, passenger car</v>
      </c>
      <c r="B481" s="16">
        <f>INDEX('vehicles specifications'!$B$3:$CK$86,MATCH(B452,'vehicles specifications'!$A$3:$A$86,0),MATCH(G481,'vehicles specifications'!$B$2:$CK$2,0))*INDEX('ei names mapping'!$B$137:$BK$220,MATCH(B452,'ei names mapping'!$A$137:$A$220,0),MATCH(G481,'ei names mapping'!$B$136:$BK$136,0))</f>
        <v>-6.0000000000000002E-6</v>
      </c>
      <c r="C481" s="12" t="str">
        <f>INDEX('ei names mapping'!$B$38:$BK$67,MATCH(B449,'ei names mapping'!$A$4:$A$33,0),MATCH(G481,'ei names mapping'!$B$3:$BK$3,0))</f>
        <v>RER</v>
      </c>
      <c r="D481" s="12" t="str">
        <f>INDEX('ei names mapping'!$B$104:$BK$133,MATCH(B449,'ei names mapping'!$A$4:$A$33,0),MATCH(G481,'ei names mapping'!$B$3:$BK$3,0))</f>
        <v>kilogram</v>
      </c>
      <c r="E481" s="12"/>
      <c r="F481" s="12" t="s">
        <v>91</v>
      </c>
      <c r="G481" t="s">
        <v>29</v>
      </c>
      <c r="H481" s="12" t="str">
        <f>INDEX('ei names mapping'!$B$71:$BK$100,MATCH(B449,'ei names mapping'!$A$4:$A$33,0),MATCH(G481,'ei names mapping'!$B$3:$BK$3,0))</f>
        <v>road wear emissions, passenger car</v>
      </c>
    </row>
    <row r="482" spans="1:8" x14ac:dyDescent="0.3">
      <c r="A482" s="12" t="str">
        <f>INDEX('ei names mapping'!$B$4:$BK$33,MATCH(B449,'ei names mapping'!$A$4:$A$33,0),MATCH(G482,'ei names mapping'!$B$3:$BK$3,0))</f>
        <v>treatment of tyre wear emissions, passenger car</v>
      </c>
      <c r="B482" s="16">
        <f>INDEX('vehicles specifications'!$B$3:$CK$86,MATCH(B452,'vehicles specifications'!$A$3:$A$86,0),MATCH(G482,'vehicles specifications'!$B$2:$CK$2,0))*INDEX('ei names mapping'!$B$137:$BK$220,MATCH(B452,'ei names mapping'!$A$137:$A$220,0),MATCH(G482,'ei names mapping'!$B$136:$BK$136,0))</f>
        <v>-7.3669999999999991E-6</v>
      </c>
      <c r="C482" s="12" t="str">
        <f>INDEX('ei names mapping'!$B$38:$BK$67,MATCH(B449,'ei names mapping'!$A$4:$A$33,0),MATCH(G482,'ei names mapping'!$B$3:$BK$3,0))</f>
        <v>RER</v>
      </c>
      <c r="D482" s="12" t="str">
        <f>INDEX('ei names mapping'!$B$104:$BK$133,MATCH(B449,'ei names mapping'!$A$4:$A$33,0),MATCH(G482,'ei names mapping'!$B$3:$BK$3,0))</f>
        <v>kilogram</v>
      </c>
      <c r="E482" s="12"/>
      <c r="F482" s="12" t="s">
        <v>91</v>
      </c>
      <c r="G482" t="s">
        <v>30</v>
      </c>
      <c r="H482" s="12" t="str">
        <f>INDEX('ei names mapping'!$B$71:$BK$100,MATCH(B449,'ei names mapping'!$A$4:$A$33,0),MATCH(G482,'ei names mapping'!$B$3:$BK$3,0))</f>
        <v>tyre wear emissions, passenger car</v>
      </c>
    </row>
    <row r="483" spans="1:8" x14ac:dyDescent="0.3">
      <c r="A483" s="12" t="str">
        <f>INDEX('ei names mapping'!$B$4:$BK$33,MATCH(B449,'ei names mapping'!$A$4:$A$33,0),MATCH(G483,'ei names mapping'!$B$3:$BK$3,0))</f>
        <v>treatment of brake wear emissions, passenger car</v>
      </c>
      <c r="B483" s="16">
        <f>INDEX('vehicles specifications'!$B$3:$CK$86,MATCH(B452,'vehicles specifications'!$A$3:$A$86,0),MATCH(G483,'vehicles specifications'!$B$2:$CK$2,0))*INDEX('ei names mapping'!$B$137:$BK$220,MATCH(B452,'ei names mapping'!$A$137:$A$220,0),MATCH(G483,'ei names mapping'!$B$136:$BK$136,0))</f>
        <v>-4.1749999999999998E-6</v>
      </c>
      <c r="C483" s="12" t="str">
        <f>INDEX('ei names mapping'!$B$38:$BK$67,MATCH(B449,'ei names mapping'!$A$4:$A$33,0),MATCH(G483,'ei names mapping'!$B$3:$BK$3,0))</f>
        <v>RER</v>
      </c>
      <c r="D483" s="12" t="str">
        <f>INDEX('ei names mapping'!$B$104:$BK$133,MATCH(B449,'ei names mapping'!$A$4:$A$33,0),MATCH(G483,'ei names mapping'!$B$3:$BK$3,0))</f>
        <v>kilogram</v>
      </c>
      <c r="E483" s="12"/>
      <c r="F483" s="12" t="s">
        <v>91</v>
      </c>
      <c r="G483" t="s">
        <v>31</v>
      </c>
      <c r="H483" s="12" t="str">
        <f>INDEX('ei names mapping'!$B$71:$BK$100,MATCH(B449,'ei names mapping'!$A$4:$A$33,0),MATCH(G483,'ei names mapping'!$B$3:$BK$3,0))</f>
        <v>brake wear emissions, passenger car</v>
      </c>
    </row>
    <row r="485" spans="1:8" ht="15.6" x14ac:dyDescent="0.3">
      <c r="A485" s="11"/>
      <c r="B485" s="9"/>
    </row>
    <row r="488" spans="1:8" x14ac:dyDescent="0.3">
      <c r="B488" s="12"/>
    </row>
    <row r="489" spans="1:8" x14ac:dyDescent="0.3">
      <c r="B489" s="12"/>
    </row>
    <row r="490" spans="1:8" x14ac:dyDescent="0.3">
      <c r="B490" s="12"/>
    </row>
    <row r="500" spans="1:8" x14ac:dyDescent="0.3">
      <c r="B500" s="2"/>
    </row>
    <row r="504" spans="1:8" x14ac:dyDescent="0.3">
      <c r="B504" s="2"/>
    </row>
    <row r="506" spans="1:8" x14ac:dyDescent="0.3">
      <c r="B506" s="2"/>
    </row>
    <row r="508" spans="1:8" x14ac:dyDescent="0.3">
      <c r="B508" s="6"/>
    </row>
    <row r="510" spans="1:8" ht="15.6" x14ac:dyDescent="0.3">
      <c r="A510" s="11"/>
    </row>
    <row r="512" spans="1:8" x14ac:dyDescent="0.3">
      <c r="A512" s="12"/>
      <c r="B512" s="12"/>
      <c r="C512" s="12"/>
      <c r="D512" s="12"/>
      <c r="E512" s="12"/>
      <c r="F512" s="12"/>
      <c r="G512" s="12"/>
      <c r="H512" s="12"/>
    </row>
    <row r="513" spans="1:8" x14ac:dyDescent="0.3">
      <c r="A513" s="12"/>
      <c r="B513" s="16"/>
      <c r="C513" s="12"/>
      <c r="D513" s="12"/>
      <c r="E513" s="12"/>
      <c r="F513" s="12"/>
      <c r="G513" s="12"/>
      <c r="H513" s="12"/>
    </row>
    <row r="514" spans="1:8" x14ac:dyDescent="0.3">
      <c r="A514" s="12"/>
      <c r="B514" s="16"/>
      <c r="C514" s="12"/>
      <c r="D514" s="12"/>
      <c r="E514" s="12"/>
      <c r="F514" s="12"/>
      <c r="H514" s="12"/>
    </row>
    <row r="515" spans="1:8" x14ac:dyDescent="0.3">
      <c r="A515" s="12"/>
      <c r="B515" s="16"/>
      <c r="C515" s="12"/>
      <c r="D515" s="12"/>
      <c r="E515" s="12"/>
      <c r="F515" s="12"/>
      <c r="H515" s="12"/>
    </row>
    <row r="516" spans="1:8" x14ac:dyDescent="0.3">
      <c r="A516" s="12"/>
      <c r="B516" s="16"/>
      <c r="C516" s="12"/>
      <c r="D516" s="12"/>
      <c r="E516" s="12"/>
      <c r="F516" s="12"/>
      <c r="H516" s="12"/>
    </row>
    <row r="517" spans="1:8" x14ac:dyDescent="0.3">
      <c r="A517" s="12"/>
      <c r="B517" s="16"/>
      <c r="C517" s="12"/>
      <c r="D517" s="12"/>
      <c r="E517" s="12"/>
      <c r="F517" s="12"/>
      <c r="H517" s="12"/>
    </row>
    <row r="518" spans="1:8" x14ac:dyDescent="0.3">
      <c r="A518" s="12"/>
      <c r="B518" s="16"/>
      <c r="C518" s="12"/>
      <c r="D518" s="12"/>
      <c r="E518" s="12"/>
      <c r="F518" s="12"/>
      <c r="H518" s="12"/>
    </row>
    <row r="519" spans="1:8" x14ac:dyDescent="0.3">
      <c r="A519" s="12"/>
      <c r="B519" s="16"/>
      <c r="C519" s="12"/>
      <c r="D519" s="12"/>
      <c r="E519" s="12"/>
      <c r="F519" s="12"/>
      <c r="H519" s="12"/>
    </row>
    <row r="520" spans="1:8" x14ac:dyDescent="0.3">
      <c r="A520" s="12"/>
      <c r="B520" s="16"/>
      <c r="C520" s="12"/>
      <c r="D520" s="12"/>
      <c r="E520" s="12"/>
      <c r="F520" s="12"/>
      <c r="H520" s="12"/>
    </row>
    <row r="521" spans="1:8" x14ac:dyDescent="0.3">
      <c r="A521" s="12"/>
      <c r="B521" s="16"/>
      <c r="C521" s="12"/>
      <c r="D521" s="12"/>
      <c r="E521" s="12"/>
      <c r="F521" s="12"/>
      <c r="H521" s="12"/>
    </row>
    <row r="522" spans="1:8" x14ac:dyDescent="0.3">
      <c r="A522" s="12"/>
      <c r="B522" s="16"/>
      <c r="C522" s="12"/>
      <c r="D522" s="12"/>
      <c r="E522" s="12"/>
      <c r="F522" s="12"/>
      <c r="H522" s="12"/>
    </row>
    <row r="523" spans="1:8" x14ac:dyDescent="0.3">
      <c r="A523" s="12"/>
      <c r="B523" s="16"/>
      <c r="C523" s="12"/>
      <c r="D523" s="12"/>
      <c r="E523" s="12"/>
      <c r="F523" s="12"/>
      <c r="H523" s="12"/>
    </row>
    <row r="524" spans="1:8" ht="15.6" x14ac:dyDescent="0.3">
      <c r="A524" s="11"/>
      <c r="B524" s="9"/>
    </row>
    <row r="527" spans="1:8" x14ac:dyDescent="0.3">
      <c r="B527" s="12"/>
    </row>
    <row r="528" spans="1:8" x14ac:dyDescent="0.3">
      <c r="B528" s="12"/>
    </row>
    <row r="529" spans="2:2" x14ac:dyDescent="0.3">
      <c r="B529" s="12"/>
    </row>
    <row r="539" spans="2:2" x14ac:dyDescent="0.3">
      <c r="B539" s="2"/>
    </row>
    <row r="543" spans="2:2" x14ac:dyDescent="0.3">
      <c r="B543" s="2"/>
    </row>
    <row r="545" spans="1:8" x14ac:dyDescent="0.3">
      <c r="B545" s="2"/>
    </row>
    <row r="547" spans="1:8" x14ac:dyDescent="0.3">
      <c r="B547" s="6"/>
    </row>
    <row r="549" spans="1:8" ht="15.6" x14ac:dyDescent="0.3">
      <c r="A549" s="11"/>
    </row>
    <row r="551" spans="1:8" x14ac:dyDescent="0.3">
      <c r="A551" s="12"/>
      <c r="B551" s="12"/>
      <c r="C551" s="12"/>
      <c r="D551" s="12"/>
      <c r="E551" s="12"/>
      <c r="F551" s="12"/>
      <c r="G551" s="12"/>
      <c r="H551" s="12"/>
    </row>
    <row r="552" spans="1:8" x14ac:dyDescent="0.3">
      <c r="A552" s="12"/>
      <c r="B552" s="16"/>
      <c r="C552" s="12"/>
      <c r="D552" s="12"/>
      <c r="E552" s="12"/>
      <c r="F552" s="12"/>
      <c r="G552" s="12"/>
      <c r="H552" s="12"/>
    </row>
    <row r="553" spans="1:8" x14ac:dyDescent="0.3">
      <c r="A553" s="12"/>
      <c r="B553" s="16"/>
      <c r="C553" s="12"/>
      <c r="D553" s="12"/>
      <c r="E553" s="12"/>
      <c r="F553" s="12"/>
      <c r="H553" s="12"/>
    </row>
    <row r="554" spans="1:8" x14ac:dyDescent="0.3">
      <c r="A554" s="12"/>
      <c r="B554" s="16"/>
      <c r="C554" s="12"/>
      <c r="D554" s="12"/>
      <c r="E554" s="12"/>
      <c r="F554" s="12"/>
      <c r="H554" s="12"/>
    </row>
    <row r="555" spans="1:8" x14ac:dyDescent="0.3">
      <c r="A555" s="12"/>
      <c r="B555" s="16"/>
      <c r="C555" s="12"/>
      <c r="D555" s="12"/>
      <c r="E555" s="12"/>
      <c r="F555" s="12"/>
      <c r="H555" s="12"/>
    </row>
    <row r="556" spans="1:8" x14ac:dyDescent="0.3">
      <c r="A556" s="12"/>
      <c r="B556" s="16"/>
      <c r="C556" s="12"/>
      <c r="D556" s="12"/>
      <c r="E556" s="12"/>
      <c r="F556" s="12"/>
      <c r="H556" s="12"/>
    </row>
    <row r="557" spans="1:8" x14ac:dyDescent="0.3">
      <c r="A557" s="12"/>
      <c r="B557" s="16"/>
      <c r="C557" s="12"/>
      <c r="D557" s="12"/>
      <c r="E557" s="12"/>
      <c r="F557" s="12"/>
      <c r="H557" s="12"/>
    </row>
    <row r="558" spans="1:8" x14ac:dyDescent="0.3">
      <c r="A558" s="12"/>
      <c r="B558" s="16"/>
      <c r="C558" s="12"/>
      <c r="D558" s="12"/>
      <c r="E558" s="12"/>
      <c r="F558" s="12"/>
      <c r="H558" s="12"/>
    </row>
    <row r="559" spans="1:8" x14ac:dyDescent="0.3">
      <c r="A559" s="12"/>
      <c r="B559" s="16"/>
      <c r="C559" s="12"/>
      <c r="D559" s="12"/>
      <c r="E559" s="12"/>
      <c r="F559" s="12"/>
      <c r="H559" s="12"/>
    </row>
    <row r="560" spans="1:8" x14ac:dyDescent="0.3">
      <c r="A560" s="12"/>
      <c r="B560" s="16"/>
      <c r="C560" s="12"/>
      <c r="D560" s="12"/>
      <c r="E560" s="12"/>
      <c r="F560" s="12"/>
      <c r="H560" s="12"/>
    </row>
    <row r="561" spans="1:8" x14ac:dyDescent="0.3">
      <c r="A561" s="12"/>
      <c r="B561" s="16"/>
      <c r="C561" s="12"/>
      <c r="D561" s="12"/>
      <c r="E561" s="12"/>
      <c r="F561" s="12"/>
      <c r="H561" s="12"/>
    </row>
    <row r="562" spans="1:8" x14ac:dyDescent="0.3">
      <c r="B562" s="12"/>
    </row>
    <row r="563" spans="1:8" ht="15.6" x14ac:dyDescent="0.3">
      <c r="A563" s="11"/>
      <c r="B563" s="9"/>
    </row>
    <row r="566" spans="1:8" x14ac:dyDescent="0.3">
      <c r="B566" s="12"/>
    </row>
    <row r="567" spans="1:8" x14ac:dyDescent="0.3">
      <c r="B567" s="12"/>
    </row>
    <row r="568" spans="1:8" x14ac:dyDescent="0.3">
      <c r="B568" s="12"/>
    </row>
    <row r="578" spans="1:8" x14ac:dyDescent="0.3">
      <c r="B578" s="2"/>
    </row>
    <row r="582" spans="1:8" x14ac:dyDescent="0.3">
      <c r="B582" s="2"/>
    </row>
    <row r="584" spans="1:8" x14ac:dyDescent="0.3">
      <c r="B584" s="2"/>
    </row>
    <row r="586" spans="1:8" x14ac:dyDescent="0.3">
      <c r="B586" s="6"/>
    </row>
    <row r="588" spans="1:8" ht="15.6" x14ac:dyDescent="0.3">
      <c r="A588" s="11"/>
    </row>
    <row r="590" spans="1:8" x14ac:dyDescent="0.3">
      <c r="A590" s="12"/>
      <c r="B590" s="12"/>
      <c r="C590" s="12"/>
      <c r="D590" s="12"/>
      <c r="E590" s="12"/>
      <c r="F590" s="12"/>
      <c r="G590" s="12"/>
      <c r="H590" s="12"/>
    </row>
    <row r="591" spans="1:8" x14ac:dyDescent="0.3">
      <c r="A591" s="12"/>
      <c r="B591" s="16"/>
      <c r="C591" s="12"/>
      <c r="D591" s="12"/>
      <c r="E591" s="12"/>
      <c r="F591" s="12"/>
      <c r="G591" s="12"/>
      <c r="H591" s="12"/>
    </row>
    <row r="592" spans="1:8" x14ac:dyDescent="0.3">
      <c r="A592" s="12"/>
      <c r="B592" s="16"/>
      <c r="C592" s="12"/>
      <c r="D592" s="12"/>
      <c r="E592" s="12"/>
      <c r="F592" s="12"/>
      <c r="H592" s="12"/>
    </row>
    <row r="593" spans="1:8" x14ac:dyDescent="0.3">
      <c r="A593" s="12"/>
      <c r="B593" s="16"/>
      <c r="C593" s="12"/>
      <c r="D593" s="12"/>
      <c r="E593" s="12"/>
      <c r="F593" s="12"/>
      <c r="H593" s="12"/>
    </row>
    <row r="594" spans="1:8" x14ac:dyDescent="0.3">
      <c r="A594" s="12"/>
      <c r="B594" s="16"/>
      <c r="C594" s="12"/>
      <c r="D594" s="12"/>
      <c r="E594" s="12"/>
      <c r="F594" s="12"/>
      <c r="H594" s="12"/>
    </row>
    <row r="595" spans="1:8" x14ac:dyDescent="0.3">
      <c r="A595" s="12"/>
      <c r="B595" s="16"/>
      <c r="C595" s="12"/>
      <c r="D595" s="12"/>
      <c r="E595" s="12"/>
      <c r="F595" s="12"/>
      <c r="H595" s="12"/>
    </row>
    <row r="596" spans="1:8" x14ac:dyDescent="0.3">
      <c r="A596" s="12"/>
      <c r="B596" s="16"/>
      <c r="C596" s="12"/>
      <c r="D596" s="12"/>
      <c r="E596" s="12"/>
      <c r="F596" s="12"/>
      <c r="H596" s="12"/>
    </row>
    <row r="597" spans="1:8" x14ac:dyDescent="0.3">
      <c r="A597" s="12"/>
      <c r="B597" s="16"/>
      <c r="C597" s="12"/>
      <c r="D597" s="12"/>
      <c r="E597" s="12"/>
      <c r="F597" s="12"/>
      <c r="H597" s="12"/>
    </row>
    <row r="598" spans="1:8" x14ac:dyDescent="0.3">
      <c r="A598" s="12"/>
      <c r="B598" s="16"/>
      <c r="C598" s="12"/>
      <c r="D598" s="12"/>
      <c r="E598" s="12"/>
      <c r="F598" s="12"/>
      <c r="H598" s="12"/>
    </row>
    <row r="599" spans="1:8" x14ac:dyDescent="0.3">
      <c r="A599" s="12"/>
      <c r="B599" s="16"/>
      <c r="C599" s="12"/>
      <c r="D599" s="12"/>
      <c r="E599" s="12"/>
      <c r="F599" s="12"/>
      <c r="H599" s="12"/>
    </row>
    <row r="600" spans="1:8" x14ac:dyDescent="0.3">
      <c r="A600" s="12"/>
      <c r="B600" s="16"/>
      <c r="C600" s="12"/>
      <c r="D600" s="12"/>
      <c r="E600" s="12"/>
      <c r="F600" s="12"/>
      <c r="H600" s="12"/>
    </row>
    <row r="602" spans="1:8" ht="15.6" x14ac:dyDescent="0.3">
      <c r="A602" s="11"/>
      <c r="B602" s="9"/>
    </row>
    <row r="605" spans="1:8" x14ac:dyDescent="0.3">
      <c r="B605" s="12"/>
    </row>
    <row r="606" spans="1:8" x14ac:dyDescent="0.3">
      <c r="B606" s="12"/>
    </row>
    <row r="607" spans="1:8" x14ac:dyDescent="0.3">
      <c r="B607" s="12"/>
    </row>
    <row r="617" spans="2:2" x14ac:dyDescent="0.3">
      <c r="B617" s="2"/>
    </row>
    <row r="621" spans="2:2" x14ac:dyDescent="0.3">
      <c r="B621" s="2"/>
    </row>
    <row r="623" spans="2:2" x14ac:dyDescent="0.3">
      <c r="B623" s="2"/>
    </row>
    <row r="625" spans="1:8" x14ac:dyDescent="0.3">
      <c r="B625" s="6"/>
    </row>
    <row r="627" spans="1:8" ht="15.6" x14ac:dyDescent="0.3">
      <c r="A627" s="11"/>
    </row>
    <row r="629" spans="1:8" x14ac:dyDescent="0.3">
      <c r="A629" s="12"/>
      <c r="B629" s="12"/>
      <c r="C629" s="12"/>
      <c r="D629" s="12"/>
      <c r="E629" s="12"/>
      <c r="F629" s="12"/>
      <c r="G629" s="12"/>
      <c r="H629" s="12"/>
    </row>
    <row r="630" spans="1:8" x14ac:dyDescent="0.3">
      <c r="A630" s="12"/>
      <c r="B630" s="16"/>
      <c r="C630" s="12"/>
      <c r="D630" s="12"/>
      <c r="E630" s="12"/>
      <c r="F630" s="12"/>
      <c r="G630" s="12"/>
      <c r="H630" s="12"/>
    </row>
    <row r="631" spans="1:8" x14ac:dyDescent="0.3">
      <c r="A631" s="12"/>
      <c r="B631" s="16"/>
      <c r="C631" s="12"/>
      <c r="D631" s="12"/>
      <c r="E631" s="12"/>
      <c r="F631" s="12"/>
      <c r="H631" s="12"/>
    </row>
    <row r="632" spans="1:8" x14ac:dyDescent="0.3">
      <c r="A632" s="12"/>
      <c r="B632" s="16"/>
      <c r="C632" s="12"/>
      <c r="D632" s="12"/>
      <c r="E632" s="12"/>
      <c r="F632" s="12"/>
      <c r="H632" s="12"/>
    </row>
    <row r="633" spans="1:8" x14ac:dyDescent="0.3">
      <c r="A633" s="12"/>
      <c r="B633" s="16"/>
      <c r="C633" s="12"/>
      <c r="D633" s="12"/>
      <c r="E633" s="12"/>
      <c r="F633" s="12"/>
      <c r="H633" s="12"/>
    </row>
    <row r="634" spans="1:8" x14ac:dyDescent="0.3">
      <c r="A634" s="12"/>
      <c r="B634" s="16"/>
      <c r="C634" s="12"/>
      <c r="D634" s="12"/>
      <c r="E634" s="12"/>
      <c r="F634" s="12"/>
      <c r="H634" s="12"/>
    </row>
    <row r="635" spans="1:8" x14ac:dyDescent="0.3">
      <c r="A635" s="12"/>
      <c r="B635" s="16"/>
      <c r="C635" s="12"/>
      <c r="D635" s="12"/>
      <c r="E635" s="12"/>
      <c r="F635" s="12"/>
      <c r="H635" s="12"/>
    </row>
    <row r="636" spans="1:8" x14ac:dyDescent="0.3">
      <c r="A636" s="12"/>
      <c r="B636" s="16"/>
      <c r="C636" s="12"/>
      <c r="D636" s="12"/>
      <c r="E636" s="12"/>
      <c r="F636" s="12"/>
      <c r="H636" s="12"/>
    </row>
    <row r="637" spans="1:8" x14ac:dyDescent="0.3">
      <c r="A637" s="12"/>
      <c r="B637" s="16"/>
      <c r="C637" s="12"/>
      <c r="D637" s="12"/>
      <c r="E637" s="12"/>
      <c r="F637" s="12"/>
      <c r="H637" s="12"/>
    </row>
    <row r="638" spans="1:8" x14ac:dyDescent="0.3">
      <c r="A638" s="12"/>
      <c r="B638" s="16"/>
      <c r="C638" s="12"/>
      <c r="D638" s="12"/>
      <c r="E638" s="12"/>
      <c r="F638" s="12"/>
      <c r="H638" s="12"/>
    </row>
    <row r="639" spans="1:8" x14ac:dyDescent="0.3">
      <c r="A639" s="12"/>
      <c r="B639" s="16"/>
      <c r="C639" s="12"/>
      <c r="D639" s="12"/>
      <c r="E639" s="12"/>
      <c r="F639" s="12"/>
      <c r="H639" s="12"/>
    </row>
    <row r="640" spans="1:8" x14ac:dyDescent="0.3">
      <c r="B640" s="2"/>
    </row>
    <row r="641" spans="1:2" ht="15.6" x14ac:dyDescent="0.3">
      <c r="A641" s="11"/>
      <c r="B641" s="9"/>
    </row>
    <row r="644" spans="1:2" x14ac:dyDescent="0.3">
      <c r="B644" s="12"/>
    </row>
    <row r="645" spans="1:2" x14ac:dyDescent="0.3">
      <c r="B645" s="12"/>
    </row>
    <row r="646" spans="1:2" x14ac:dyDescent="0.3">
      <c r="B646" s="12"/>
    </row>
    <row r="647" spans="1:2" x14ac:dyDescent="0.3">
      <c r="B647" s="12"/>
    </row>
    <row r="656" spans="1:2" x14ac:dyDescent="0.3">
      <c r="B656" s="2"/>
    </row>
    <row r="660" spans="1:8" x14ac:dyDescent="0.3">
      <c r="B660" s="2"/>
    </row>
    <row r="662" spans="1:8" x14ac:dyDescent="0.3">
      <c r="B662" s="2"/>
    </row>
    <row r="664" spans="1:8" x14ac:dyDescent="0.3">
      <c r="B664" s="6"/>
    </row>
    <row r="666" spans="1:8" ht="15.6" x14ac:dyDescent="0.3">
      <c r="A666" s="11"/>
    </row>
    <row r="668" spans="1:8" x14ac:dyDescent="0.3">
      <c r="A668" s="12"/>
      <c r="B668" s="12"/>
      <c r="C668" s="12"/>
      <c r="D668" s="12"/>
      <c r="E668" s="12"/>
      <c r="F668" s="12"/>
      <c r="G668" s="12"/>
      <c r="H668" s="12"/>
    </row>
    <row r="669" spans="1:8" x14ac:dyDescent="0.3">
      <c r="A669" s="12"/>
      <c r="B669" s="15"/>
      <c r="C669" s="12"/>
      <c r="D669" s="12"/>
      <c r="E669" s="12"/>
      <c r="F669" s="12"/>
      <c r="G669" s="12"/>
      <c r="H669" s="12"/>
    </row>
    <row r="670" spans="1:8" x14ac:dyDescent="0.3">
      <c r="A670" s="12"/>
      <c r="B670" s="16"/>
      <c r="C670" s="12"/>
      <c r="D670" s="12"/>
      <c r="E670" s="12"/>
      <c r="F670" s="12"/>
      <c r="H670" s="12"/>
    </row>
    <row r="671" spans="1:8" x14ac:dyDescent="0.3">
      <c r="A671" s="12"/>
      <c r="B671" s="14"/>
      <c r="C671" s="12"/>
      <c r="D671" s="12"/>
      <c r="E671" s="12"/>
      <c r="F671" s="12"/>
      <c r="H671" s="12"/>
    </row>
    <row r="672" spans="1:8" x14ac:dyDescent="0.3">
      <c r="A672" s="12"/>
      <c r="B672" s="16"/>
      <c r="C672" s="12"/>
      <c r="D672" s="12"/>
      <c r="F672" s="12"/>
      <c r="G672" s="12"/>
      <c r="H672" s="12"/>
    </row>
    <row r="673" spans="1:8" x14ac:dyDescent="0.3">
      <c r="A673" s="12"/>
      <c r="B673" s="16"/>
      <c r="C673" s="12"/>
      <c r="D673" s="12"/>
      <c r="E673" s="12"/>
      <c r="F673" s="12"/>
      <c r="H673" s="12"/>
    </row>
    <row r="674" spans="1:8" x14ac:dyDescent="0.3">
      <c r="A674" s="12"/>
      <c r="B674" s="16"/>
      <c r="C674" s="12"/>
      <c r="D674" s="12"/>
      <c r="E674" s="12"/>
      <c r="F674" s="12"/>
      <c r="H674" s="12"/>
    </row>
    <row r="675" spans="1:8" x14ac:dyDescent="0.3">
      <c r="A675" s="12"/>
      <c r="B675" s="16"/>
      <c r="C675" s="12"/>
      <c r="D675" s="12"/>
      <c r="E675" s="12"/>
      <c r="F675" s="12"/>
      <c r="H675" s="12"/>
    </row>
    <row r="676" spans="1:8" x14ac:dyDescent="0.3">
      <c r="B676" s="6"/>
    </row>
    <row r="677" spans="1:8" ht="15.6" x14ac:dyDescent="0.3">
      <c r="A677" s="11"/>
      <c r="B677" s="9"/>
    </row>
    <row r="680" spans="1:8" x14ac:dyDescent="0.3">
      <c r="B680" s="12"/>
    </row>
    <row r="681" spans="1:8" x14ac:dyDescent="0.3">
      <c r="B681" s="12"/>
    </row>
    <row r="682" spans="1:8" x14ac:dyDescent="0.3">
      <c r="B682" s="12"/>
    </row>
    <row r="683" spans="1:8" x14ac:dyDescent="0.3">
      <c r="B683" s="12"/>
    </row>
    <row r="692" spans="1:8" x14ac:dyDescent="0.3">
      <c r="B692" s="2"/>
    </row>
    <row r="696" spans="1:8" x14ac:dyDescent="0.3">
      <c r="B696" s="2"/>
    </row>
    <row r="698" spans="1:8" x14ac:dyDescent="0.3">
      <c r="B698" s="2"/>
    </row>
    <row r="700" spans="1:8" x14ac:dyDescent="0.3">
      <c r="B700" s="6"/>
    </row>
    <row r="702" spans="1:8" ht="15.6" x14ac:dyDescent="0.3">
      <c r="A702" s="11"/>
    </row>
    <row r="704" spans="1:8" x14ac:dyDescent="0.3">
      <c r="A704" s="12"/>
      <c r="B704" s="12"/>
      <c r="C704" s="12"/>
      <c r="D704" s="12"/>
      <c r="E704" s="12"/>
      <c r="F704" s="12"/>
      <c r="G704" s="12"/>
      <c r="H704" s="12"/>
    </row>
    <row r="705" spans="1:8" x14ac:dyDescent="0.3">
      <c r="A705" s="12"/>
      <c r="B705" s="12"/>
      <c r="C705" s="12"/>
      <c r="D705" s="12"/>
      <c r="E705" s="12"/>
      <c r="F705" s="12"/>
      <c r="G705" s="12"/>
      <c r="H705" s="12"/>
    </row>
    <row r="706" spans="1:8" x14ac:dyDescent="0.3">
      <c r="A706" s="12"/>
      <c r="B706" s="16"/>
      <c r="C706" s="12"/>
      <c r="D706" s="12"/>
      <c r="E706" s="12"/>
      <c r="F706" s="12"/>
      <c r="H706" s="12"/>
    </row>
    <row r="707" spans="1:8" x14ac:dyDescent="0.3">
      <c r="A707" s="12"/>
      <c r="B707" s="14"/>
      <c r="C707" s="12"/>
      <c r="D707" s="12"/>
      <c r="E707" s="12"/>
      <c r="F707" s="12"/>
      <c r="H707" s="12"/>
    </row>
    <row r="708" spans="1:8" x14ac:dyDescent="0.3">
      <c r="A708" s="12"/>
      <c r="B708" s="16"/>
      <c r="C708" s="12"/>
      <c r="D708" s="12"/>
      <c r="F708" s="12"/>
      <c r="G708" s="12"/>
      <c r="H708" s="12"/>
    </row>
    <row r="709" spans="1:8" x14ac:dyDescent="0.3">
      <c r="A709" s="12"/>
      <c r="B709" s="16"/>
      <c r="C709" s="12"/>
      <c r="D709" s="12"/>
      <c r="E709" s="12"/>
      <c r="F709" s="12"/>
      <c r="H709" s="12"/>
    </row>
    <row r="710" spans="1:8" x14ac:dyDescent="0.3">
      <c r="A710" s="12"/>
      <c r="B710" s="16"/>
      <c r="C710" s="12"/>
      <c r="D710" s="12"/>
      <c r="E710" s="12"/>
      <c r="F710" s="12"/>
      <c r="H710" s="12"/>
    </row>
    <row r="711" spans="1:8" x14ac:dyDescent="0.3">
      <c r="A711" s="12"/>
      <c r="B711" s="16"/>
      <c r="C711" s="12"/>
      <c r="D711" s="12"/>
      <c r="E711" s="12"/>
      <c r="F711" s="12"/>
      <c r="H711" s="12"/>
    </row>
    <row r="713" spans="1:8" ht="15.6" x14ac:dyDescent="0.3">
      <c r="A713" s="11"/>
      <c r="B713" s="9"/>
    </row>
    <row r="716" spans="1:8" x14ac:dyDescent="0.3">
      <c r="B716" s="12"/>
    </row>
    <row r="717" spans="1:8" x14ac:dyDescent="0.3">
      <c r="B717" s="12"/>
    </row>
    <row r="718" spans="1:8" x14ac:dyDescent="0.3">
      <c r="B718" s="12"/>
    </row>
    <row r="719" spans="1:8" x14ac:dyDescent="0.3">
      <c r="B719" s="12"/>
    </row>
    <row r="728" spans="2:2" x14ac:dyDescent="0.3">
      <c r="B728" s="2"/>
    </row>
    <row r="732" spans="2:2" x14ac:dyDescent="0.3">
      <c r="B732" s="2"/>
    </row>
    <row r="734" spans="2:2" x14ac:dyDescent="0.3">
      <c r="B734" s="2"/>
    </row>
    <row r="736" spans="2:2" x14ac:dyDescent="0.3">
      <c r="B736" s="6"/>
    </row>
    <row r="738" spans="1:8" ht="15.6" x14ac:dyDescent="0.3">
      <c r="A738" s="11"/>
    </row>
    <row r="740" spans="1:8" x14ac:dyDescent="0.3">
      <c r="A740" s="12"/>
      <c r="B740" s="12"/>
      <c r="C740" s="12"/>
      <c r="D740" s="12"/>
      <c r="E740" s="12"/>
      <c r="F740" s="12"/>
      <c r="G740" s="12"/>
      <c r="H740" s="12"/>
    </row>
    <row r="741" spans="1:8" x14ac:dyDescent="0.3">
      <c r="A741" s="12"/>
      <c r="B741" s="12"/>
      <c r="C741" s="12"/>
      <c r="D741" s="12"/>
      <c r="E741" s="12"/>
      <c r="F741" s="12"/>
      <c r="G741" s="12"/>
      <c r="H741" s="12"/>
    </row>
    <row r="742" spans="1:8" x14ac:dyDescent="0.3">
      <c r="A742" s="12"/>
      <c r="B742" s="16"/>
      <c r="C742" s="12"/>
      <c r="D742" s="12"/>
      <c r="E742" s="12"/>
      <c r="F742" s="12"/>
      <c r="H742" s="12"/>
    </row>
    <row r="743" spans="1:8" x14ac:dyDescent="0.3">
      <c r="A743" s="12"/>
      <c r="B743" s="14"/>
      <c r="C743" s="12"/>
      <c r="D743" s="12"/>
      <c r="E743" s="12"/>
      <c r="F743" s="12"/>
      <c r="H743" s="12"/>
    </row>
    <row r="744" spans="1:8" x14ac:dyDescent="0.3">
      <c r="A744" s="12"/>
      <c r="B744" s="16"/>
      <c r="C744" s="12"/>
      <c r="D744" s="12"/>
      <c r="F744" s="12"/>
      <c r="G744" s="12"/>
      <c r="H744" s="12"/>
    </row>
    <row r="745" spans="1:8" x14ac:dyDescent="0.3">
      <c r="A745" s="12"/>
      <c r="B745" s="16"/>
      <c r="C745" s="12"/>
      <c r="D745" s="12"/>
      <c r="E745" s="12"/>
      <c r="F745" s="12"/>
      <c r="H745" s="12"/>
    </row>
    <row r="746" spans="1:8" x14ac:dyDescent="0.3">
      <c r="A746" s="12"/>
      <c r="B746" s="16"/>
      <c r="C746" s="12"/>
      <c r="D746" s="12"/>
      <c r="E746" s="12"/>
      <c r="F746" s="12"/>
      <c r="H746" s="12"/>
    </row>
    <row r="747" spans="1:8" x14ac:dyDescent="0.3">
      <c r="A747" s="12"/>
      <c r="B747" s="16"/>
      <c r="C747" s="12"/>
      <c r="D747" s="12"/>
      <c r="E747" s="12"/>
      <c r="F747" s="12"/>
      <c r="H747" s="12"/>
    </row>
    <row r="749" spans="1:8" ht="15.6" x14ac:dyDescent="0.3">
      <c r="A749" s="11"/>
      <c r="B749" s="9"/>
    </row>
    <row r="752" spans="1:8" x14ac:dyDescent="0.3">
      <c r="B752" s="12"/>
    </row>
    <row r="753" spans="2:2" x14ac:dyDescent="0.3">
      <c r="B753" s="12"/>
    </row>
    <row r="754" spans="2:2" x14ac:dyDescent="0.3">
      <c r="B754" s="12"/>
    </row>
    <row r="755" spans="2:2" x14ac:dyDescent="0.3">
      <c r="B755" s="12"/>
    </row>
    <row r="764" spans="2:2" x14ac:dyDescent="0.3">
      <c r="B764" s="2"/>
    </row>
    <row r="768" spans="2:2" x14ac:dyDescent="0.3">
      <c r="B768" s="2"/>
    </row>
    <row r="770" spans="1:8" x14ac:dyDescent="0.3">
      <c r="B770" s="2"/>
    </row>
    <row r="772" spans="1:8" x14ac:dyDescent="0.3">
      <c r="B772" s="6"/>
    </row>
    <row r="774" spans="1:8" ht="15.6" x14ac:dyDescent="0.3">
      <c r="A774" s="11"/>
    </row>
    <row r="776" spans="1:8" x14ac:dyDescent="0.3">
      <c r="A776" s="12"/>
      <c r="B776" s="12"/>
      <c r="C776" s="12"/>
      <c r="D776" s="12"/>
      <c r="E776" s="12"/>
      <c r="F776" s="12"/>
      <c r="G776" s="12"/>
      <c r="H776" s="12"/>
    </row>
    <row r="777" spans="1:8" x14ac:dyDescent="0.3">
      <c r="A777" s="12"/>
      <c r="B777" s="12"/>
      <c r="C777" s="12"/>
      <c r="D777" s="12"/>
      <c r="E777" s="12"/>
      <c r="F777" s="12"/>
      <c r="G777" s="12"/>
      <c r="H777" s="12"/>
    </row>
    <row r="778" spans="1:8" x14ac:dyDescent="0.3">
      <c r="A778" s="12"/>
      <c r="B778" s="16"/>
      <c r="C778" s="12"/>
      <c r="D778" s="12"/>
      <c r="E778" s="12"/>
      <c r="F778" s="12"/>
      <c r="H778" s="12"/>
    </row>
    <row r="779" spans="1:8" x14ac:dyDescent="0.3">
      <c r="A779" s="12"/>
      <c r="B779" s="14"/>
      <c r="C779" s="12"/>
      <c r="D779" s="12"/>
      <c r="E779" s="12"/>
      <c r="F779" s="12"/>
      <c r="H779" s="12"/>
    </row>
    <row r="780" spans="1:8" x14ac:dyDescent="0.3">
      <c r="A780" s="12"/>
      <c r="B780" s="16"/>
      <c r="C780" s="12"/>
      <c r="D780" s="12"/>
      <c r="F780" s="12"/>
      <c r="G780" s="12"/>
      <c r="H780" s="12"/>
    </row>
    <row r="781" spans="1:8" x14ac:dyDescent="0.3">
      <c r="A781" s="12"/>
      <c r="B781" s="16"/>
      <c r="C781" s="12"/>
      <c r="D781" s="12"/>
      <c r="E781" s="12"/>
      <c r="F781" s="12"/>
      <c r="H781" s="12"/>
    </row>
    <row r="782" spans="1:8" x14ac:dyDescent="0.3">
      <c r="A782" s="12"/>
      <c r="B782" s="16"/>
      <c r="C782" s="12"/>
      <c r="D782" s="12"/>
      <c r="E782" s="12"/>
      <c r="F782" s="12"/>
      <c r="H782" s="12"/>
    </row>
    <row r="783" spans="1:8" x14ac:dyDescent="0.3">
      <c r="A783" s="12"/>
      <c r="B783" s="16"/>
      <c r="C783" s="12"/>
      <c r="D783" s="12"/>
      <c r="E783" s="12"/>
      <c r="F783" s="12"/>
      <c r="H78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Readmefirst</vt:lpstr>
      <vt:lpstr>vehicles specifications</vt:lpstr>
      <vt:lpstr>ei names mapping</vt:lpstr>
      <vt:lpstr>EoL and shipping</vt:lpstr>
      <vt:lpstr>abrasion emissions</vt:lpstr>
      <vt:lpstr>energy battery</vt:lpstr>
      <vt:lpstr>fuels and tailpipe emissions</vt:lpstr>
      <vt:lpstr>lci-kick scooter</vt:lpstr>
      <vt:lpstr>lci-motorbikes&lt;4kW</vt:lpstr>
      <vt:lpstr>lci-motorbikes-4-11kW</vt:lpstr>
      <vt:lpstr>lci-motorbikes-11-35kW</vt:lpstr>
      <vt:lpstr>lci-motorbikes&gt;35kW</vt:lpstr>
      <vt:lpstr>lci-motorbikes-gas-4-11kW</vt:lpstr>
      <vt:lpstr>lci-motorbikes-gas-11-35kW</vt:lpstr>
      <vt:lpstr>lci-motorbikes-gas-&gt;35kW</vt:lpstr>
      <vt:lpstr>lci-scooter&lt;4kW</vt:lpstr>
      <vt:lpstr>lci-scooter-4-11kW</vt:lpstr>
      <vt:lpstr>lci-scooter-electric&lt;4kW</vt:lpstr>
      <vt:lpstr>lci-scooter-electric-4-11kW</vt:lpstr>
      <vt:lpstr>lci-moped</vt:lpstr>
      <vt:lpstr>lci-bicycle</vt:lpstr>
      <vt:lpstr>lci-electric-bicycle-25kmh</vt:lpstr>
      <vt:lpstr>lci-electric-bicycle-45kmh</vt:lpstr>
      <vt:lpstr>lci-electric-bicycle-cargo</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2021-02-01T10:08:21Z</dcterms:created>
  <dcterms:modified xsi:type="dcterms:W3CDTF">2021-03-02T15:11:39Z</dcterms:modified>
</cp:coreProperties>
</file>